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2\PRIMER TRIMESTRE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62913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19" l="1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C16" i="16"/>
  <c r="D16" i="16"/>
  <c r="E16" i="16"/>
  <c r="F16" i="16"/>
  <c r="G16" i="16"/>
  <c r="H16" i="16"/>
  <c r="I16" i="16"/>
  <c r="J16" i="16"/>
  <c r="K16" i="16"/>
  <c r="L16" i="16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" i="20"/>
  <c r="C20" i="20"/>
  <c r="D20" i="20"/>
  <c r="E20" i="20"/>
  <c r="F20" i="20"/>
  <c r="G20" i="20"/>
  <c r="H20" i="20"/>
  <c r="I20" i="20"/>
  <c r="J20" i="20"/>
  <c r="K20" i="20"/>
  <c r="L20" i="20"/>
  <c r="M20" i="20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S3" i="3"/>
  <c r="T3" i="3" s="1"/>
  <c r="S4" i="3"/>
  <c r="T4" i="3" s="1"/>
  <c r="S5" i="3"/>
  <c r="T5" i="3" s="1"/>
  <c r="S6" i="3"/>
  <c r="S7" i="3"/>
  <c r="T7" i="3" s="1"/>
  <c r="S8" i="3"/>
  <c r="T8" i="3" s="1"/>
  <c r="S9" i="3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S54" i="3"/>
  <c r="T54" i="3" s="1"/>
  <c r="S55" i="3"/>
  <c r="T55" i="3" s="1"/>
  <c r="S56" i="3"/>
  <c r="T56" i="3" s="1"/>
  <c r="S57" i="3"/>
  <c r="S58" i="3"/>
  <c r="T58" i="3" s="1"/>
  <c r="S59" i="3"/>
  <c r="T59" i="3" s="1"/>
  <c r="S60" i="3"/>
  <c r="T60" i="3" s="1"/>
  <c r="S61" i="3"/>
  <c r="S62" i="3"/>
  <c r="T62" i="3" s="1"/>
  <c r="S63" i="3"/>
  <c r="T63" i="3" s="1"/>
  <c r="S64" i="3"/>
  <c r="T64" i="3" s="1"/>
  <c r="S65" i="3"/>
  <c r="S66" i="3"/>
  <c r="T66" i="3" s="1"/>
  <c r="S67" i="3"/>
  <c r="T67" i="3" s="1"/>
  <c r="S68" i="3"/>
  <c r="T68" i="3" s="1"/>
  <c r="S69" i="3"/>
  <c r="S70" i="3"/>
  <c r="T70" i="3" s="1"/>
  <c r="S71" i="3"/>
  <c r="T71" i="3" s="1"/>
  <c r="S72" i="3"/>
  <c r="T72" i="3" s="1"/>
  <c r="S73" i="3"/>
  <c r="S74" i="3"/>
  <c r="T74" i="3" s="1"/>
  <c r="S75" i="3"/>
  <c r="T75" i="3" s="1"/>
  <c r="S76" i="3"/>
  <c r="T76" i="3" s="1"/>
  <c r="S77" i="3"/>
  <c r="S78" i="3"/>
  <c r="T78" i="3" s="1"/>
  <c r="S79" i="3"/>
  <c r="T79" i="3" s="1"/>
  <c r="S80" i="3"/>
  <c r="T80" i="3" s="1"/>
  <c r="S81" i="3"/>
  <c r="S82" i="3"/>
  <c r="T82" i="3" s="1"/>
  <c r="S83" i="3"/>
  <c r="T83" i="3" s="1"/>
  <c r="S84" i="3"/>
  <c r="T84" i="3" s="1"/>
  <c r="S85" i="3"/>
  <c r="S86" i="3"/>
  <c r="T86" i="3" s="1"/>
  <c r="S87" i="3"/>
  <c r="T87" i="3" s="1"/>
  <c r="S88" i="3"/>
  <c r="T88" i="3" s="1"/>
  <c r="S89" i="3"/>
  <c r="S90" i="3"/>
  <c r="T90" i="3" s="1"/>
  <c r="S91" i="3"/>
  <c r="T91" i="3" s="1"/>
  <c r="S92" i="3"/>
  <c r="T92" i="3" s="1"/>
  <c r="S93" i="3"/>
  <c r="S94" i="3"/>
  <c r="T94" i="3" s="1"/>
  <c r="S95" i="3"/>
  <c r="T95" i="3" s="1"/>
  <c r="S96" i="3"/>
  <c r="T96" i="3" s="1"/>
  <c r="S97" i="3"/>
  <c r="S98" i="3"/>
  <c r="T98" i="3" s="1"/>
  <c r="S99" i="3"/>
  <c r="T99" i="3" s="1"/>
  <c r="S100" i="3"/>
  <c r="T100" i="3" s="1"/>
  <c r="S101" i="3"/>
  <c r="S102" i="3"/>
  <c r="T102" i="3" s="1"/>
  <c r="S103" i="3"/>
  <c r="T103" i="3" s="1"/>
  <c r="S104" i="3"/>
  <c r="T104" i="3" s="1"/>
  <c r="S105" i="3"/>
  <c r="S106" i="3"/>
  <c r="T106" i="3" s="1"/>
  <c r="S107" i="3"/>
  <c r="T107" i="3" s="1"/>
  <c r="S108" i="3"/>
  <c r="T108" i="3" s="1"/>
  <c r="S109" i="3"/>
  <c r="S110" i="3"/>
  <c r="T110" i="3" s="1"/>
  <c r="S111" i="3"/>
  <c r="T111" i="3" s="1"/>
  <c r="S112" i="3"/>
  <c r="T112" i="3" s="1"/>
  <c r="S113" i="3"/>
  <c r="S114" i="3"/>
  <c r="T114" i="3" s="1"/>
  <c r="S115" i="3"/>
  <c r="T115" i="3" s="1"/>
  <c r="S116" i="3"/>
  <c r="T116" i="3" s="1"/>
  <c r="S117" i="3"/>
  <c r="S118" i="3"/>
  <c r="T118" i="3" s="1"/>
  <c r="S119" i="3"/>
  <c r="T119" i="3" s="1"/>
  <c r="S120" i="3"/>
  <c r="T120" i="3" s="1"/>
  <c r="S121" i="3"/>
  <c r="S122" i="3"/>
  <c r="T122" i="3" s="1"/>
  <c r="S123" i="3"/>
  <c r="T123" i="3" s="1"/>
  <c r="S124" i="3"/>
  <c r="T124" i="3" s="1"/>
  <c r="S125" i="3"/>
  <c r="S126" i="3"/>
  <c r="T126" i="3" s="1"/>
  <c r="S127" i="3"/>
  <c r="T127" i="3" s="1"/>
  <c r="S128" i="3"/>
  <c r="T128" i="3" s="1"/>
  <c r="S129" i="3"/>
  <c r="S130" i="3"/>
  <c r="T130" i="3" s="1"/>
  <c r="S131" i="3"/>
  <c r="T131" i="3" s="1"/>
  <c r="S132" i="3"/>
  <c r="T132" i="3" s="1"/>
  <c r="S133" i="3"/>
  <c r="S134" i="3"/>
  <c r="T134" i="3" s="1"/>
  <c r="S135" i="3"/>
  <c r="T135" i="3" s="1"/>
  <c r="S136" i="3"/>
  <c r="T136" i="3" s="1"/>
  <c r="S137" i="3"/>
  <c r="S138" i="3"/>
  <c r="T138" i="3" s="1"/>
  <c r="S139" i="3"/>
  <c r="T139" i="3" s="1"/>
  <c r="S140" i="3"/>
  <c r="T140" i="3" s="1"/>
  <c r="S141" i="3"/>
  <c r="S142" i="3"/>
  <c r="T142" i="3" s="1"/>
  <c r="S143" i="3"/>
  <c r="T143" i="3" s="1"/>
  <c r="S144" i="3"/>
  <c r="T144" i="3" s="1"/>
  <c r="S145" i="3"/>
  <c r="S146" i="3"/>
  <c r="T146" i="3" s="1"/>
  <c r="S147" i="3"/>
  <c r="T147" i="3" s="1"/>
  <c r="S148" i="3"/>
  <c r="T148" i="3" s="1"/>
  <c r="S149" i="3"/>
  <c r="S150" i="3"/>
  <c r="T150" i="3" s="1"/>
  <c r="S151" i="3"/>
  <c r="T151" i="3" s="1"/>
  <c r="S152" i="3"/>
  <c r="T152" i="3" s="1"/>
  <c r="S153" i="3"/>
  <c r="S154" i="3"/>
  <c r="T154" i="3" s="1"/>
  <c r="S155" i="3"/>
  <c r="T155" i="3" s="1"/>
  <c r="S156" i="3"/>
  <c r="T156" i="3" s="1"/>
  <c r="S157" i="3"/>
  <c r="S158" i="3"/>
  <c r="T158" i="3" s="1"/>
  <c r="S159" i="3"/>
  <c r="T159" i="3" s="1"/>
  <c r="S160" i="3"/>
  <c r="T160" i="3" s="1"/>
  <c r="S161" i="3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185" i="3"/>
  <c r="T185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5" i="3"/>
  <c r="T205" i="3" s="1"/>
  <c r="S206" i="3"/>
  <c r="T206" i="3" s="1"/>
  <c r="S207" i="3"/>
  <c r="T207" i="3" s="1"/>
  <c r="S208" i="3"/>
  <c r="S209" i="3"/>
  <c r="T209" i="3" s="1"/>
  <c r="S210" i="3"/>
  <c r="T210" i="3" s="1"/>
  <c r="S211" i="3"/>
  <c r="T211" i="3" s="1"/>
  <c r="S212" i="3"/>
  <c r="S213" i="3"/>
  <c r="T213" i="3" s="1"/>
  <c r="S214" i="3"/>
  <c r="T214" i="3" s="1"/>
  <c r="S215" i="3"/>
  <c r="T215" i="3" s="1"/>
  <c r="S216" i="3"/>
  <c r="S217" i="3"/>
  <c r="T217" i="3" s="1"/>
  <c r="S218" i="3"/>
  <c r="T218" i="3" s="1"/>
  <c r="S219" i="3"/>
  <c r="T219" i="3" s="1"/>
  <c r="S220" i="3"/>
  <c r="S221" i="3"/>
  <c r="T221" i="3" s="1"/>
  <c r="S222" i="3"/>
  <c r="T222" i="3" s="1"/>
  <c r="S223" i="3"/>
  <c r="T223" i="3" s="1"/>
  <c r="S224" i="3"/>
  <c r="S225" i="3"/>
  <c r="T225" i="3" s="1"/>
  <c r="S226" i="3"/>
  <c r="T226" i="3" s="1"/>
  <c r="S227" i="3"/>
  <c r="T227" i="3" s="1"/>
  <c r="S228" i="3"/>
  <c r="S229" i="3"/>
  <c r="T229" i="3" s="1"/>
  <c r="S230" i="3"/>
  <c r="T230" i="3" s="1"/>
  <c r="S231" i="3"/>
  <c r="T231" i="3" s="1"/>
  <c r="S232" i="3"/>
  <c r="T232" i="3" s="1"/>
  <c r="S233" i="3"/>
  <c r="T233" i="3" s="1"/>
  <c r="S234" i="3"/>
  <c r="T234" i="3" s="1"/>
  <c r="S235" i="3"/>
  <c r="T235" i="3" s="1"/>
  <c r="S236" i="3"/>
  <c r="T236" i="3" s="1"/>
  <c r="S237" i="3"/>
  <c r="S238" i="3"/>
  <c r="T238" i="3" s="1"/>
  <c r="S239" i="3"/>
  <c r="T239" i="3" s="1"/>
  <c r="S240" i="3"/>
  <c r="T240" i="3" s="1"/>
  <c r="S241" i="3"/>
  <c r="S242" i="3"/>
  <c r="T242" i="3" s="1"/>
  <c r="S243" i="3"/>
  <c r="T243" i="3" s="1"/>
  <c r="S244" i="3"/>
  <c r="T244" i="3" s="1"/>
  <c r="S245" i="3"/>
  <c r="S246" i="3"/>
  <c r="T246" i="3" s="1"/>
  <c r="S247" i="3"/>
  <c r="T247" i="3" s="1"/>
  <c r="S248" i="3"/>
  <c r="T248" i="3" s="1"/>
  <c r="S249" i="3"/>
  <c r="S250" i="3"/>
  <c r="T250" i="3" s="1"/>
  <c r="S251" i="3"/>
  <c r="T251" i="3" s="1"/>
  <c r="S252" i="3"/>
  <c r="S253" i="3"/>
  <c r="T253" i="3" s="1"/>
  <c r="S254" i="3"/>
  <c r="T254" i="3" s="1"/>
  <c r="S255" i="3"/>
  <c r="T255" i="3" s="1"/>
  <c r="S256" i="3"/>
  <c r="S257" i="3"/>
  <c r="T257" i="3" s="1"/>
  <c r="S258" i="3"/>
  <c r="T258" i="3" s="1"/>
  <c r="S259" i="3"/>
  <c r="T259" i="3" s="1"/>
  <c r="S260" i="3"/>
  <c r="S261" i="3"/>
  <c r="T261" i="3" s="1"/>
  <c r="S262" i="3"/>
  <c r="T262" i="3" s="1"/>
  <c r="S263" i="3"/>
  <c r="T263" i="3" s="1"/>
  <c r="S264" i="3"/>
  <c r="S265" i="3"/>
  <c r="T265" i="3" s="1"/>
  <c r="S266" i="3"/>
  <c r="T266" i="3" s="1"/>
  <c r="S267" i="3"/>
  <c r="T267" i="3" s="1"/>
  <c r="S268" i="3"/>
  <c r="S269" i="3"/>
  <c r="T269" i="3" s="1"/>
  <c r="S270" i="3"/>
  <c r="T270" i="3" s="1"/>
  <c r="S271" i="3"/>
  <c r="T271" i="3" s="1"/>
  <c r="S272" i="3"/>
  <c r="S273" i="3"/>
  <c r="T273" i="3" s="1"/>
  <c r="S274" i="3"/>
  <c r="T274" i="3" s="1"/>
  <c r="S275" i="3"/>
  <c r="T275" i="3" s="1"/>
  <c r="S276" i="3"/>
  <c r="S277" i="3"/>
  <c r="T277" i="3" s="1"/>
  <c r="S278" i="3"/>
  <c r="T278" i="3" s="1"/>
  <c r="S279" i="3"/>
  <c r="T279" i="3" s="1"/>
  <c r="S280" i="3"/>
  <c r="S281" i="3"/>
  <c r="T281" i="3" s="1"/>
  <c r="S282" i="3"/>
  <c r="T282" i="3" s="1"/>
  <c r="S283" i="3"/>
  <c r="T283" i="3" s="1"/>
  <c r="S284" i="3"/>
  <c r="S285" i="3"/>
  <c r="T285" i="3" s="1"/>
  <c r="S286" i="3"/>
  <c r="T286" i="3" s="1"/>
  <c r="S287" i="3"/>
  <c r="T287" i="3" s="1"/>
  <c r="S288" i="3"/>
  <c r="S289" i="3"/>
  <c r="T289" i="3" s="1"/>
  <c r="S290" i="3"/>
  <c r="T290" i="3" s="1"/>
  <c r="S291" i="3"/>
  <c r="T291" i="3" s="1"/>
  <c r="S292" i="3"/>
  <c r="S293" i="3"/>
  <c r="T293" i="3" s="1"/>
  <c r="S294" i="3"/>
  <c r="T294" i="3" s="1"/>
  <c r="S295" i="3"/>
  <c r="T295" i="3" s="1"/>
  <c r="S296" i="3"/>
  <c r="S297" i="3"/>
  <c r="T297" i="3" s="1"/>
  <c r="S298" i="3"/>
  <c r="T298" i="3" s="1"/>
  <c r="S299" i="3"/>
  <c r="T299" i="3" s="1"/>
  <c r="S300" i="3"/>
  <c r="S301" i="3"/>
  <c r="T301" i="3" s="1"/>
  <c r="S302" i="3"/>
  <c r="T302" i="3" s="1"/>
  <c r="S303" i="3"/>
  <c r="T303" i="3" s="1"/>
  <c r="S304" i="3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5" i="3"/>
  <c r="T315" i="3" s="1"/>
  <c r="S316" i="3"/>
  <c r="T316" i="3" s="1"/>
  <c r="S317" i="3"/>
  <c r="T317" i="3" s="1"/>
  <c r="S318" i="3"/>
  <c r="T318" i="3" s="1"/>
  <c r="S319" i="3"/>
  <c r="T319" i="3" s="1"/>
  <c r="S320" i="3"/>
  <c r="T320" i="3" s="1"/>
  <c r="S321" i="3"/>
  <c r="T321" i="3" s="1"/>
  <c r="S322" i="3"/>
  <c r="T322" i="3" s="1"/>
  <c r="S323" i="3"/>
  <c r="T323" i="3" s="1"/>
  <c r="S324" i="3"/>
  <c r="T324" i="3" s="1"/>
  <c r="S325" i="3"/>
  <c r="T325" i="3" s="1"/>
  <c r="S326" i="3"/>
  <c r="T326" i="3" s="1"/>
  <c r="S327" i="3"/>
  <c r="T327" i="3" s="1"/>
  <c r="S328" i="3"/>
  <c r="T328" i="3" s="1"/>
  <c r="S329" i="3"/>
  <c r="T329" i="3" s="1"/>
  <c r="S330" i="3"/>
  <c r="T330" i="3" s="1"/>
  <c r="S331" i="3"/>
  <c r="T331" i="3" s="1"/>
  <c r="S332" i="3"/>
  <c r="T332" i="3" s="1"/>
  <c r="S333" i="3"/>
  <c r="T333" i="3" s="1"/>
  <c r="S334" i="3"/>
  <c r="T334" i="3" s="1"/>
  <c r="S335" i="3"/>
  <c r="T335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3" i="3"/>
  <c r="T343" i="3" s="1"/>
  <c r="S344" i="3"/>
  <c r="T344" i="3" s="1"/>
  <c r="S345" i="3"/>
  <c r="T345" i="3" s="1"/>
  <c r="S346" i="3"/>
  <c r="T346" i="3" s="1"/>
  <c r="S347" i="3"/>
  <c r="T347" i="3" s="1"/>
  <c r="S348" i="3"/>
  <c r="T348" i="3" s="1"/>
  <c r="S349" i="3"/>
  <c r="S350" i="3"/>
  <c r="T350" i="3" s="1"/>
  <c r="S351" i="3"/>
  <c r="T351" i="3" s="1"/>
  <c r="S352" i="3"/>
  <c r="T352" i="3" s="1"/>
  <c r="S353" i="3"/>
  <c r="T353" i="3" s="1"/>
  <c r="S354" i="3"/>
  <c r="T354" i="3" s="1"/>
  <c r="S355" i="3"/>
  <c r="T355" i="3" s="1"/>
  <c r="S356" i="3"/>
  <c r="T356" i="3" s="1"/>
  <c r="S357" i="3"/>
  <c r="T357" i="3" s="1"/>
  <c r="S358" i="3"/>
  <c r="T358" i="3" s="1"/>
  <c r="S359" i="3"/>
  <c r="T359" i="3" s="1"/>
  <c r="S360" i="3"/>
  <c r="T360" i="3" s="1"/>
  <c r="S361" i="3"/>
  <c r="T361" i="3" s="1"/>
  <c r="S362" i="3"/>
  <c r="T362" i="3" s="1"/>
  <c r="S363" i="3"/>
  <c r="T363" i="3" s="1"/>
  <c r="S364" i="3"/>
  <c r="T364" i="3" s="1"/>
  <c r="S365" i="3"/>
  <c r="T365" i="3" s="1"/>
  <c r="S366" i="3"/>
  <c r="T366" i="3" s="1"/>
  <c r="S367" i="3"/>
  <c r="T367" i="3" s="1"/>
  <c r="S368" i="3"/>
  <c r="T368" i="3" s="1"/>
  <c r="S369" i="3"/>
  <c r="T369" i="3" s="1"/>
  <c r="S370" i="3"/>
  <c r="T370" i="3" s="1"/>
  <c r="S371" i="3"/>
  <c r="T371" i="3" s="1"/>
  <c r="S372" i="3"/>
  <c r="T372" i="3" s="1"/>
  <c r="S373" i="3"/>
  <c r="T373" i="3" s="1"/>
  <c r="S374" i="3"/>
  <c r="T374" i="3" s="1"/>
  <c r="S375" i="3"/>
  <c r="T375" i="3" s="1"/>
  <c r="S376" i="3"/>
  <c r="T376" i="3" s="1"/>
  <c r="S377" i="3"/>
  <c r="T377" i="3" s="1"/>
  <c r="S378" i="3"/>
  <c r="T378" i="3" s="1"/>
  <c r="S379" i="3"/>
  <c r="T379" i="3" s="1"/>
  <c r="S380" i="3"/>
  <c r="T380" i="3" s="1"/>
  <c r="S381" i="3"/>
  <c r="S382" i="3"/>
  <c r="T382" i="3" s="1"/>
  <c r="S383" i="3"/>
  <c r="T383" i="3" s="1"/>
  <c r="S384" i="3"/>
  <c r="T384" i="3" s="1"/>
  <c r="S385" i="3"/>
  <c r="T385" i="3" s="1"/>
  <c r="S386" i="3"/>
  <c r="T386" i="3" s="1"/>
  <c r="S387" i="3"/>
  <c r="T387" i="3" s="1"/>
  <c r="S388" i="3"/>
  <c r="T388" i="3" s="1"/>
  <c r="S389" i="3"/>
  <c r="T389" i="3" s="1"/>
  <c r="S390" i="3"/>
  <c r="T390" i="3" s="1"/>
  <c r="S391" i="3"/>
  <c r="T391" i="3" s="1"/>
  <c r="S392" i="3"/>
  <c r="T392" i="3" s="1"/>
  <c r="S393" i="3"/>
  <c r="T393" i="3" s="1"/>
  <c r="S394" i="3"/>
  <c r="T394" i="3" s="1"/>
  <c r="S395" i="3"/>
  <c r="T395" i="3" s="1"/>
  <c r="S396" i="3"/>
  <c r="T396" i="3" s="1"/>
  <c r="S397" i="3"/>
  <c r="S398" i="3"/>
  <c r="T398" i="3" s="1"/>
  <c r="S399" i="3"/>
  <c r="T399" i="3" s="1"/>
  <c r="S400" i="3"/>
  <c r="T400" i="3" s="1"/>
  <c r="S401" i="3"/>
  <c r="S402" i="3"/>
  <c r="T402" i="3" s="1"/>
  <c r="S403" i="3"/>
  <c r="T403" i="3" s="1"/>
  <c r="S404" i="3"/>
  <c r="T404" i="3" s="1"/>
  <c r="S405" i="3"/>
  <c r="S406" i="3"/>
  <c r="T406" i="3" s="1"/>
  <c r="S407" i="3"/>
  <c r="T407" i="3" s="1"/>
  <c r="S408" i="3"/>
  <c r="T408" i="3" s="1"/>
  <c r="S409" i="3"/>
  <c r="S410" i="3"/>
  <c r="T410" i="3" s="1"/>
  <c r="S411" i="3"/>
  <c r="T411" i="3" s="1"/>
  <c r="S412" i="3"/>
  <c r="S413" i="3"/>
  <c r="S414" i="3"/>
  <c r="T414" i="3" s="1"/>
  <c r="S415" i="3"/>
  <c r="T415" i="3" s="1"/>
  <c r="S416" i="3"/>
  <c r="T416" i="3" s="1"/>
  <c r="S417" i="3"/>
  <c r="S418" i="3"/>
  <c r="T418" i="3" s="1"/>
  <c r="S419" i="3"/>
  <c r="T419" i="3" s="1"/>
  <c r="S420" i="3"/>
  <c r="T420" i="3" s="1"/>
  <c r="S421" i="3"/>
  <c r="S422" i="3"/>
  <c r="T422" i="3" s="1"/>
  <c r="S423" i="3"/>
  <c r="T423" i="3" s="1"/>
  <c r="S424" i="3"/>
  <c r="S425" i="3"/>
  <c r="T425" i="3" s="1"/>
  <c r="S426" i="3"/>
  <c r="T426" i="3" s="1"/>
  <c r="S427" i="3"/>
  <c r="T427" i="3" s="1"/>
  <c r="S428" i="3"/>
  <c r="S429" i="3"/>
  <c r="T429" i="3" s="1"/>
  <c r="S430" i="3"/>
  <c r="T430" i="3" s="1"/>
  <c r="S431" i="3"/>
  <c r="T431" i="3" s="1"/>
  <c r="S432" i="3"/>
  <c r="T432" i="3" s="1"/>
  <c r="S433" i="3"/>
  <c r="T433" i="3" s="1"/>
  <c r="S434" i="3"/>
  <c r="T434" i="3" s="1"/>
  <c r="S435" i="3"/>
  <c r="T435" i="3" s="1"/>
  <c r="S436" i="3"/>
  <c r="T436" i="3" s="1"/>
  <c r="S437" i="3"/>
  <c r="T437" i="3" s="1"/>
  <c r="S438" i="3"/>
  <c r="T438" i="3" s="1"/>
  <c r="S439" i="3"/>
  <c r="T439" i="3" s="1"/>
  <c r="S440" i="3"/>
  <c r="S441" i="3"/>
  <c r="T441" i="3" s="1"/>
  <c r="S442" i="3"/>
  <c r="T442" i="3" s="1"/>
  <c r="S443" i="3"/>
  <c r="T443" i="3" s="1"/>
  <c r="S444" i="3"/>
  <c r="T444" i="3" s="1"/>
  <c r="S445" i="3"/>
  <c r="T445" i="3" s="1"/>
  <c r="S446" i="3"/>
  <c r="T446" i="3" s="1"/>
  <c r="S447" i="3"/>
  <c r="T447" i="3" s="1"/>
  <c r="S448" i="3"/>
  <c r="S449" i="3"/>
  <c r="T449" i="3" s="1"/>
  <c r="S450" i="3"/>
  <c r="T450" i="3" s="1"/>
  <c r="S451" i="3"/>
  <c r="T451" i="3" s="1"/>
  <c r="S452" i="3"/>
  <c r="T452" i="3" s="1"/>
  <c r="S453" i="3"/>
  <c r="T453" i="3" s="1"/>
  <c r="S454" i="3"/>
  <c r="T454" i="3" s="1"/>
  <c r="S455" i="3"/>
  <c r="T455" i="3" s="1"/>
  <c r="S456" i="3"/>
  <c r="T456" i="3" s="1"/>
  <c r="S457" i="3"/>
  <c r="T457" i="3" s="1"/>
  <c r="S458" i="3"/>
  <c r="T458" i="3" s="1"/>
  <c r="S459" i="3"/>
  <c r="T459" i="3" s="1"/>
  <c r="S460" i="3"/>
  <c r="T460" i="3" s="1"/>
  <c r="S461" i="3"/>
  <c r="T461" i="3" s="1"/>
  <c r="S462" i="3"/>
  <c r="T462" i="3" s="1"/>
  <c r="S463" i="3"/>
  <c r="T463" i="3" s="1"/>
  <c r="S464" i="3"/>
  <c r="T464" i="3" s="1"/>
  <c r="S465" i="3"/>
  <c r="T465" i="3" s="1"/>
  <c r="S466" i="3"/>
  <c r="T466" i="3" s="1"/>
  <c r="S467" i="3"/>
  <c r="T467" i="3" s="1"/>
  <c r="S468" i="3"/>
  <c r="T468" i="3" s="1"/>
  <c r="S469" i="3"/>
  <c r="T469" i="3" s="1"/>
  <c r="S470" i="3"/>
  <c r="T470" i="3" s="1"/>
  <c r="S471" i="3"/>
  <c r="T471" i="3" s="1"/>
  <c r="S472" i="3"/>
  <c r="T472" i="3" s="1"/>
  <c r="S473" i="3"/>
  <c r="T473" i="3" s="1"/>
  <c r="S474" i="3"/>
  <c r="T474" i="3" s="1"/>
  <c r="S475" i="3"/>
  <c r="T475" i="3" s="1"/>
  <c r="S476" i="3"/>
  <c r="T476" i="3" s="1"/>
  <c r="S477" i="3"/>
  <c r="T477" i="3" s="1"/>
  <c r="S478" i="3"/>
  <c r="T478" i="3" s="1"/>
  <c r="S479" i="3"/>
  <c r="T479" i="3" s="1"/>
  <c r="S480" i="3"/>
  <c r="T480" i="3" s="1"/>
  <c r="S481" i="3"/>
  <c r="T481" i="3" s="1"/>
  <c r="S482" i="3"/>
  <c r="T482" i="3" s="1"/>
  <c r="S483" i="3"/>
  <c r="T483" i="3" s="1"/>
  <c r="S484" i="3"/>
  <c r="T484" i="3" s="1"/>
  <c r="S485" i="3"/>
  <c r="T485" i="3" s="1"/>
  <c r="S486" i="3"/>
  <c r="T486" i="3" s="1"/>
  <c r="S487" i="3"/>
  <c r="T487" i="3" s="1"/>
  <c r="S488" i="3"/>
  <c r="T488" i="3" s="1"/>
  <c r="S489" i="3"/>
  <c r="T489" i="3" s="1"/>
  <c r="S490" i="3"/>
  <c r="T490" i="3" s="1"/>
  <c r="S491" i="3"/>
  <c r="T491" i="3" s="1"/>
  <c r="S492" i="3"/>
  <c r="T492" i="3" s="1"/>
  <c r="S493" i="3"/>
  <c r="T493" i="3" s="1"/>
  <c r="S494" i="3"/>
  <c r="T494" i="3" s="1"/>
  <c r="S495" i="3"/>
  <c r="T495" i="3" s="1"/>
  <c r="S496" i="3"/>
  <c r="T496" i="3" s="1"/>
  <c r="S497" i="3"/>
  <c r="S498" i="3"/>
  <c r="T498" i="3" s="1"/>
  <c r="S499" i="3"/>
  <c r="T499" i="3" s="1"/>
  <c r="S500" i="3"/>
  <c r="T500" i="3" s="1"/>
  <c r="S501" i="3"/>
  <c r="S502" i="3"/>
  <c r="T502" i="3" s="1"/>
  <c r="S503" i="3"/>
  <c r="T503" i="3" s="1"/>
  <c r="S504" i="3"/>
  <c r="T504" i="3" s="1"/>
  <c r="S505" i="3"/>
  <c r="S506" i="3"/>
  <c r="T506" i="3" s="1"/>
  <c r="S507" i="3"/>
  <c r="T507" i="3" s="1"/>
  <c r="S508" i="3"/>
  <c r="T508" i="3" s="1"/>
  <c r="S509" i="3"/>
  <c r="S510" i="3"/>
  <c r="T510" i="3" s="1"/>
  <c r="S511" i="3"/>
  <c r="T511" i="3" s="1"/>
  <c r="S512" i="3"/>
  <c r="T512" i="3" s="1"/>
  <c r="S513" i="3"/>
  <c r="S514" i="3"/>
  <c r="T514" i="3" s="1"/>
  <c r="S515" i="3"/>
  <c r="T515" i="3" s="1"/>
  <c r="S516" i="3"/>
  <c r="T516" i="3" s="1"/>
  <c r="S517" i="3"/>
  <c r="S518" i="3"/>
  <c r="T518" i="3" s="1"/>
  <c r="S519" i="3"/>
  <c r="T519" i="3" s="1"/>
  <c r="S520" i="3"/>
  <c r="S521" i="3"/>
  <c r="S522" i="3"/>
  <c r="T522" i="3" s="1"/>
  <c r="S523" i="3"/>
  <c r="T523" i="3" s="1"/>
  <c r="S524" i="3"/>
  <c r="T524" i="3" s="1"/>
  <c r="S525" i="3"/>
  <c r="S526" i="3"/>
  <c r="T526" i="3" s="1"/>
  <c r="S527" i="3"/>
  <c r="T527" i="3" s="1"/>
  <c r="S528" i="3"/>
  <c r="T528" i="3" s="1"/>
  <c r="S529" i="3"/>
  <c r="S530" i="3"/>
  <c r="T530" i="3" s="1"/>
  <c r="S531" i="3"/>
  <c r="T531" i="3" s="1"/>
  <c r="S532" i="3"/>
  <c r="T532" i="3" s="1"/>
  <c r="S533" i="3"/>
  <c r="S534" i="3"/>
  <c r="T534" i="3" s="1"/>
  <c r="S535" i="3"/>
  <c r="T535" i="3" s="1"/>
  <c r="S536" i="3"/>
  <c r="T536" i="3" s="1"/>
  <c r="S537" i="3"/>
  <c r="S538" i="3"/>
  <c r="T538" i="3" s="1"/>
  <c r="S539" i="3"/>
  <c r="T539" i="3" s="1"/>
  <c r="S540" i="3"/>
  <c r="T540" i="3" s="1"/>
  <c r="S541" i="3"/>
  <c r="S542" i="3"/>
  <c r="T542" i="3" s="1"/>
  <c r="S543" i="3"/>
  <c r="T543" i="3" s="1"/>
  <c r="S544" i="3"/>
  <c r="T544" i="3" s="1"/>
  <c r="S545" i="3"/>
  <c r="S546" i="3"/>
  <c r="T546" i="3" s="1"/>
  <c r="S547" i="3"/>
  <c r="T547" i="3" s="1"/>
  <c r="S548" i="3"/>
  <c r="T548" i="3" s="1"/>
  <c r="S549" i="3"/>
  <c r="S550" i="3"/>
  <c r="T550" i="3" s="1"/>
  <c r="S551" i="3"/>
  <c r="T551" i="3" s="1"/>
  <c r="S552" i="3"/>
  <c r="S553" i="3"/>
  <c r="T553" i="3" s="1"/>
  <c r="S554" i="3"/>
  <c r="T554" i="3" s="1"/>
  <c r="S555" i="3"/>
  <c r="T555" i="3" s="1"/>
  <c r="S556" i="3"/>
  <c r="S557" i="3"/>
  <c r="T557" i="3" s="1"/>
  <c r="S558" i="3"/>
  <c r="T558" i="3" s="1"/>
  <c r="S559" i="3"/>
  <c r="T559" i="3" s="1"/>
  <c r="S560" i="3"/>
  <c r="S561" i="3"/>
  <c r="S562" i="3"/>
  <c r="T562" i="3" s="1"/>
  <c r="S563" i="3"/>
  <c r="T563" i="3" s="1"/>
  <c r="S564" i="3"/>
  <c r="T564" i="3" s="1"/>
  <c r="S565" i="3"/>
  <c r="S566" i="3"/>
  <c r="T566" i="3" s="1"/>
  <c r="S567" i="3"/>
  <c r="T567" i="3" s="1"/>
  <c r="S568" i="3"/>
  <c r="T568" i="3" s="1"/>
  <c r="S569" i="3"/>
  <c r="S570" i="3"/>
  <c r="T570" i="3" s="1"/>
  <c r="S571" i="3"/>
  <c r="T571" i="3" s="1"/>
  <c r="S572" i="3"/>
  <c r="T572" i="3" s="1"/>
  <c r="S573" i="3"/>
  <c r="S574" i="3"/>
  <c r="T574" i="3" s="1"/>
  <c r="S575" i="3"/>
  <c r="T575" i="3" s="1"/>
  <c r="S576" i="3"/>
  <c r="T576" i="3" s="1"/>
  <c r="S577" i="3"/>
  <c r="S578" i="3"/>
  <c r="T578" i="3" s="1"/>
  <c r="S579" i="3"/>
  <c r="T579" i="3" s="1"/>
  <c r="S580" i="3"/>
  <c r="T580" i="3" s="1"/>
  <c r="S581" i="3"/>
  <c r="S582" i="3"/>
  <c r="T582" i="3" s="1"/>
  <c r="S583" i="3"/>
  <c r="T583" i="3" s="1"/>
  <c r="S584" i="3"/>
  <c r="T584" i="3" s="1"/>
  <c r="S585" i="3"/>
  <c r="S586" i="3"/>
  <c r="T586" i="3" s="1"/>
  <c r="S587" i="3"/>
  <c r="T587" i="3" s="1"/>
  <c r="S588" i="3"/>
  <c r="T588" i="3" s="1"/>
  <c r="S589" i="3"/>
  <c r="S590" i="3"/>
  <c r="T590" i="3" s="1"/>
  <c r="S591" i="3"/>
  <c r="T591" i="3" s="1"/>
  <c r="S592" i="3"/>
  <c r="T592" i="3" s="1"/>
  <c r="S593" i="3"/>
  <c r="S594" i="3"/>
  <c r="T594" i="3" s="1"/>
  <c r="S595" i="3"/>
  <c r="T595" i="3" s="1"/>
  <c r="S596" i="3"/>
  <c r="T596" i="3" s="1"/>
  <c r="S597" i="3"/>
  <c r="S598" i="3"/>
  <c r="T598" i="3" s="1"/>
  <c r="S599" i="3"/>
  <c r="T599" i="3" s="1"/>
  <c r="S600" i="3"/>
  <c r="T600" i="3" s="1"/>
  <c r="S601" i="3"/>
  <c r="S602" i="3"/>
  <c r="T602" i="3" s="1"/>
  <c r="S603" i="3"/>
  <c r="T603" i="3" s="1"/>
  <c r="S604" i="3"/>
  <c r="T604" i="3" s="1"/>
  <c r="S605" i="3"/>
  <c r="S606" i="3"/>
  <c r="T606" i="3" s="1"/>
  <c r="S607" i="3"/>
  <c r="T607" i="3" s="1"/>
  <c r="S608" i="3"/>
  <c r="T608" i="3" s="1"/>
  <c r="S609" i="3"/>
  <c r="S610" i="3"/>
  <c r="T610" i="3" s="1"/>
  <c r="S611" i="3"/>
  <c r="T611" i="3" s="1"/>
  <c r="S612" i="3"/>
  <c r="T612" i="3" s="1"/>
  <c r="S613" i="3"/>
  <c r="T613" i="3" s="1"/>
  <c r="S614" i="3"/>
  <c r="T614" i="3" s="1"/>
  <c r="S615" i="3"/>
  <c r="T615" i="3" s="1"/>
  <c r="S616" i="3"/>
  <c r="S617" i="3"/>
  <c r="T617" i="3" s="1"/>
  <c r="S618" i="3"/>
  <c r="T618" i="3" s="1"/>
  <c r="S619" i="3"/>
  <c r="T619" i="3" s="1"/>
  <c r="S620" i="3"/>
  <c r="S621" i="3"/>
  <c r="T621" i="3" s="1"/>
  <c r="S622" i="3"/>
  <c r="T622" i="3" s="1"/>
  <c r="S623" i="3"/>
  <c r="T623" i="3" s="1"/>
  <c r="S624" i="3"/>
  <c r="S625" i="3"/>
  <c r="T625" i="3" s="1"/>
  <c r="S626" i="3"/>
  <c r="T626" i="3" s="1"/>
  <c r="S627" i="3"/>
  <c r="T627" i="3" s="1"/>
  <c r="S628" i="3"/>
  <c r="S629" i="3"/>
  <c r="T629" i="3" s="1"/>
  <c r="S630" i="3"/>
  <c r="T630" i="3" s="1"/>
  <c r="S631" i="3"/>
  <c r="T631" i="3" s="1"/>
  <c r="S632" i="3"/>
  <c r="S633" i="3"/>
  <c r="T633" i="3" s="1"/>
  <c r="S634" i="3"/>
  <c r="T634" i="3" s="1"/>
  <c r="S635" i="3"/>
  <c r="T635" i="3" s="1"/>
  <c r="S636" i="3"/>
  <c r="S637" i="3"/>
  <c r="T637" i="3" s="1"/>
  <c r="S638" i="3"/>
  <c r="T638" i="3" s="1"/>
  <c r="S639" i="3"/>
  <c r="T639" i="3" s="1"/>
  <c r="S640" i="3"/>
  <c r="S641" i="3"/>
  <c r="T641" i="3" s="1"/>
  <c r="S642" i="3"/>
  <c r="T642" i="3" s="1"/>
  <c r="S643" i="3"/>
  <c r="T643" i="3" s="1"/>
  <c r="S644" i="3"/>
  <c r="S645" i="3"/>
  <c r="T645" i="3" s="1"/>
  <c r="S646" i="3"/>
  <c r="T646" i="3" s="1"/>
  <c r="S647" i="3"/>
  <c r="T647" i="3" s="1"/>
  <c r="S648" i="3"/>
  <c r="S649" i="3"/>
  <c r="T649" i="3" s="1"/>
  <c r="S650" i="3"/>
  <c r="T650" i="3" s="1"/>
  <c r="S651" i="3"/>
  <c r="T651" i="3" s="1"/>
  <c r="S652" i="3"/>
  <c r="S653" i="3"/>
  <c r="T653" i="3" s="1"/>
  <c r="S654" i="3"/>
  <c r="T654" i="3" s="1"/>
  <c r="S655" i="3"/>
  <c r="T655" i="3" s="1"/>
  <c r="S656" i="3"/>
  <c r="T656" i="3" s="1"/>
  <c r="S657" i="3"/>
  <c r="T657" i="3" s="1"/>
  <c r="S658" i="3"/>
  <c r="T658" i="3" s="1"/>
  <c r="S659" i="3"/>
  <c r="T659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668" i="3"/>
  <c r="T668" i="3" s="1"/>
  <c r="S669" i="3"/>
  <c r="T669" i="3" s="1"/>
  <c r="S670" i="3"/>
  <c r="T670" i="3" s="1"/>
  <c r="S671" i="3"/>
  <c r="T671" i="3" s="1"/>
  <c r="S672" i="3"/>
  <c r="T672" i="3" s="1"/>
  <c r="S673" i="3"/>
  <c r="T673" i="3" s="1"/>
  <c r="S674" i="3"/>
  <c r="T674" i="3" s="1"/>
  <c r="S675" i="3"/>
  <c r="T675" i="3" s="1"/>
  <c r="S676" i="3"/>
  <c r="T676" i="3" s="1"/>
  <c r="S677" i="3"/>
  <c r="S678" i="3"/>
  <c r="T678" i="3" s="1"/>
  <c r="S679" i="3"/>
  <c r="T679" i="3" s="1"/>
  <c r="S680" i="3"/>
  <c r="T680" i="3" s="1"/>
  <c r="S681" i="3"/>
  <c r="T681" i="3" s="1"/>
  <c r="S682" i="3"/>
  <c r="T682" i="3" s="1"/>
  <c r="S683" i="3"/>
  <c r="T683" i="3" s="1"/>
  <c r="S684" i="3"/>
  <c r="T684" i="3" s="1"/>
  <c r="S685" i="3"/>
  <c r="S686" i="3"/>
  <c r="T686" i="3" s="1"/>
  <c r="S687" i="3"/>
  <c r="T687" i="3" s="1"/>
  <c r="S688" i="3"/>
  <c r="T688" i="3" s="1"/>
  <c r="S689" i="3"/>
  <c r="T689" i="3" s="1"/>
  <c r="S690" i="3"/>
  <c r="T690" i="3" s="1"/>
  <c r="S691" i="3"/>
  <c r="T691" i="3" s="1"/>
  <c r="S692" i="3"/>
  <c r="T692" i="3" s="1"/>
  <c r="S693" i="3"/>
  <c r="S694" i="3"/>
  <c r="T694" i="3" s="1"/>
  <c r="S695" i="3"/>
  <c r="T695" i="3" s="1"/>
  <c r="S696" i="3"/>
  <c r="T696" i="3" s="1"/>
  <c r="S697" i="3"/>
  <c r="T697" i="3" s="1"/>
  <c r="S698" i="3"/>
  <c r="T698" i="3" s="1"/>
  <c r="S699" i="3"/>
  <c r="T699" i="3" s="1"/>
  <c r="S700" i="3"/>
  <c r="T700" i="3" s="1"/>
  <c r="S701" i="3"/>
  <c r="T701" i="3" s="1"/>
  <c r="S702" i="3"/>
  <c r="T702" i="3" s="1"/>
  <c r="S703" i="3"/>
  <c r="T703" i="3" s="1"/>
  <c r="S704" i="3"/>
  <c r="T704" i="3" s="1"/>
  <c r="S705" i="3"/>
  <c r="S706" i="3"/>
  <c r="T706" i="3" s="1"/>
  <c r="S707" i="3"/>
  <c r="T707" i="3" s="1"/>
  <c r="S708" i="3"/>
  <c r="T708" i="3" s="1"/>
  <c r="S709" i="3"/>
  <c r="T709" i="3" s="1"/>
  <c r="S710" i="3"/>
  <c r="T710" i="3" s="1"/>
  <c r="S711" i="3"/>
  <c r="T711" i="3" s="1"/>
  <c r="S712" i="3"/>
  <c r="T712" i="3" s="1"/>
  <c r="S713" i="3"/>
  <c r="S714" i="3"/>
  <c r="T714" i="3" s="1"/>
  <c r="S715" i="3"/>
  <c r="T715" i="3" s="1"/>
  <c r="S716" i="3"/>
  <c r="T716" i="3" s="1"/>
  <c r="S717" i="3"/>
  <c r="T717" i="3" s="1"/>
  <c r="S718" i="3"/>
  <c r="T718" i="3" s="1"/>
  <c r="S719" i="3"/>
  <c r="T719" i="3" s="1"/>
  <c r="S720" i="3"/>
  <c r="T720" i="3" s="1"/>
  <c r="S721" i="3"/>
  <c r="S722" i="3"/>
  <c r="T722" i="3" s="1"/>
  <c r="S723" i="3"/>
  <c r="T723" i="3" s="1"/>
  <c r="S724" i="3"/>
  <c r="T724" i="3" s="1"/>
  <c r="S725" i="3"/>
  <c r="T725" i="3" s="1"/>
  <c r="S726" i="3"/>
  <c r="T726" i="3" s="1"/>
  <c r="S727" i="3"/>
  <c r="T727" i="3" s="1"/>
  <c r="S728" i="3"/>
  <c r="T728" i="3" s="1"/>
  <c r="S729" i="3"/>
  <c r="S730" i="3"/>
  <c r="T730" i="3" s="1"/>
  <c r="S731" i="3"/>
  <c r="T731" i="3" s="1"/>
  <c r="S732" i="3"/>
  <c r="T732" i="3" s="1"/>
  <c r="S733" i="3"/>
  <c r="T733" i="3" s="1"/>
  <c r="S734" i="3"/>
  <c r="T734" i="3" s="1"/>
  <c r="S735" i="3"/>
  <c r="T735" i="3" s="1"/>
  <c r="S736" i="3"/>
  <c r="T736" i="3" s="1"/>
  <c r="S737" i="3"/>
  <c r="T737" i="3" s="1"/>
  <c r="S738" i="3"/>
  <c r="T738" i="3" s="1"/>
  <c r="S739" i="3"/>
  <c r="T739" i="3" s="1"/>
  <c r="S740" i="3"/>
  <c r="T740" i="3" s="1"/>
  <c r="S741" i="3"/>
  <c r="S742" i="3"/>
  <c r="T742" i="3" s="1"/>
  <c r="S743" i="3"/>
  <c r="T743" i="3" s="1"/>
  <c r="S744" i="3"/>
  <c r="T744" i="3" s="1"/>
  <c r="S745" i="3"/>
  <c r="T745" i="3" s="1"/>
  <c r="S746" i="3"/>
  <c r="T746" i="3" s="1"/>
  <c r="S747" i="3"/>
  <c r="T747" i="3" s="1"/>
  <c r="S748" i="3"/>
  <c r="T748" i="3" s="1"/>
  <c r="S749" i="3"/>
  <c r="S750" i="3"/>
  <c r="T750" i="3" s="1"/>
  <c r="S751" i="3"/>
  <c r="T751" i="3" s="1"/>
  <c r="S752" i="3"/>
  <c r="T752" i="3" s="1"/>
  <c r="S753" i="3"/>
  <c r="T753" i="3" s="1"/>
  <c r="S754" i="3"/>
  <c r="T754" i="3" s="1"/>
  <c r="S755" i="3"/>
  <c r="T755" i="3" s="1"/>
  <c r="S756" i="3"/>
  <c r="T756" i="3" s="1"/>
  <c r="S757" i="3"/>
  <c r="S758" i="3"/>
  <c r="T758" i="3" s="1"/>
  <c r="S759" i="3"/>
  <c r="T759" i="3" s="1"/>
  <c r="S760" i="3"/>
  <c r="T760" i="3" s="1"/>
  <c r="S761" i="3"/>
  <c r="T761" i="3" s="1"/>
  <c r="S762" i="3"/>
  <c r="T762" i="3" s="1"/>
  <c r="S763" i="3"/>
  <c r="T763" i="3" s="1"/>
  <c r="S764" i="3"/>
  <c r="T764" i="3" s="1"/>
  <c r="S765" i="3"/>
  <c r="T765" i="3" s="1"/>
  <c r="S766" i="3"/>
  <c r="T766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773" i="3"/>
  <c r="S774" i="3"/>
  <c r="T774" i="3" s="1"/>
  <c r="S775" i="3"/>
  <c r="T775" i="3" s="1"/>
  <c r="S776" i="3"/>
  <c r="T776" i="3" s="1"/>
  <c r="S777" i="3"/>
  <c r="T777" i="3" s="1"/>
  <c r="S778" i="3"/>
  <c r="T778" i="3" s="1"/>
  <c r="S779" i="3"/>
  <c r="T779" i="3" s="1"/>
  <c r="S780" i="3"/>
  <c r="T780" i="3" s="1"/>
  <c r="S781" i="3"/>
  <c r="T781" i="3" s="1"/>
  <c r="S782" i="3"/>
  <c r="T782" i="3" s="1"/>
  <c r="S783" i="3"/>
  <c r="T783" i="3" s="1"/>
  <c r="S784" i="3"/>
  <c r="T784" i="3" s="1"/>
  <c r="S785" i="3"/>
  <c r="S786" i="3"/>
  <c r="T786" i="3" s="1"/>
  <c r="S787" i="3"/>
  <c r="T787" i="3" s="1"/>
  <c r="S788" i="3"/>
  <c r="S789" i="3"/>
  <c r="S790" i="3"/>
  <c r="T790" i="3" s="1"/>
  <c r="S791" i="3"/>
  <c r="T791" i="3" s="1"/>
  <c r="S792" i="3"/>
  <c r="T792" i="3" s="1"/>
  <c r="S793" i="3"/>
  <c r="S794" i="3"/>
  <c r="T794" i="3" s="1"/>
  <c r="S795" i="3"/>
  <c r="T795" i="3" s="1"/>
  <c r="S796" i="3"/>
  <c r="S797" i="3"/>
  <c r="S798" i="3"/>
  <c r="T798" i="3" s="1"/>
  <c r="S799" i="3"/>
  <c r="T799" i="3" s="1"/>
  <c r="S800" i="3"/>
  <c r="T800" i="3" s="1"/>
  <c r="S801" i="3"/>
  <c r="S802" i="3"/>
  <c r="T802" i="3" s="1"/>
  <c r="S803" i="3"/>
  <c r="T803" i="3" s="1"/>
  <c r="S804" i="3"/>
  <c r="S805" i="3"/>
  <c r="S806" i="3"/>
  <c r="T806" i="3" s="1"/>
  <c r="S807" i="3"/>
  <c r="T807" i="3" s="1"/>
  <c r="S808" i="3"/>
  <c r="T808" i="3" s="1"/>
  <c r="S809" i="3"/>
  <c r="S810" i="3"/>
  <c r="T810" i="3" s="1"/>
  <c r="S811" i="3"/>
  <c r="T811" i="3" s="1"/>
  <c r="S812" i="3"/>
  <c r="T812" i="3" s="1"/>
  <c r="S813" i="3"/>
  <c r="S814" i="3"/>
  <c r="T814" i="3" s="1"/>
  <c r="S815" i="3"/>
  <c r="T815" i="3" s="1"/>
  <c r="S816" i="3"/>
  <c r="T816" i="3" s="1"/>
  <c r="S817" i="3"/>
  <c r="S818" i="3"/>
  <c r="T818" i="3" s="1"/>
  <c r="S819" i="3"/>
  <c r="T819" i="3" s="1"/>
  <c r="S820" i="3"/>
  <c r="S821" i="3"/>
  <c r="S822" i="3"/>
  <c r="T822" i="3" s="1"/>
  <c r="S823" i="3"/>
  <c r="T823" i="3" s="1"/>
  <c r="S824" i="3"/>
  <c r="T824" i="3" s="1"/>
  <c r="S825" i="3"/>
  <c r="S826" i="3"/>
  <c r="T826" i="3" s="1"/>
  <c r="S827" i="3"/>
  <c r="T827" i="3" s="1"/>
  <c r="S828" i="3"/>
  <c r="S829" i="3"/>
  <c r="S830" i="3"/>
  <c r="T830" i="3" s="1"/>
  <c r="S831" i="3"/>
  <c r="T831" i="3" s="1"/>
  <c r="S832" i="3"/>
  <c r="T832" i="3" s="1"/>
  <c r="S833" i="3"/>
  <c r="S834" i="3"/>
  <c r="T834" i="3" s="1"/>
  <c r="S835" i="3"/>
  <c r="T835" i="3" s="1"/>
  <c r="S836" i="3"/>
  <c r="S837" i="3"/>
  <c r="S838" i="3"/>
  <c r="T838" i="3" s="1"/>
  <c r="S839" i="3"/>
  <c r="T839" i="3" s="1"/>
  <c r="S840" i="3"/>
  <c r="T840" i="3" s="1"/>
  <c r="S841" i="3"/>
  <c r="S842" i="3"/>
  <c r="T842" i="3" s="1"/>
  <c r="S843" i="3"/>
  <c r="T843" i="3" s="1"/>
  <c r="S844" i="3"/>
  <c r="T844" i="3" s="1"/>
  <c r="S845" i="3"/>
  <c r="S846" i="3"/>
  <c r="T846" i="3" s="1"/>
  <c r="S847" i="3"/>
  <c r="T847" i="3" s="1"/>
  <c r="S848" i="3"/>
  <c r="T848" i="3" s="1"/>
  <c r="S849" i="3"/>
  <c r="S850" i="3"/>
  <c r="T850" i="3" s="1"/>
  <c r="S851" i="3"/>
  <c r="T851" i="3" s="1"/>
  <c r="S852" i="3"/>
  <c r="S853" i="3"/>
  <c r="S854" i="3"/>
  <c r="T854" i="3" s="1"/>
  <c r="S855" i="3"/>
  <c r="T855" i="3" s="1"/>
  <c r="S856" i="3"/>
  <c r="T856" i="3" s="1"/>
  <c r="S857" i="3"/>
  <c r="S858" i="3"/>
  <c r="T858" i="3" s="1"/>
  <c r="S859" i="3"/>
  <c r="T859" i="3" s="1"/>
  <c r="S860" i="3"/>
  <c r="S861" i="3"/>
  <c r="S862" i="3"/>
  <c r="T862" i="3" s="1"/>
  <c r="S863" i="3"/>
  <c r="T863" i="3" s="1"/>
  <c r="S864" i="3"/>
  <c r="T864" i="3" s="1"/>
  <c r="S865" i="3"/>
  <c r="S866" i="3"/>
  <c r="T866" i="3" s="1"/>
  <c r="S867" i="3"/>
  <c r="T867" i="3" s="1"/>
  <c r="S868" i="3"/>
  <c r="S869" i="3"/>
  <c r="S870" i="3"/>
  <c r="T870" i="3" s="1"/>
  <c r="S871" i="3"/>
  <c r="T871" i="3" s="1"/>
  <c r="S872" i="3"/>
  <c r="S873" i="3"/>
  <c r="S874" i="3"/>
  <c r="T874" i="3" s="1"/>
  <c r="S875" i="3"/>
  <c r="T875" i="3" s="1"/>
  <c r="S876" i="3"/>
  <c r="S877" i="3"/>
  <c r="S878" i="3"/>
  <c r="T878" i="3" s="1"/>
  <c r="S879" i="3"/>
  <c r="T879" i="3" s="1"/>
  <c r="S880" i="3"/>
  <c r="S881" i="3"/>
  <c r="S882" i="3"/>
  <c r="T882" i="3" s="1"/>
  <c r="S883" i="3"/>
  <c r="T883" i="3" s="1"/>
  <c r="S884" i="3"/>
  <c r="S885" i="3"/>
  <c r="T885" i="3" s="1"/>
  <c r="S886" i="3"/>
  <c r="T886" i="3" s="1"/>
  <c r="S887" i="3"/>
  <c r="T887" i="3" s="1"/>
  <c r="S888" i="3"/>
  <c r="S889" i="3"/>
  <c r="S890" i="3"/>
  <c r="T890" i="3" s="1"/>
  <c r="S891" i="3"/>
  <c r="T891" i="3" s="1"/>
  <c r="S892" i="3"/>
  <c r="S893" i="3"/>
  <c r="S894" i="3"/>
  <c r="T894" i="3" s="1"/>
  <c r="S895" i="3"/>
  <c r="T895" i="3" s="1"/>
  <c r="S896" i="3"/>
  <c r="T896" i="3" s="1"/>
  <c r="S897" i="3"/>
  <c r="S898" i="3"/>
  <c r="T898" i="3" s="1"/>
  <c r="S899" i="3"/>
  <c r="T899" i="3" s="1"/>
  <c r="S900" i="3"/>
  <c r="S901" i="3"/>
  <c r="S902" i="3"/>
  <c r="T902" i="3" s="1"/>
  <c r="S903" i="3"/>
  <c r="T903" i="3" s="1"/>
  <c r="S904" i="3"/>
  <c r="T904" i="3" s="1"/>
  <c r="S905" i="3"/>
  <c r="S906" i="3"/>
  <c r="T906" i="3" s="1"/>
  <c r="S907" i="3"/>
  <c r="T907" i="3" s="1"/>
  <c r="S908" i="3"/>
  <c r="S909" i="3"/>
  <c r="S910" i="3"/>
  <c r="T910" i="3" s="1"/>
  <c r="S911" i="3"/>
  <c r="T911" i="3" s="1"/>
  <c r="S912" i="3"/>
  <c r="T912" i="3" s="1"/>
  <c r="S913" i="3"/>
  <c r="S914" i="3"/>
  <c r="T914" i="3" s="1"/>
  <c r="S915" i="3"/>
  <c r="T915" i="3" s="1"/>
  <c r="S916" i="3"/>
  <c r="T916" i="3" s="1"/>
  <c r="S917" i="3"/>
  <c r="S918" i="3"/>
  <c r="T918" i="3" s="1"/>
  <c r="S919" i="3"/>
  <c r="T919" i="3" s="1"/>
  <c r="S920" i="3"/>
  <c r="T920" i="3" s="1"/>
  <c r="S921" i="3"/>
  <c r="S922" i="3"/>
  <c r="T922" i="3" s="1"/>
  <c r="S923" i="3"/>
  <c r="T923" i="3" s="1"/>
  <c r="S924" i="3"/>
  <c r="T924" i="3" s="1"/>
  <c r="S925" i="3"/>
  <c r="S926" i="3"/>
  <c r="T926" i="3" s="1"/>
  <c r="S927" i="3"/>
  <c r="T927" i="3" s="1"/>
  <c r="S928" i="3"/>
  <c r="S929" i="3"/>
  <c r="S930" i="3"/>
  <c r="T930" i="3" s="1"/>
  <c r="S931" i="3"/>
  <c r="T931" i="3" s="1"/>
  <c r="S932" i="3"/>
  <c r="S933" i="3"/>
  <c r="S934" i="3"/>
  <c r="T934" i="3" s="1"/>
  <c r="S935" i="3"/>
  <c r="T935" i="3" s="1"/>
  <c r="S936" i="3"/>
  <c r="S937" i="3"/>
  <c r="S938" i="3"/>
  <c r="T938" i="3" s="1"/>
  <c r="S939" i="3"/>
  <c r="T939" i="3" s="1"/>
  <c r="S940" i="3"/>
  <c r="S941" i="3"/>
  <c r="S942" i="3"/>
  <c r="T942" i="3" s="1"/>
  <c r="S943" i="3"/>
  <c r="T943" i="3" s="1"/>
  <c r="S944" i="3"/>
  <c r="S945" i="3"/>
  <c r="T945" i="3" s="1"/>
  <c r="S946" i="3"/>
  <c r="T946" i="3" s="1"/>
  <c r="S947" i="3"/>
  <c r="T947" i="3" s="1"/>
  <c r="S948" i="3"/>
  <c r="S949" i="3"/>
  <c r="T949" i="3" s="1"/>
  <c r="S950" i="3"/>
  <c r="T950" i="3" s="1"/>
  <c r="S951" i="3"/>
  <c r="T951" i="3" s="1"/>
  <c r="S952" i="3"/>
  <c r="S953" i="3"/>
  <c r="T953" i="3" s="1"/>
  <c r="S954" i="3"/>
  <c r="T954" i="3" s="1"/>
  <c r="S955" i="3"/>
  <c r="T955" i="3" s="1"/>
  <c r="S956" i="3"/>
  <c r="S957" i="3"/>
  <c r="T957" i="3" s="1"/>
  <c r="S958" i="3"/>
  <c r="T958" i="3" s="1"/>
  <c r="S959" i="3"/>
  <c r="T959" i="3" s="1"/>
  <c r="S960" i="3"/>
  <c r="S961" i="3"/>
  <c r="T961" i="3" s="1"/>
  <c r="S962" i="3"/>
  <c r="T962" i="3" s="1"/>
  <c r="S963" i="3"/>
  <c r="T963" i="3" s="1"/>
  <c r="S964" i="3"/>
  <c r="S965" i="3"/>
  <c r="T965" i="3" s="1"/>
  <c r="S966" i="3"/>
  <c r="T966" i="3" s="1"/>
  <c r="S967" i="3"/>
  <c r="T967" i="3" s="1"/>
  <c r="S968" i="3"/>
  <c r="S969" i="3"/>
  <c r="T969" i="3" s="1"/>
  <c r="S970" i="3"/>
  <c r="T970" i="3" s="1"/>
  <c r="S971" i="3"/>
  <c r="T971" i="3" s="1"/>
  <c r="S972" i="3"/>
  <c r="S973" i="3"/>
  <c r="T973" i="3" s="1"/>
  <c r="S974" i="3"/>
  <c r="T974" i="3" s="1"/>
  <c r="S975" i="3"/>
  <c r="T975" i="3" s="1"/>
  <c r="S976" i="3"/>
  <c r="S977" i="3"/>
  <c r="T977" i="3" s="1"/>
  <c r="S978" i="3"/>
  <c r="T978" i="3" s="1"/>
  <c r="S979" i="3"/>
  <c r="T979" i="3" s="1"/>
  <c r="S980" i="3"/>
  <c r="S981" i="3"/>
  <c r="T981" i="3" s="1"/>
  <c r="S982" i="3"/>
  <c r="T982" i="3" s="1"/>
  <c r="S983" i="3"/>
  <c r="T983" i="3" s="1"/>
  <c r="S984" i="3"/>
  <c r="S985" i="3"/>
  <c r="T985" i="3" s="1"/>
  <c r="S986" i="3"/>
  <c r="T986" i="3" s="1"/>
  <c r="S987" i="3"/>
  <c r="T987" i="3" s="1"/>
  <c r="S988" i="3"/>
  <c r="S989" i="3"/>
  <c r="T989" i="3" s="1"/>
  <c r="S990" i="3"/>
  <c r="T990" i="3" s="1"/>
  <c r="S991" i="3"/>
  <c r="T991" i="3" s="1"/>
  <c r="S992" i="3"/>
  <c r="S993" i="3"/>
  <c r="T993" i="3" s="1"/>
  <c r="S994" i="3"/>
  <c r="T994" i="3" s="1"/>
  <c r="S995" i="3"/>
  <c r="T995" i="3" s="1"/>
  <c r="S996" i="3"/>
  <c r="S997" i="3"/>
  <c r="T997" i="3" s="1"/>
  <c r="S998" i="3"/>
  <c r="T998" i="3" s="1"/>
  <c r="S999" i="3"/>
  <c r="T999" i="3" s="1"/>
  <c r="S1000" i="3"/>
  <c r="S1001" i="3"/>
  <c r="T1001" i="3" s="1"/>
  <c r="S1002" i="3"/>
  <c r="T1002" i="3" s="1"/>
  <c r="S1003" i="3"/>
  <c r="T1003" i="3" s="1"/>
  <c r="S1004" i="3"/>
  <c r="S1005" i="3"/>
  <c r="T1005" i="3" s="1"/>
  <c r="S1006" i="3"/>
  <c r="T1006" i="3" s="1"/>
  <c r="S1007" i="3"/>
  <c r="T1007" i="3" s="1"/>
  <c r="S1008" i="3"/>
  <c r="S1009" i="3"/>
  <c r="T1009" i="3" s="1"/>
  <c r="S1010" i="3"/>
  <c r="T1010" i="3" s="1"/>
  <c r="S1011" i="3"/>
  <c r="T1011" i="3" s="1"/>
  <c r="S1012" i="3"/>
  <c r="S1013" i="3"/>
  <c r="T1013" i="3" s="1"/>
  <c r="S1014" i="3"/>
  <c r="T1014" i="3" s="1"/>
  <c r="S1015" i="3"/>
  <c r="T1015" i="3" s="1"/>
  <c r="S1016" i="3"/>
  <c r="S1017" i="3"/>
  <c r="T1017" i="3" s="1"/>
  <c r="S1018" i="3"/>
  <c r="T1018" i="3" s="1"/>
  <c r="S1019" i="3"/>
  <c r="T1019" i="3" s="1"/>
  <c r="S1020" i="3"/>
  <c r="S1021" i="3"/>
  <c r="T1021" i="3" s="1"/>
  <c r="S1022" i="3"/>
  <c r="T1022" i="3" s="1"/>
  <c r="S1023" i="3"/>
  <c r="T1023" i="3" s="1"/>
  <c r="S1024" i="3"/>
  <c r="S1025" i="3"/>
  <c r="T1025" i="3" s="1"/>
  <c r="S1026" i="3"/>
  <c r="T1026" i="3" s="1"/>
  <c r="S1027" i="3"/>
  <c r="T1027" i="3" s="1"/>
  <c r="S1028" i="3"/>
  <c r="S1029" i="3"/>
  <c r="T1029" i="3" s="1"/>
  <c r="S1030" i="3"/>
  <c r="T1030" i="3" s="1"/>
  <c r="S1031" i="3"/>
  <c r="T1031" i="3" s="1"/>
  <c r="S1032" i="3"/>
  <c r="S1033" i="3"/>
  <c r="T1033" i="3" s="1"/>
  <c r="S1034" i="3"/>
  <c r="T1034" i="3" s="1"/>
  <c r="S1035" i="3"/>
  <c r="T1035" i="3" s="1"/>
  <c r="S1036" i="3"/>
  <c r="S1037" i="3"/>
  <c r="T1037" i="3" s="1"/>
  <c r="S1038" i="3"/>
  <c r="T1038" i="3" s="1"/>
  <c r="S1039" i="3"/>
  <c r="T1039" i="3" s="1"/>
  <c r="S1040" i="3"/>
  <c r="S1041" i="3"/>
  <c r="T1041" i="3" s="1"/>
  <c r="S1042" i="3"/>
  <c r="T1042" i="3" s="1"/>
  <c r="S1043" i="3"/>
  <c r="T1043" i="3" s="1"/>
  <c r="S1044" i="3"/>
  <c r="S1045" i="3"/>
  <c r="S1046" i="3"/>
  <c r="T1046" i="3" s="1"/>
  <c r="S1047" i="3"/>
  <c r="T1047" i="3" s="1"/>
  <c r="S1048" i="3"/>
  <c r="S1049" i="3"/>
  <c r="T1049" i="3" s="1"/>
  <c r="S1050" i="3"/>
  <c r="T1050" i="3" s="1"/>
  <c r="S1051" i="3"/>
  <c r="T1051" i="3" s="1"/>
  <c r="S1052" i="3"/>
  <c r="S1053" i="3"/>
  <c r="T1053" i="3" s="1"/>
  <c r="S1054" i="3"/>
  <c r="T1054" i="3" s="1"/>
  <c r="S1055" i="3"/>
  <c r="T1055" i="3" s="1"/>
  <c r="S1056" i="3"/>
  <c r="S1057" i="3"/>
  <c r="T1057" i="3" s="1"/>
  <c r="S1058" i="3"/>
  <c r="T1058" i="3" s="1"/>
  <c r="S1059" i="3"/>
  <c r="T1059" i="3" s="1"/>
  <c r="S1060" i="3"/>
  <c r="S1061" i="3"/>
  <c r="T1061" i="3" s="1"/>
  <c r="S1062" i="3"/>
  <c r="T1062" i="3" s="1"/>
  <c r="S1063" i="3"/>
  <c r="T1063" i="3" s="1"/>
  <c r="S1064" i="3"/>
  <c r="S1065" i="3"/>
  <c r="T1065" i="3" s="1"/>
  <c r="S1066" i="3"/>
  <c r="T1066" i="3" s="1"/>
  <c r="S1067" i="3"/>
  <c r="T1067" i="3" s="1"/>
  <c r="S1068" i="3"/>
  <c r="S1069" i="3"/>
  <c r="T1069" i="3" s="1"/>
  <c r="S1070" i="3"/>
  <c r="T1070" i="3" s="1"/>
  <c r="S1071" i="3"/>
  <c r="T1071" i="3" s="1"/>
  <c r="S1072" i="3"/>
  <c r="S1073" i="3"/>
  <c r="T1073" i="3" s="1"/>
  <c r="S1074" i="3"/>
  <c r="T1074" i="3" s="1"/>
  <c r="S1075" i="3"/>
  <c r="T1075" i="3" s="1"/>
  <c r="S1076" i="3"/>
  <c r="S1077" i="3"/>
  <c r="T1077" i="3" s="1"/>
  <c r="S1078" i="3"/>
  <c r="T1078" i="3" s="1"/>
  <c r="S1079" i="3"/>
  <c r="T1079" i="3" s="1"/>
  <c r="S1080" i="3"/>
  <c r="S1081" i="3"/>
  <c r="T1081" i="3" s="1"/>
  <c r="S1082" i="3"/>
  <c r="T1082" i="3" s="1"/>
  <c r="S1083" i="3"/>
  <c r="T1083" i="3" s="1"/>
  <c r="S1084" i="3"/>
  <c r="S1085" i="3"/>
  <c r="T1085" i="3" s="1"/>
  <c r="S1086" i="3"/>
  <c r="T1086" i="3" s="1"/>
  <c r="S1087" i="3"/>
  <c r="T1087" i="3" s="1"/>
  <c r="S1088" i="3"/>
  <c r="S1089" i="3"/>
  <c r="T1089" i="3" s="1"/>
  <c r="S1090" i="3"/>
  <c r="T1090" i="3" s="1"/>
  <c r="S1091" i="3"/>
  <c r="T1091" i="3" s="1"/>
  <c r="S1092" i="3"/>
  <c r="T1092" i="3" s="1"/>
  <c r="S1093" i="3"/>
  <c r="T1093" i="3" s="1"/>
  <c r="S1094" i="3"/>
  <c r="T1094" i="3" s="1"/>
  <c r="S1095" i="3"/>
  <c r="T1095" i="3" s="1"/>
  <c r="S1096" i="3"/>
  <c r="T1096" i="3" s="1"/>
  <c r="S1097" i="3"/>
  <c r="T1097" i="3" s="1"/>
  <c r="S1098" i="3"/>
  <c r="T1098" i="3" s="1"/>
  <c r="S1099" i="3"/>
  <c r="T1099" i="3" s="1"/>
  <c r="S1100" i="3"/>
  <c r="T1100" i="3" s="1"/>
  <c r="S1101" i="3"/>
  <c r="T1101" i="3" s="1"/>
  <c r="S1102" i="3"/>
  <c r="T1102" i="3" s="1"/>
  <c r="S1103" i="3"/>
  <c r="T1103" i="3" s="1"/>
  <c r="S1104" i="3"/>
  <c r="T1104" i="3" s="1"/>
  <c r="S1105" i="3"/>
  <c r="S1106" i="3"/>
  <c r="T1106" i="3" s="1"/>
  <c r="S1107" i="3"/>
  <c r="T1107" i="3" s="1"/>
  <c r="S1108" i="3"/>
  <c r="T1108" i="3" s="1"/>
  <c r="S1109" i="3"/>
  <c r="T1109" i="3" s="1"/>
  <c r="S1110" i="3"/>
  <c r="T1110" i="3" s="1"/>
  <c r="S1111" i="3"/>
  <c r="T1111" i="3" s="1"/>
  <c r="S1112" i="3"/>
  <c r="T1112" i="3" s="1"/>
  <c r="S1113" i="3"/>
  <c r="T1113" i="3" s="1"/>
  <c r="S1114" i="3"/>
  <c r="T1114" i="3" s="1"/>
  <c r="S1115" i="3"/>
  <c r="T1115" i="3" s="1"/>
  <c r="S1116" i="3"/>
  <c r="T1116" i="3" s="1"/>
  <c r="S1117" i="3"/>
  <c r="T1117" i="3" s="1"/>
  <c r="S1118" i="3"/>
  <c r="T1118" i="3" s="1"/>
  <c r="S1119" i="3"/>
  <c r="T1119" i="3" s="1"/>
  <c r="S1120" i="3"/>
  <c r="T1120" i="3" s="1"/>
  <c r="S1121" i="3"/>
  <c r="S1122" i="3"/>
  <c r="T1122" i="3" s="1"/>
  <c r="S1123" i="3"/>
  <c r="T1123" i="3" s="1"/>
  <c r="S1124" i="3"/>
  <c r="T1124" i="3" s="1"/>
  <c r="S1125" i="3"/>
  <c r="S1126" i="3"/>
  <c r="T1126" i="3" s="1"/>
  <c r="S1127" i="3"/>
  <c r="T1127" i="3" s="1"/>
  <c r="S1128" i="3"/>
  <c r="T1128" i="3" s="1"/>
  <c r="S1129" i="3"/>
  <c r="T1129" i="3" s="1"/>
  <c r="S1130" i="3"/>
  <c r="T1130" i="3" s="1"/>
  <c r="S1131" i="3"/>
  <c r="T1131" i="3" s="1"/>
  <c r="S1132" i="3"/>
  <c r="T1132" i="3" s="1"/>
  <c r="S1133" i="3"/>
  <c r="T1133" i="3" s="1"/>
  <c r="S1134" i="3"/>
  <c r="T1134" i="3" s="1"/>
  <c r="S1135" i="3"/>
  <c r="T1135" i="3" s="1"/>
  <c r="S1136" i="3"/>
  <c r="T1136" i="3" s="1"/>
  <c r="S1137" i="3"/>
  <c r="T1137" i="3" s="1"/>
  <c r="S1138" i="3"/>
  <c r="T1138" i="3" s="1"/>
  <c r="S1139" i="3"/>
  <c r="T1139" i="3" s="1"/>
  <c r="S1140" i="3"/>
  <c r="T1140" i="3" s="1"/>
  <c r="S1141" i="3"/>
  <c r="S1142" i="3"/>
  <c r="T1142" i="3" s="1"/>
  <c r="S1143" i="3"/>
  <c r="T1143" i="3" s="1"/>
  <c r="S1144" i="3"/>
  <c r="T1144" i="3" s="1"/>
  <c r="S1145" i="3"/>
  <c r="T1145" i="3" s="1"/>
  <c r="S1146" i="3"/>
  <c r="T1146" i="3" s="1"/>
  <c r="S1147" i="3"/>
  <c r="T1147" i="3" s="1"/>
  <c r="S1148" i="3"/>
  <c r="T1148" i="3" s="1"/>
  <c r="S1149" i="3"/>
  <c r="S1150" i="3"/>
  <c r="T1150" i="3" s="1"/>
  <c r="S1151" i="3"/>
  <c r="T1151" i="3" s="1"/>
  <c r="S1152" i="3"/>
  <c r="T1152" i="3" s="1"/>
  <c r="S1153" i="3"/>
  <c r="T1153" i="3" s="1"/>
  <c r="S1154" i="3"/>
  <c r="T1154" i="3" s="1"/>
  <c r="S1155" i="3"/>
  <c r="T1155" i="3" s="1"/>
  <c r="S1156" i="3"/>
  <c r="T1156" i="3" s="1"/>
  <c r="S1157" i="3"/>
  <c r="S1158" i="3"/>
  <c r="T1158" i="3" s="1"/>
  <c r="S1159" i="3"/>
  <c r="T1159" i="3" s="1"/>
  <c r="S1160" i="3"/>
  <c r="T1160" i="3" s="1"/>
  <c r="S1161" i="3"/>
  <c r="S1162" i="3"/>
  <c r="T1162" i="3" s="1"/>
  <c r="S1163" i="3"/>
  <c r="T1163" i="3" s="1"/>
  <c r="S1164" i="3"/>
  <c r="T1164" i="3" s="1"/>
  <c r="S1165" i="3"/>
  <c r="S1166" i="3"/>
  <c r="T1166" i="3" s="1"/>
  <c r="S1167" i="3"/>
  <c r="T1167" i="3" s="1"/>
  <c r="S1168" i="3"/>
  <c r="T1168" i="3" s="1"/>
  <c r="S1169" i="3"/>
  <c r="S1170" i="3"/>
  <c r="T1170" i="3" s="1"/>
  <c r="S1171" i="3"/>
  <c r="T1171" i="3" s="1"/>
  <c r="S1172" i="3"/>
  <c r="T1172" i="3" s="1"/>
  <c r="S1173" i="3"/>
  <c r="S1174" i="3"/>
  <c r="T1174" i="3" s="1"/>
  <c r="S1175" i="3"/>
  <c r="T1175" i="3" s="1"/>
  <c r="S1176" i="3"/>
  <c r="T1176" i="3" s="1"/>
  <c r="S1177" i="3"/>
  <c r="S1178" i="3"/>
  <c r="T1178" i="3" s="1"/>
  <c r="S1179" i="3"/>
  <c r="T1179" i="3" s="1"/>
  <c r="S1180" i="3"/>
  <c r="T1180" i="3" s="1"/>
  <c r="S1181" i="3"/>
  <c r="S1182" i="3"/>
  <c r="T1182" i="3" s="1"/>
  <c r="S1183" i="3"/>
  <c r="T1183" i="3" s="1"/>
  <c r="S1184" i="3"/>
  <c r="T1184" i="3" s="1"/>
  <c r="S1185" i="3"/>
  <c r="S1186" i="3"/>
  <c r="T1186" i="3" s="1"/>
  <c r="S1187" i="3"/>
  <c r="T1187" i="3" s="1"/>
  <c r="S1188" i="3"/>
  <c r="T1188" i="3" s="1"/>
  <c r="S1189" i="3"/>
  <c r="S1190" i="3"/>
  <c r="T1190" i="3" s="1"/>
  <c r="S1191" i="3"/>
  <c r="T1191" i="3" s="1"/>
  <c r="S1192" i="3"/>
  <c r="T1192" i="3" s="1"/>
  <c r="S1193" i="3"/>
  <c r="S1194" i="3"/>
  <c r="T1194" i="3" s="1"/>
  <c r="S1195" i="3"/>
  <c r="T1195" i="3" s="1"/>
  <c r="S1196" i="3"/>
  <c r="T1196" i="3" s="1"/>
  <c r="S1197" i="3"/>
  <c r="S1198" i="3"/>
  <c r="T1198" i="3" s="1"/>
  <c r="S1199" i="3"/>
  <c r="T1199" i="3" s="1"/>
  <c r="S1200" i="3"/>
  <c r="T1200" i="3" s="1"/>
  <c r="S1201" i="3"/>
  <c r="S1202" i="3"/>
  <c r="T1202" i="3" s="1"/>
  <c r="S1203" i="3"/>
  <c r="T1203" i="3" s="1"/>
  <c r="S1204" i="3"/>
  <c r="T1204" i="3" s="1"/>
  <c r="S1205" i="3"/>
  <c r="S1206" i="3"/>
  <c r="T1206" i="3" s="1"/>
  <c r="S1207" i="3"/>
  <c r="T1207" i="3" s="1"/>
  <c r="S1208" i="3"/>
  <c r="T1208" i="3" s="1"/>
  <c r="S1209" i="3"/>
  <c r="S1210" i="3"/>
  <c r="T1210" i="3" s="1"/>
  <c r="S1211" i="3"/>
  <c r="T1211" i="3" s="1"/>
  <c r="S1212" i="3"/>
  <c r="T1212" i="3" s="1"/>
  <c r="S1213" i="3"/>
  <c r="S1214" i="3"/>
  <c r="T1214" i="3" s="1"/>
  <c r="S1215" i="3"/>
  <c r="T1215" i="3" s="1"/>
  <c r="S1216" i="3"/>
  <c r="T1216" i="3" s="1"/>
  <c r="S1217" i="3"/>
  <c r="S1218" i="3"/>
  <c r="T1218" i="3" s="1"/>
  <c r="S1219" i="3"/>
  <c r="T1219" i="3" s="1"/>
  <c r="S1220" i="3"/>
  <c r="T1220" i="3" s="1"/>
  <c r="S1221" i="3"/>
  <c r="S1222" i="3"/>
  <c r="T1222" i="3" s="1"/>
  <c r="S1223" i="3"/>
  <c r="T1223" i="3" s="1"/>
  <c r="S1224" i="3"/>
  <c r="T1224" i="3" s="1"/>
  <c r="S1225" i="3"/>
  <c r="S1226" i="3"/>
  <c r="T1226" i="3" s="1"/>
  <c r="S1227" i="3"/>
  <c r="T1227" i="3" s="1"/>
  <c r="S1228" i="3"/>
  <c r="T1228" i="3" s="1"/>
  <c r="S1229" i="3"/>
  <c r="S1230" i="3"/>
  <c r="T1230" i="3" s="1"/>
  <c r="S1231" i="3"/>
  <c r="T1231" i="3" s="1"/>
  <c r="S1232" i="3"/>
  <c r="T1232" i="3" s="1"/>
  <c r="S1233" i="3"/>
  <c r="S1234" i="3"/>
  <c r="S1235" i="3"/>
  <c r="T1235" i="3" s="1"/>
  <c r="S1236" i="3"/>
  <c r="T1236" i="3" s="1"/>
  <c r="S1237" i="3"/>
  <c r="S1238" i="3"/>
  <c r="T1238" i="3" s="1"/>
  <c r="S1239" i="3"/>
  <c r="T1239" i="3" s="1"/>
  <c r="S1240" i="3"/>
  <c r="T1240" i="3" s="1"/>
  <c r="S1241" i="3"/>
  <c r="S1242" i="3"/>
  <c r="T1242" i="3" s="1"/>
  <c r="S1243" i="3"/>
  <c r="T1243" i="3" s="1"/>
  <c r="S1244" i="3"/>
  <c r="T1244" i="3" s="1"/>
  <c r="S1245" i="3"/>
  <c r="S1246" i="3"/>
  <c r="T1246" i="3" s="1"/>
  <c r="S1247" i="3"/>
  <c r="T1247" i="3" s="1"/>
  <c r="S1248" i="3"/>
  <c r="T1248" i="3" s="1"/>
  <c r="S1249" i="3"/>
  <c r="S1250" i="3"/>
  <c r="T1250" i="3" s="1"/>
  <c r="S1251" i="3"/>
  <c r="T1251" i="3" s="1"/>
  <c r="S1252" i="3"/>
  <c r="T1252" i="3" s="1"/>
  <c r="S1253" i="3"/>
  <c r="S1254" i="3"/>
  <c r="T1254" i="3" s="1"/>
  <c r="S1255" i="3"/>
  <c r="T1255" i="3" s="1"/>
  <c r="S1256" i="3"/>
  <c r="T1256" i="3" s="1"/>
  <c r="S1257" i="3"/>
  <c r="S1258" i="3"/>
  <c r="T1258" i="3" s="1"/>
  <c r="S1259" i="3"/>
  <c r="T1259" i="3" s="1"/>
  <c r="S1260" i="3"/>
  <c r="T1260" i="3" s="1"/>
  <c r="S1261" i="3"/>
  <c r="T1261" i="3" s="1"/>
  <c r="S1262" i="3"/>
  <c r="T1262" i="3" s="1"/>
  <c r="S1263" i="3"/>
  <c r="T1263" i="3" s="1"/>
  <c r="S1264" i="3"/>
  <c r="T1264" i="3" s="1"/>
  <c r="S1265" i="3"/>
  <c r="S1266" i="3"/>
  <c r="T1266" i="3" s="1"/>
  <c r="S1267" i="3"/>
  <c r="T1267" i="3" s="1"/>
  <c r="S1268" i="3"/>
  <c r="T1268" i="3" s="1"/>
  <c r="S1269" i="3"/>
  <c r="T1269" i="3" s="1"/>
  <c r="S1270" i="3"/>
  <c r="S1271" i="3"/>
  <c r="T1271" i="3" s="1"/>
  <c r="S1272" i="3"/>
  <c r="T1272" i="3" s="1"/>
  <c r="S1273" i="3"/>
  <c r="S1274" i="3"/>
  <c r="T1274" i="3" s="1"/>
  <c r="S1275" i="3"/>
  <c r="T1275" i="3" s="1"/>
  <c r="S1276" i="3"/>
  <c r="T1276" i="3" s="1"/>
  <c r="S1277" i="3"/>
  <c r="T1277" i="3" s="1"/>
  <c r="S1278" i="3"/>
  <c r="T1278" i="3" s="1"/>
  <c r="S1279" i="3"/>
  <c r="T1279" i="3" s="1"/>
  <c r="S1280" i="3"/>
  <c r="T1280" i="3" s="1"/>
  <c r="S1281" i="3"/>
  <c r="T1281" i="3" s="1"/>
  <c r="S1282" i="3"/>
  <c r="T1282" i="3" s="1"/>
  <c r="S1283" i="3"/>
  <c r="T1283" i="3" s="1"/>
  <c r="S1284" i="3"/>
  <c r="T1284" i="3" s="1"/>
  <c r="S1285" i="3"/>
  <c r="S1286" i="3"/>
  <c r="T1286" i="3" s="1"/>
  <c r="S1287" i="3"/>
  <c r="T1287" i="3" s="1"/>
  <c r="S1288" i="3"/>
  <c r="T1288" i="3" s="1"/>
  <c r="S1289" i="3"/>
  <c r="T1289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T1297" i="3" s="1"/>
  <c r="S1298" i="3"/>
  <c r="T1298" i="3" s="1"/>
  <c r="S1299" i="3"/>
  <c r="T1299" i="3" s="1"/>
  <c r="S1300" i="3"/>
  <c r="T1300" i="3" s="1"/>
  <c r="S1301" i="3"/>
  <c r="T1301" i="3" s="1"/>
  <c r="S1302" i="3"/>
  <c r="T1302" i="3" s="1"/>
  <c r="S1303" i="3"/>
  <c r="T1303" i="3" s="1"/>
  <c r="S1304" i="3"/>
  <c r="T1304" i="3" s="1"/>
  <c r="S1305" i="3"/>
  <c r="T1305" i="3" s="1"/>
  <c r="S1306" i="3"/>
  <c r="T1306" i="3" s="1"/>
  <c r="S1307" i="3"/>
  <c r="T1307" i="3" s="1"/>
  <c r="S1308" i="3"/>
  <c r="S1309" i="3"/>
  <c r="T1309" i="3" s="1"/>
  <c r="S1310" i="3"/>
  <c r="T1310" i="3" s="1"/>
  <c r="S1311" i="3"/>
  <c r="T1311" i="3" s="1"/>
  <c r="S1312" i="3"/>
  <c r="T1312" i="3" s="1"/>
  <c r="S1313" i="3"/>
  <c r="T1313" i="3" s="1"/>
  <c r="S1314" i="3"/>
  <c r="T1314" i="3" s="1"/>
  <c r="S1315" i="3"/>
  <c r="T1315" i="3" s="1"/>
  <c r="S1316" i="3"/>
  <c r="S1317" i="3"/>
  <c r="S1318" i="3"/>
  <c r="T1318" i="3" s="1"/>
  <c r="S1319" i="3"/>
  <c r="T1319" i="3" s="1"/>
  <c r="S1320" i="3"/>
  <c r="T1320" i="3" s="1"/>
  <c r="S1321" i="3"/>
  <c r="T1321" i="3" s="1"/>
  <c r="S1322" i="3"/>
  <c r="T1322" i="3" s="1"/>
  <c r="S1323" i="3"/>
  <c r="T1323" i="3" s="1"/>
  <c r="S1324" i="3"/>
  <c r="T1324" i="3" s="1"/>
  <c r="S1325" i="3"/>
  <c r="T1325" i="3" s="1"/>
  <c r="S1326" i="3"/>
  <c r="T1326" i="3" s="1"/>
  <c r="S1327" i="3"/>
  <c r="T1327" i="3" s="1"/>
  <c r="S1328" i="3"/>
  <c r="T1328" i="3" s="1"/>
  <c r="S1329" i="3"/>
  <c r="T1329" i="3" s="1"/>
  <c r="S1330" i="3"/>
  <c r="T1330" i="3" s="1"/>
  <c r="S1331" i="3"/>
  <c r="T1331" i="3" s="1"/>
  <c r="S1332" i="3"/>
  <c r="S1333" i="3"/>
  <c r="T1333" i="3" s="1"/>
  <c r="S1334" i="3"/>
  <c r="T1334" i="3" s="1"/>
  <c r="S1335" i="3"/>
  <c r="T1335" i="3" s="1"/>
  <c r="S1336" i="3"/>
  <c r="T1336" i="3" s="1"/>
  <c r="S1337" i="3"/>
  <c r="T1337" i="3" s="1"/>
  <c r="S1338" i="3"/>
  <c r="T1338" i="3" s="1"/>
  <c r="S1339" i="3"/>
  <c r="T1339" i="3" s="1"/>
  <c r="S1340" i="3"/>
  <c r="S1341" i="3"/>
  <c r="S1342" i="3"/>
  <c r="T1342" i="3" s="1"/>
  <c r="S1343" i="3"/>
  <c r="T1343" i="3" s="1"/>
  <c r="S1344" i="3"/>
  <c r="T1344" i="3" s="1"/>
  <c r="S1345" i="3"/>
  <c r="T1345" i="3" s="1"/>
  <c r="S1346" i="3"/>
  <c r="T1346" i="3" s="1"/>
  <c r="S1347" i="3"/>
  <c r="T1347" i="3" s="1"/>
  <c r="S1348" i="3"/>
  <c r="S1349" i="3"/>
  <c r="T1349" i="3" s="1"/>
  <c r="S1350" i="3"/>
  <c r="T1350" i="3" s="1"/>
  <c r="S1351" i="3"/>
  <c r="T1351" i="3" s="1"/>
  <c r="S1352" i="3"/>
  <c r="T1352" i="3" s="1"/>
  <c r="S1353" i="3"/>
  <c r="S1354" i="3"/>
  <c r="T1354" i="3" s="1"/>
  <c r="S1355" i="3"/>
  <c r="T1355" i="3" s="1"/>
  <c r="S1356" i="3"/>
  <c r="T1356" i="3" s="1"/>
  <c r="S1357" i="3"/>
  <c r="T1357" i="3" s="1"/>
  <c r="S1358" i="3"/>
  <c r="T1358" i="3" s="1"/>
  <c r="S1359" i="3"/>
  <c r="T1359" i="3" s="1"/>
  <c r="S1360" i="3"/>
  <c r="T1360" i="3" s="1"/>
  <c r="S1361" i="3"/>
  <c r="T1361" i="3" s="1"/>
  <c r="S1362" i="3"/>
  <c r="T1362" i="3" s="1"/>
  <c r="S1363" i="3"/>
  <c r="T1363" i="3" s="1"/>
  <c r="S1364" i="3"/>
  <c r="S1365" i="3"/>
  <c r="S1366" i="3"/>
  <c r="T1366" i="3" s="1"/>
  <c r="S1367" i="3"/>
  <c r="T1367" i="3" s="1"/>
  <c r="S1368" i="3"/>
  <c r="T1368" i="3" s="1"/>
  <c r="S1369" i="3"/>
  <c r="T1369" i="3" s="1"/>
  <c r="S1370" i="3"/>
  <c r="T1370" i="3" s="1"/>
  <c r="S1371" i="3"/>
  <c r="T1371" i="3" s="1"/>
  <c r="S1372" i="3"/>
  <c r="S1373" i="3"/>
  <c r="T1373" i="3" s="1"/>
  <c r="S1374" i="3"/>
  <c r="T1374" i="3" s="1"/>
  <c r="S1375" i="3"/>
  <c r="T1375" i="3" s="1"/>
  <c r="S1376" i="3"/>
  <c r="T1376" i="3" s="1"/>
  <c r="S1377" i="3"/>
  <c r="S1378" i="3"/>
  <c r="T1378" i="3" s="1"/>
  <c r="S1379" i="3"/>
  <c r="T1379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393" i="3"/>
  <c r="S1394" i="3"/>
  <c r="T1394" i="3" s="1"/>
  <c r="S1395" i="3"/>
  <c r="T1395" i="3" s="1"/>
  <c r="S1396" i="3"/>
  <c r="T1396" i="3" s="1"/>
  <c r="S1397" i="3"/>
  <c r="T1397" i="3" s="1"/>
  <c r="S1398" i="3"/>
  <c r="T1398" i="3" s="1"/>
  <c r="S1399" i="3"/>
  <c r="T1399" i="3" s="1"/>
  <c r="S1400" i="3"/>
  <c r="T1400" i="3" s="1"/>
  <c r="S1401" i="3"/>
  <c r="T1401" i="3" s="1"/>
  <c r="S1402" i="3"/>
  <c r="T1402" i="3" s="1"/>
  <c r="S1403" i="3"/>
  <c r="T1403" i="3" s="1"/>
  <c r="S1404" i="3"/>
  <c r="T1404" i="3" s="1"/>
  <c r="S1405" i="3"/>
  <c r="T1405" i="3" s="1"/>
  <c r="S1406" i="3"/>
  <c r="T1406" i="3" s="1"/>
  <c r="S1407" i="3"/>
  <c r="T1407" i="3" s="1"/>
  <c r="S1408" i="3"/>
  <c r="T1408" i="3" s="1"/>
  <c r="S1409" i="3"/>
  <c r="S1410" i="3"/>
  <c r="T1410" i="3" s="1"/>
  <c r="S1411" i="3"/>
  <c r="T1411" i="3" s="1"/>
  <c r="S1412" i="3"/>
  <c r="T1412" i="3" s="1"/>
  <c r="S1413" i="3"/>
  <c r="T1413" i="3" s="1"/>
  <c r="S1414" i="3"/>
  <c r="T1414" i="3" s="1"/>
  <c r="S1415" i="3"/>
  <c r="T1415" i="3" s="1"/>
  <c r="S1416" i="3"/>
  <c r="T1416" i="3" s="1"/>
  <c r="S1417" i="3"/>
  <c r="T1417" i="3" s="1"/>
  <c r="S1418" i="3"/>
  <c r="T1418" i="3" s="1"/>
  <c r="S1419" i="3"/>
  <c r="T1419" i="3" s="1"/>
  <c r="S1420" i="3"/>
  <c r="T1420" i="3" s="1"/>
  <c r="S1421" i="3"/>
  <c r="T1421" i="3" s="1"/>
  <c r="S1422" i="3"/>
  <c r="T1422" i="3" s="1"/>
  <c r="S1423" i="3"/>
  <c r="T1423" i="3" s="1"/>
  <c r="S1424" i="3"/>
  <c r="T1424" i="3" s="1"/>
  <c r="S1425" i="3"/>
  <c r="T1425" i="3" s="1"/>
  <c r="S1426" i="3"/>
  <c r="T1426" i="3" s="1"/>
  <c r="S1427" i="3"/>
  <c r="T1427" i="3" s="1"/>
  <c r="S1428" i="3"/>
  <c r="T1428" i="3" s="1"/>
  <c r="S1429" i="3"/>
  <c r="T1429" i="3" s="1"/>
  <c r="S1430" i="3"/>
  <c r="T1430" i="3" s="1"/>
  <c r="S1431" i="3"/>
  <c r="T1431" i="3" s="1"/>
  <c r="S1432" i="3"/>
  <c r="T1432" i="3" s="1"/>
  <c r="S1433" i="3"/>
  <c r="T1433" i="3" s="1"/>
  <c r="S1434" i="3"/>
  <c r="T1434" i="3" s="1"/>
  <c r="S1435" i="3"/>
  <c r="T1435" i="3" s="1"/>
  <c r="S1436" i="3"/>
  <c r="T1436" i="3" s="1"/>
  <c r="S1437" i="3"/>
  <c r="T1437" i="3" s="1"/>
  <c r="S1438" i="3"/>
  <c r="T1438" i="3" s="1"/>
  <c r="S1439" i="3"/>
  <c r="T1439" i="3" s="1"/>
  <c r="S1440" i="3"/>
  <c r="T1440" i="3" s="1"/>
  <c r="S1441" i="3"/>
  <c r="T1441" i="3" s="1"/>
  <c r="S1442" i="3"/>
  <c r="T1442" i="3" s="1"/>
  <c r="S1443" i="3"/>
  <c r="T1443" i="3" s="1"/>
  <c r="S1444" i="3"/>
  <c r="T1444" i="3" s="1"/>
  <c r="S1445" i="3"/>
  <c r="T1445" i="3" s="1"/>
  <c r="S1446" i="3"/>
  <c r="T1446" i="3" s="1"/>
  <c r="S1447" i="3"/>
  <c r="T1447" i="3" s="1"/>
  <c r="S1448" i="3"/>
  <c r="T1448" i="3" s="1"/>
  <c r="S1449" i="3"/>
  <c r="T1449" i="3" s="1"/>
  <c r="S1450" i="3"/>
  <c r="T1450" i="3" s="1"/>
  <c r="S1451" i="3"/>
  <c r="T1451" i="3" s="1"/>
  <c r="S1452" i="3"/>
  <c r="T1452" i="3" s="1"/>
  <c r="S1453" i="3"/>
  <c r="T1453" i="3" s="1"/>
  <c r="S1454" i="3"/>
  <c r="T1454" i="3" s="1"/>
  <c r="S1455" i="3"/>
  <c r="T1455" i="3" s="1"/>
  <c r="S1456" i="3"/>
  <c r="T1456" i="3" s="1"/>
  <c r="S1457" i="3"/>
  <c r="T1457" i="3" s="1"/>
  <c r="S1458" i="3"/>
  <c r="T1458" i="3" s="1"/>
  <c r="S1459" i="3"/>
  <c r="T1459" i="3" s="1"/>
  <c r="S1460" i="3"/>
  <c r="S1461" i="3"/>
  <c r="T1461" i="3" s="1"/>
  <c r="S1462" i="3"/>
  <c r="T1462" i="3" s="1"/>
  <c r="S1463" i="3"/>
  <c r="T1463" i="3" s="1"/>
  <c r="S1464" i="3"/>
  <c r="T1464" i="3" s="1"/>
  <c r="S1465" i="3"/>
  <c r="T1465" i="3" s="1"/>
  <c r="S1466" i="3"/>
  <c r="T1466" i="3" s="1"/>
  <c r="S1467" i="3"/>
  <c r="T1467" i="3" s="1"/>
  <c r="S1468" i="3"/>
  <c r="T1468" i="3" s="1"/>
  <c r="S1469" i="3"/>
  <c r="T1469" i="3" s="1"/>
  <c r="S1470" i="3"/>
  <c r="T1470" i="3" s="1"/>
  <c r="S1471" i="3"/>
  <c r="T1471" i="3" s="1"/>
  <c r="S1472" i="3"/>
  <c r="T1472" i="3" s="1"/>
  <c r="S1473" i="3"/>
  <c r="S1474" i="3"/>
  <c r="T1474" i="3" s="1"/>
  <c r="S1475" i="3"/>
  <c r="T1475" i="3" s="1"/>
  <c r="S1476" i="3"/>
  <c r="T1476" i="3" s="1"/>
  <c r="S1477" i="3"/>
  <c r="T1477" i="3" s="1"/>
  <c r="S1478" i="3"/>
  <c r="T1478" i="3" s="1"/>
  <c r="S1479" i="3"/>
  <c r="T1479" i="3" s="1"/>
  <c r="S1480" i="3"/>
  <c r="S1481" i="3"/>
  <c r="T1481" i="3" s="1"/>
  <c r="S1482" i="3"/>
  <c r="T1482" i="3" s="1"/>
  <c r="S1483" i="3"/>
  <c r="T1483" i="3" s="1"/>
  <c r="S1484" i="3"/>
  <c r="T1484" i="3" s="1"/>
  <c r="S1485" i="3"/>
  <c r="S1486" i="3"/>
  <c r="T1486" i="3" s="1"/>
  <c r="S1487" i="3"/>
  <c r="T1487" i="3" s="1"/>
  <c r="S1488" i="3"/>
  <c r="T1488" i="3" s="1"/>
  <c r="S1489" i="3"/>
  <c r="T1489" i="3" s="1"/>
  <c r="S1490" i="3"/>
  <c r="T1490" i="3" s="1"/>
  <c r="S1491" i="3"/>
  <c r="T1491" i="3" s="1"/>
  <c r="S1492" i="3"/>
  <c r="T1492" i="3" s="1"/>
  <c r="S1493" i="3"/>
  <c r="T1493" i="3" s="1"/>
  <c r="S1494" i="3"/>
  <c r="T1494" i="3" s="1"/>
  <c r="S1495" i="3"/>
  <c r="T1495" i="3" s="1"/>
  <c r="S1496" i="3"/>
  <c r="S1497" i="3"/>
  <c r="S1498" i="3"/>
  <c r="T1498" i="3" s="1"/>
  <c r="S1499" i="3"/>
  <c r="T1499" i="3" s="1"/>
  <c r="S1500" i="3"/>
  <c r="T1500" i="3" s="1"/>
  <c r="S1501" i="3"/>
  <c r="T1501" i="3" s="1"/>
  <c r="S1502" i="3"/>
  <c r="T1502" i="3" s="1"/>
  <c r="S1503" i="3"/>
  <c r="T1503" i="3" s="1"/>
  <c r="S1504" i="3"/>
  <c r="T1504" i="3" s="1"/>
  <c r="S1505" i="3"/>
  <c r="T1505" i="3" s="1"/>
  <c r="S1506" i="3"/>
  <c r="T1506" i="3" s="1"/>
  <c r="S1507" i="3"/>
  <c r="T1507" i="3" s="1"/>
  <c r="S1508" i="3"/>
  <c r="T1508" i="3" s="1"/>
  <c r="S1509" i="3"/>
  <c r="T1509" i="3" s="1"/>
  <c r="S1510" i="3"/>
  <c r="T1510" i="3" s="1"/>
  <c r="S1511" i="3"/>
  <c r="T1511" i="3" s="1"/>
  <c r="S1512" i="3"/>
  <c r="S1513" i="3"/>
  <c r="T1513" i="3" s="1"/>
  <c r="S1514" i="3"/>
  <c r="T1514" i="3" s="1"/>
  <c r="S1515" i="3"/>
  <c r="T1515" i="3" s="1"/>
  <c r="S1516" i="3"/>
  <c r="T1516" i="3" s="1"/>
  <c r="S1517" i="3"/>
  <c r="T1517" i="3" s="1"/>
  <c r="S1518" i="3"/>
  <c r="T1518" i="3" s="1"/>
  <c r="S1519" i="3"/>
  <c r="T1519" i="3" s="1"/>
  <c r="S1520" i="3"/>
  <c r="T1520" i="3" s="1"/>
  <c r="S1521" i="3"/>
  <c r="T1521" i="3" s="1"/>
  <c r="S1522" i="3"/>
  <c r="T1522" i="3" s="1"/>
  <c r="S1523" i="3"/>
  <c r="T1523" i="3" s="1"/>
  <c r="S1524" i="3"/>
  <c r="T1524" i="3" s="1"/>
  <c r="S1525" i="3"/>
  <c r="S1526" i="3"/>
  <c r="T1526" i="3" s="1"/>
  <c r="S1527" i="3"/>
  <c r="T1527" i="3" s="1"/>
  <c r="S1528" i="3"/>
  <c r="T1528" i="3" s="1"/>
  <c r="S1529" i="3"/>
  <c r="T1529" i="3" s="1"/>
  <c r="S1530" i="3"/>
  <c r="T1530" i="3" s="1"/>
  <c r="S1531" i="3"/>
  <c r="T1531" i="3" s="1"/>
  <c r="S1532" i="3"/>
  <c r="T1532" i="3" s="1"/>
  <c r="S1533" i="3"/>
  <c r="T1533" i="3" s="1"/>
  <c r="S1534" i="3"/>
  <c r="T1534" i="3" s="1"/>
  <c r="S1535" i="3"/>
  <c r="T1535" i="3" s="1"/>
  <c r="S1536" i="3"/>
  <c r="S1537" i="3"/>
  <c r="S1538" i="3"/>
  <c r="T1538" i="3" s="1"/>
  <c r="S1539" i="3"/>
  <c r="T1539" i="3" s="1"/>
  <c r="S1540" i="3"/>
  <c r="T1540" i="3" s="1"/>
  <c r="S1541" i="3"/>
  <c r="T1541" i="3" s="1"/>
  <c r="S1542" i="3"/>
  <c r="T1542" i="3" s="1"/>
  <c r="S1543" i="3"/>
  <c r="T1543" i="3" s="1"/>
  <c r="S1544" i="3"/>
  <c r="T1544" i="3" s="1"/>
  <c r="S1545" i="3"/>
  <c r="T1545" i="3" s="1"/>
  <c r="S1546" i="3"/>
  <c r="T1546" i="3" s="1"/>
  <c r="S1547" i="3"/>
  <c r="T1547" i="3" s="1"/>
  <c r="S1548" i="3"/>
  <c r="T1548" i="3" s="1"/>
  <c r="S1549" i="3"/>
  <c r="T1549" i="3" s="1"/>
  <c r="S1550" i="3"/>
  <c r="T1550" i="3" s="1"/>
  <c r="S1551" i="3"/>
  <c r="T1551" i="3" s="1"/>
  <c r="S1552" i="3"/>
  <c r="S1553" i="3"/>
  <c r="S1554" i="3"/>
  <c r="T1554" i="3" s="1"/>
  <c r="S1555" i="3"/>
  <c r="T1555" i="3" s="1"/>
  <c r="S1556" i="3"/>
  <c r="T1556" i="3" s="1"/>
  <c r="S1557" i="3"/>
  <c r="T1557" i="3" s="1"/>
  <c r="S1558" i="3"/>
  <c r="T1558" i="3" s="1"/>
  <c r="S1559" i="3"/>
  <c r="T1559" i="3" s="1"/>
  <c r="S1560" i="3"/>
  <c r="S1561" i="3"/>
  <c r="T1561" i="3" s="1"/>
  <c r="S1562" i="3"/>
  <c r="T1562" i="3" s="1"/>
  <c r="S1563" i="3"/>
  <c r="T1563" i="3" s="1"/>
  <c r="S1564" i="3"/>
  <c r="T1564" i="3" s="1"/>
  <c r="S1565" i="3"/>
  <c r="S1566" i="3"/>
  <c r="T1566" i="3" s="1"/>
  <c r="S1567" i="3"/>
  <c r="T1567" i="3" s="1"/>
  <c r="S1568" i="3"/>
  <c r="S1569" i="3"/>
  <c r="T1569" i="3" s="1"/>
  <c r="S1570" i="3"/>
  <c r="T1570" i="3" s="1"/>
  <c r="S1571" i="3"/>
  <c r="T1571" i="3" s="1"/>
  <c r="S1572" i="3"/>
  <c r="T1572" i="3" s="1"/>
  <c r="S1573" i="3"/>
  <c r="S1574" i="3"/>
  <c r="T1574" i="3" s="1"/>
  <c r="S1575" i="3"/>
  <c r="T1575" i="3" s="1"/>
  <c r="S1576" i="3"/>
  <c r="T1576" i="3" s="1"/>
  <c r="S1577" i="3"/>
  <c r="T1577" i="3" s="1"/>
  <c r="S1578" i="3"/>
  <c r="T1578" i="3" s="1"/>
  <c r="S1579" i="3"/>
  <c r="T1579" i="3" s="1"/>
  <c r="S1580" i="3"/>
  <c r="T1580" i="3" s="1"/>
  <c r="S1581" i="3"/>
  <c r="T1581" i="3" s="1"/>
  <c r="S1582" i="3"/>
  <c r="T1582" i="3" s="1"/>
  <c r="S1583" i="3"/>
  <c r="T1583" i="3" s="1"/>
  <c r="S1584" i="3"/>
  <c r="T1584" i="3" s="1"/>
  <c r="S1585" i="3"/>
  <c r="T1585" i="3" s="1"/>
  <c r="S1586" i="3"/>
  <c r="T1586" i="3" s="1"/>
  <c r="S1587" i="3"/>
  <c r="T1587" i="3" s="1"/>
  <c r="S1588" i="3"/>
  <c r="T1588" i="3" s="1"/>
  <c r="S1589" i="3"/>
  <c r="T1589" i="3" s="1"/>
  <c r="S1590" i="3"/>
  <c r="T1590" i="3" s="1"/>
  <c r="S1591" i="3"/>
  <c r="T1591" i="3" s="1"/>
  <c r="S1592" i="3"/>
  <c r="T1592" i="3" s="1"/>
  <c r="S1593" i="3"/>
  <c r="T1593" i="3" s="1"/>
  <c r="S1594" i="3"/>
  <c r="T1594" i="3" s="1"/>
  <c r="S1595" i="3"/>
  <c r="T1595" i="3" s="1"/>
  <c r="S1596" i="3"/>
  <c r="T1596" i="3" s="1"/>
  <c r="S1597" i="3"/>
  <c r="S1598" i="3"/>
  <c r="T1598" i="3" s="1"/>
  <c r="S1599" i="3"/>
  <c r="T1599" i="3" s="1"/>
  <c r="S1600" i="3"/>
  <c r="T1600" i="3" s="1"/>
  <c r="S1601" i="3"/>
  <c r="T1601" i="3" s="1"/>
  <c r="S1602" i="3"/>
  <c r="T1602" i="3" s="1"/>
  <c r="S1603" i="3"/>
  <c r="T1603" i="3" s="1"/>
  <c r="S1604" i="3"/>
  <c r="T1604" i="3" s="1"/>
  <c r="S1605" i="3"/>
  <c r="T1605" i="3" s="1"/>
  <c r="S1606" i="3"/>
  <c r="T1606" i="3" s="1"/>
  <c r="S1607" i="3"/>
  <c r="T1607" i="3" s="1"/>
  <c r="S1608" i="3"/>
  <c r="T1608" i="3" s="1"/>
  <c r="S1609" i="3"/>
  <c r="T1609" i="3" s="1"/>
  <c r="S1610" i="3"/>
  <c r="T1610" i="3" s="1"/>
  <c r="S1611" i="3"/>
  <c r="T1611" i="3" s="1"/>
  <c r="S1612" i="3"/>
  <c r="T1612" i="3" s="1"/>
  <c r="S1613" i="3"/>
  <c r="T1613" i="3" s="1"/>
  <c r="S1614" i="3"/>
  <c r="T1614" i="3" s="1"/>
  <c r="S1615" i="3"/>
  <c r="T1615" i="3" s="1"/>
  <c r="S1616" i="3"/>
  <c r="T1616" i="3" s="1"/>
  <c r="S1617" i="3"/>
  <c r="T1617" i="3" s="1"/>
  <c r="S1618" i="3"/>
  <c r="T1618" i="3" s="1"/>
  <c r="S1619" i="3"/>
  <c r="T1619" i="3" s="1"/>
  <c r="S1620" i="3"/>
  <c r="T1620" i="3" s="1"/>
  <c r="S1621" i="3"/>
  <c r="S1622" i="3"/>
  <c r="T1622" i="3" s="1"/>
  <c r="S1623" i="3"/>
  <c r="T1623" i="3" s="1"/>
  <c r="S1624" i="3"/>
  <c r="T1624" i="3" s="1"/>
  <c r="S1625" i="3"/>
  <c r="T1625" i="3" s="1"/>
  <c r="S1626" i="3"/>
  <c r="T1626" i="3" s="1"/>
  <c r="S1627" i="3"/>
  <c r="T1627" i="3" s="1"/>
  <c r="S1628" i="3"/>
  <c r="S1629" i="3"/>
  <c r="S1630" i="3"/>
  <c r="T1630" i="3" s="1"/>
  <c r="S1631" i="3"/>
  <c r="T1631" i="3" s="1"/>
  <c r="S1632" i="3"/>
  <c r="S1633" i="3"/>
  <c r="T1633" i="3" s="1"/>
  <c r="S1634" i="3"/>
  <c r="T1634" i="3" s="1"/>
  <c r="S1635" i="3"/>
  <c r="T1635" i="3" s="1"/>
  <c r="S1636" i="3"/>
  <c r="S1637" i="3"/>
  <c r="S1638" i="3"/>
  <c r="T1638" i="3" s="1"/>
  <c r="S1639" i="3"/>
  <c r="T1639" i="3" s="1"/>
  <c r="S1640" i="3"/>
  <c r="S1641" i="3"/>
  <c r="T1641" i="3" s="1"/>
  <c r="S1642" i="3"/>
  <c r="T1642" i="3" s="1"/>
  <c r="S1643" i="3"/>
  <c r="T1643" i="3" s="1"/>
  <c r="S1644" i="3"/>
  <c r="S1645" i="3"/>
  <c r="S1646" i="3"/>
  <c r="T1646" i="3" s="1"/>
  <c r="S1647" i="3"/>
  <c r="T1647" i="3" s="1"/>
  <c r="S1648" i="3"/>
  <c r="S1649" i="3"/>
  <c r="T1649" i="3" s="1"/>
  <c r="S1650" i="3"/>
  <c r="T1650" i="3" s="1"/>
  <c r="S1651" i="3"/>
  <c r="T1651" i="3" s="1"/>
  <c r="S1652" i="3"/>
  <c r="S1653" i="3"/>
  <c r="S1654" i="3"/>
  <c r="T1654" i="3" s="1"/>
  <c r="S1655" i="3"/>
  <c r="T1655" i="3" s="1"/>
  <c r="S1656" i="3"/>
  <c r="S1657" i="3"/>
  <c r="T1657" i="3" s="1"/>
  <c r="S1658" i="3"/>
  <c r="T1658" i="3" s="1"/>
  <c r="S1659" i="3"/>
  <c r="T1659" i="3" s="1"/>
  <c r="S1660" i="3"/>
  <c r="S1661" i="3"/>
  <c r="S1662" i="3"/>
  <c r="T1662" i="3" s="1"/>
  <c r="S1663" i="3"/>
  <c r="T1663" i="3" s="1"/>
  <c r="S1664" i="3"/>
  <c r="S1665" i="3"/>
  <c r="T1665" i="3" s="1"/>
  <c r="S1666" i="3"/>
  <c r="T1666" i="3" s="1"/>
  <c r="S1667" i="3"/>
  <c r="T1667" i="3" s="1"/>
  <c r="S1668" i="3"/>
  <c r="S1669" i="3"/>
  <c r="S1670" i="3"/>
  <c r="T1670" i="3" s="1"/>
  <c r="S1671" i="3"/>
  <c r="T1671" i="3" s="1"/>
  <c r="S1672" i="3"/>
  <c r="S1673" i="3"/>
  <c r="T1673" i="3" s="1"/>
  <c r="S1674" i="3"/>
  <c r="T1674" i="3" s="1"/>
  <c r="S1675" i="3"/>
  <c r="T1675" i="3" s="1"/>
  <c r="S1676" i="3"/>
  <c r="T1676" i="3" s="1"/>
  <c r="S1677" i="3"/>
  <c r="T1677" i="3" s="1"/>
  <c r="S1678" i="3"/>
  <c r="T1678" i="3" s="1"/>
  <c r="S1679" i="3"/>
  <c r="T1679" i="3" s="1"/>
  <c r="S1680" i="3"/>
  <c r="T1680" i="3" s="1"/>
  <c r="S1681" i="3"/>
  <c r="S1682" i="3"/>
  <c r="T1682" i="3" s="1"/>
  <c r="S1683" i="3"/>
  <c r="T1683" i="3" s="1"/>
  <c r="S1684" i="3"/>
  <c r="S1685" i="3"/>
  <c r="T1685" i="3" s="1"/>
  <c r="S1686" i="3"/>
  <c r="T1686" i="3" s="1"/>
  <c r="S1687" i="3"/>
  <c r="T1687" i="3" s="1"/>
  <c r="S1688" i="3"/>
  <c r="S1689" i="3"/>
  <c r="T1689" i="3" s="1"/>
  <c r="S1690" i="3"/>
  <c r="T1690" i="3" s="1"/>
  <c r="S1691" i="3"/>
  <c r="T1691" i="3" s="1"/>
  <c r="S1692" i="3"/>
  <c r="S1693" i="3"/>
  <c r="T1693" i="3" s="1"/>
  <c r="S1694" i="3"/>
  <c r="T1694" i="3" s="1"/>
  <c r="S1695" i="3"/>
  <c r="T1695" i="3" s="1"/>
  <c r="S1696" i="3"/>
  <c r="S1697" i="3"/>
  <c r="T1697" i="3" s="1"/>
  <c r="S1698" i="3"/>
  <c r="T1698" i="3" s="1"/>
  <c r="S1699" i="3"/>
  <c r="T1699" i="3" s="1"/>
  <c r="S1700" i="3"/>
  <c r="S1701" i="3"/>
  <c r="T1701" i="3" s="1"/>
  <c r="S1702" i="3"/>
  <c r="T1702" i="3" s="1"/>
  <c r="S1703" i="3"/>
  <c r="T1703" i="3" s="1"/>
  <c r="S1704" i="3"/>
  <c r="S1705" i="3"/>
  <c r="T1705" i="3" s="1"/>
  <c r="S1706" i="3"/>
  <c r="T1706" i="3" s="1"/>
  <c r="S1707" i="3"/>
  <c r="T1707" i="3" s="1"/>
  <c r="S1708" i="3"/>
  <c r="S1709" i="3"/>
  <c r="T1709" i="3" s="1"/>
  <c r="S1710" i="3"/>
  <c r="T1710" i="3" s="1"/>
  <c r="S1711" i="3"/>
  <c r="T1711" i="3" s="1"/>
  <c r="S1712" i="3"/>
  <c r="S1713" i="3"/>
  <c r="T1713" i="3" s="1"/>
  <c r="S1714" i="3"/>
  <c r="T1714" i="3" s="1"/>
  <c r="S1715" i="3"/>
  <c r="T1715" i="3" s="1"/>
  <c r="S1716" i="3"/>
  <c r="S1717" i="3"/>
  <c r="T1717" i="3" s="1"/>
  <c r="S1718" i="3"/>
  <c r="T1718" i="3" s="1"/>
  <c r="S1719" i="3"/>
  <c r="T1719" i="3" s="1"/>
  <c r="S1720" i="3"/>
  <c r="S1721" i="3"/>
  <c r="T1721" i="3" s="1"/>
  <c r="S1722" i="3"/>
  <c r="T1722" i="3" s="1"/>
  <c r="S1723" i="3"/>
  <c r="T1723" i="3" s="1"/>
  <c r="S1724" i="3"/>
  <c r="T1724" i="3" s="1"/>
  <c r="S1725" i="3"/>
  <c r="T1725" i="3" s="1"/>
  <c r="S1726" i="3"/>
  <c r="T1726" i="3" s="1"/>
  <c r="S1727" i="3"/>
  <c r="T1727" i="3" s="1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T1736" i="3" s="1"/>
  <c r="S1737" i="3"/>
  <c r="T1737" i="3" s="1"/>
  <c r="S1738" i="3"/>
  <c r="T1738" i="3" s="1"/>
  <c r="S1739" i="3"/>
  <c r="T1739" i="3" s="1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T1748" i="3" s="1"/>
  <c r="S1749" i="3"/>
  <c r="T1749" i="3" s="1"/>
  <c r="S1750" i="3"/>
  <c r="T1750" i="3" s="1"/>
  <c r="S1751" i="3"/>
  <c r="T1751" i="3" s="1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S1761" i="3"/>
  <c r="T1761" i="3" s="1"/>
  <c r="S1762" i="3"/>
  <c r="T1762" i="3" s="1"/>
  <c r="S1763" i="3"/>
  <c r="T1763" i="3" s="1"/>
  <c r="S1764" i="3"/>
  <c r="S1765" i="3"/>
  <c r="T1765" i="3" s="1"/>
  <c r="S1766" i="3"/>
  <c r="T1766" i="3" s="1"/>
  <c r="S1767" i="3"/>
  <c r="T1767" i="3" s="1"/>
  <c r="S1768" i="3"/>
  <c r="S1769" i="3"/>
  <c r="T1769" i="3" s="1"/>
  <c r="S1770" i="3"/>
  <c r="T1770" i="3" s="1"/>
  <c r="S1771" i="3"/>
  <c r="T1771" i="3" s="1"/>
  <c r="S1772" i="3"/>
  <c r="S1773" i="3"/>
  <c r="T1773" i="3" s="1"/>
  <c r="S1774" i="3"/>
  <c r="T1774" i="3" s="1"/>
  <c r="S1775" i="3"/>
  <c r="T1775" i="3" s="1"/>
  <c r="S1776" i="3"/>
  <c r="S1777" i="3"/>
  <c r="T1777" i="3" s="1"/>
  <c r="S1778" i="3"/>
  <c r="T1778" i="3" s="1"/>
  <c r="S1779" i="3"/>
  <c r="T1779" i="3" s="1"/>
  <c r="S1780" i="3"/>
  <c r="S1781" i="3"/>
  <c r="T1781" i="3" s="1"/>
  <c r="S1782" i="3"/>
  <c r="T1782" i="3" s="1"/>
  <c r="S1783" i="3"/>
  <c r="T1783" i="3" s="1"/>
  <c r="S1784" i="3"/>
  <c r="S1785" i="3"/>
  <c r="T1785" i="3" s="1"/>
  <c r="S1786" i="3"/>
  <c r="T1786" i="3" s="1"/>
  <c r="S1787" i="3"/>
  <c r="T1787" i="3" s="1"/>
  <c r="S1788" i="3"/>
  <c r="T1788" i="3" s="1"/>
  <c r="S1789" i="3"/>
  <c r="T178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T1796" i="3" s="1"/>
  <c r="S1797" i="3"/>
  <c r="T1797" i="3" s="1"/>
  <c r="S1798" i="3"/>
  <c r="T1798" i="3" s="1"/>
  <c r="S1799" i="3"/>
  <c r="T1799" i="3" s="1"/>
  <c r="S1800" i="3"/>
  <c r="T1800" i="3" s="1"/>
  <c r="S1801" i="3"/>
  <c r="S1802" i="3"/>
  <c r="T1802" i="3" s="1"/>
  <c r="S1803" i="3"/>
  <c r="T1803" i="3" s="1"/>
  <c r="S1804" i="3"/>
  <c r="S1805" i="3"/>
  <c r="T1805" i="3" s="1"/>
  <c r="S1806" i="3"/>
  <c r="T1806" i="3" s="1"/>
  <c r="S1807" i="3"/>
  <c r="T1807" i="3" s="1"/>
  <c r="S1808" i="3"/>
  <c r="S1809" i="3"/>
  <c r="T1809" i="3" s="1"/>
  <c r="S1810" i="3"/>
  <c r="T1810" i="3" s="1"/>
  <c r="S1811" i="3"/>
  <c r="T1811" i="3" s="1"/>
  <c r="S1812" i="3"/>
  <c r="S1813" i="3"/>
  <c r="T1813" i="3" s="1"/>
  <c r="S1814" i="3"/>
  <c r="T1814" i="3" s="1"/>
  <c r="S1815" i="3"/>
  <c r="T1815" i="3" s="1"/>
  <c r="S1816" i="3"/>
  <c r="S1817" i="3"/>
  <c r="T1817" i="3" s="1"/>
  <c r="S1818" i="3"/>
  <c r="T1818" i="3" s="1"/>
  <c r="S1819" i="3"/>
  <c r="T1819" i="3" s="1"/>
  <c r="S1820" i="3"/>
  <c r="S1821" i="3"/>
  <c r="T1821" i="3" s="1"/>
  <c r="S1822" i="3"/>
  <c r="T1822" i="3" s="1"/>
  <c r="S1823" i="3"/>
  <c r="T1823" i="3" s="1"/>
  <c r="S1824" i="3"/>
  <c r="S1825" i="3"/>
  <c r="T1825" i="3" s="1"/>
  <c r="S1826" i="3"/>
  <c r="T1826" i="3" s="1"/>
  <c r="S1827" i="3"/>
  <c r="T1827" i="3" s="1"/>
  <c r="S1828" i="3"/>
  <c r="S1829" i="3"/>
  <c r="T1829" i="3" s="1"/>
  <c r="S1830" i="3"/>
  <c r="T1830" i="3" s="1"/>
  <c r="S1831" i="3"/>
  <c r="T1831" i="3" s="1"/>
  <c r="S1832" i="3"/>
  <c r="S1833" i="3"/>
  <c r="T1833" i="3" s="1"/>
  <c r="S1834" i="3"/>
  <c r="T1834" i="3" s="1"/>
  <c r="S1835" i="3"/>
  <c r="T1835" i="3" s="1"/>
  <c r="S1836" i="3"/>
  <c r="S1837" i="3"/>
  <c r="T1837" i="3" s="1"/>
  <c r="S1838" i="3"/>
  <c r="T1838" i="3" s="1"/>
  <c r="S1839" i="3"/>
  <c r="T1839" i="3" s="1"/>
  <c r="S1840" i="3"/>
  <c r="S1841" i="3"/>
  <c r="T1841" i="3" s="1"/>
  <c r="S1842" i="3"/>
  <c r="T1842" i="3" s="1"/>
  <c r="S1843" i="3"/>
  <c r="T1843" i="3" s="1"/>
  <c r="S1844" i="3"/>
  <c r="S1845" i="3"/>
  <c r="T1845" i="3" s="1"/>
  <c r="S1846" i="3"/>
  <c r="T1846" i="3" s="1"/>
  <c r="S1847" i="3"/>
  <c r="T1847" i="3" s="1"/>
  <c r="S1848" i="3"/>
  <c r="S1849" i="3"/>
  <c r="T1849" i="3" s="1"/>
  <c r="S1850" i="3"/>
  <c r="T1850" i="3" s="1"/>
  <c r="S1851" i="3"/>
  <c r="T1851" i="3" s="1"/>
  <c r="S1852" i="3"/>
  <c r="S1853" i="3"/>
  <c r="T1853" i="3" s="1"/>
  <c r="S1854" i="3"/>
  <c r="T1854" i="3" s="1"/>
  <c r="S1855" i="3"/>
  <c r="T1855" i="3" s="1"/>
  <c r="S1856" i="3"/>
  <c r="T1856" i="3" s="1"/>
  <c r="S1857" i="3"/>
  <c r="T1857" i="3" s="1"/>
  <c r="S1858" i="3"/>
  <c r="T1858" i="3" s="1"/>
  <c r="S1859" i="3"/>
  <c r="T1859" i="3" s="1"/>
  <c r="S1860" i="3"/>
  <c r="T1860" i="3" s="1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T1868" i="3" s="1"/>
  <c r="S1869" i="3"/>
  <c r="T1869" i="3" s="1"/>
  <c r="S1870" i="3"/>
  <c r="T1870" i="3" s="1"/>
  <c r="S1871" i="3"/>
  <c r="T1871" i="3" s="1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1879" i="3"/>
  <c r="T1879" i="3" s="1"/>
  <c r="S1880" i="3"/>
  <c r="T1880" i="3" s="1"/>
  <c r="S1881" i="3"/>
  <c r="T1881" i="3" s="1"/>
  <c r="S1882" i="3"/>
  <c r="T1882" i="3" s="1"/>
  <c r="S1883" i="3"/>
  <c r="T1883" i="3" s="1"/>
  <c r="S1884" i="3"/>
  <c r="T1884" i="3" s="1"/>
  <c r="S1885" i="3"/>
  <c r="T1885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T1892" i="3" s="1"/>
  <c r="S1893" i="3"/>
  <c r="T1893" i="3" s="1"/>
  <c r="S1894" i="3"/>
  <c r="T1894" i="3" s="1"/>
  <c r="S1895" i="3"/>
  <c r="T1895" i="3" s="1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T1904" i="3" s="1"/>
  <c r="S1905" i="3"/>
  <c r="T1905" i="3" s="1"/>
  <c r="S1906" i="3"/>
  <c r="T1906" i="3" s="1"/>
  <c r="S1907" i="3"/>
  <c r="T1907" i="3" s="1"/>
  <c r="S1908" i="3"/>
  <c r="T1908" i="3" s="1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T1916" i="3" s="1"/>
  <c r="S1917" i="3"/>
  <c r="T1917" i="3" s="1"/>
  <c r="S1918" i="3"/>
  <c r="T1918" i="3" s="1"/>
  <c r="S1919" i="3"/>
  <c r="T1919" i="3" s="1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T1928" i="3" s="1"/>
  <c r="S1929" i="3"/>
  <c r="T1929" i="3" s="1"/>
  <c r="S1930" i="3"/>
  <c r="T1930" i="3" s="1"/>
  <c r="S1931" i="3"/>
  <c r="T1931" i="3" s="1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T1940" i="3" s="1"/>
  <c r="S1941" i="3"/>
  <c r="T1941" i="3" s="1"/>
  <c r="S1942" i="3"/>
  <c r="T1942" i="3" s="1"/>
  <c r="S1943" i="3"/>
  <c r="T1943" i="3" s="1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T1952" i="3" s="1"/>
  <c r="S1953" i="3"/>
  <c r="T1953" i="3" s="1"/>
  <c r="S1954" i="3"/>
  <c r="T1954" i="3" s="1"/>
  <c r="S1955" i="3"/>
  <c r="T1955" i="3" s="1"/>
  <c r="S1956" i="3"/>
  <c r="T1956" i="3" s="1"/>
  <c r="S1957" i="3"/>
  <c r="T1957" i="3" s="1"/>
  <c r="S1958" i="3"/>
  <c r="T1958" i="3" s="1"/>
  <c r="S1959" i="3"/>
  <c r="T1959" i="3" s="1"/>
  <c r="S1960" i="3"/>
  <c r="T1960" i="3" s="1"/>
  <c r="S1961" i="3"/>
  <c r="T1961" i="3" s="1"/>
  <c r="S1962" i="3"/>
  <c r="T1962" i="3" s="1"/>
  <c r="S1963" i="3"/>
  <c r="T1963" i="3" s="1"/>
  <c r="S1964" i="3"/>
  <c r="T1964" i="3" s="1"/>
  <c r="S1965" i="3"/>
  <c r="T1965" i="3" s="1"/>
  <c r="S1966" i="3"/>
  <c r="T1966" i="3" s="1"/>
  <c r="S1967" i="3"/>
  <c r="T1967" i="3" s="1"/>
  <c r="S1968" i="3"/>
  <c r="T1968" i="3" s="1"/>
  <c r="S1969" i="3"/>
  <c r="T1969" i="3" s="1"/>
  <c r="S1970" i="3"/>
  <c r="T1970" i="3" s="1"/>
  <c r="S1971" i="3"/>
  <c r="T1971" i="3" s="1"/>
  <c r="S1972" i="3"/>
  <c r="T1972" i="3" s="1"/>
  <c r="S1973" i="3"/>
  <c r="T1973" i="3" s="1"/>
  <c r="S1974" i="3"/>
  <c r="T1974" i="3" s="1"/>
  <c r="S1975" i="3"/>
  <c r="T1975" i="3" s="1"/>
  <c r="S1976" i="3"/>
  <c r="T1976" i="3" s="1"/>
  <c r="S1977" i="3"/>
  <c r="T1977" i="3" s="1"/>
  <c r="S1978" i="3"/>
  <c r="T1978" i="3" s="1"/>
  <c r="S1979" i="3"/>
  <c r="T1979" i="3" s="1"/>
  <c r="S1980" i="3"/>
  <c r="T1980" i="3" s="1"/>
  <c r="S1981" i="3"/>
  <c r="T1981" i="3" s="1"/>
  <c r="S1982" i="3"/>
  <c r="T1982" i="3" s="1"/>
  <c r="S1983" i="3"/>
  <c r="T1983" i="3" s="1"/>
  <c r="S1984" i="3"/>
  <c r="T1984" i="3" s="1"/>
  <c r="S1985" i="3"/>
  <c r="T1985" i="3" s="1"/>
  <c r="S1986" i="3"/>
  <c r="T1986" i="3" s="1"/>
  <c r="S1987" i="3"/>
  <c r="T1987" i="3" s="1"/>
  <c r="S1988" i="3"/>
  <c r="T1988" i="3" s="1"/>
  <c r="S1989" i="3"/>
  <c r="T1989" i="3" s="1"/>
  <c r="S1990" i="3"/>
  <c r="T1990" i="3" s="1"/>
  <c r="S1991" i="3"/>
  <c r="T1991" i="3" s="1"/>
  <c r="S1992" i="3"/>
  <c r="T1992" i="3" s="1"/>
  <c r="S1993" i="3"/>
  <c r="T1993" i="3" s="1"/>
  <c r="S1994" i="3"/>
  <c r="T1994" i="3" s="1"/>
  <c r="S1995" i="3"/>
  <c r="T1995" i="3" s="1"/>
  <c r="S1996" i="3"/>
  <c r="T1996" i="3" s="1"/>
  <c r="S1997" i="3"/>
  <c r="T1997" i="3" s="1"/>
  <c r="S1998" i="3"/>
  <c r="T1998" i="3" s="1"/>
  <c r="S1999" i="3"/>
  <c r="T1999" i="3" s="1"/>
  <c r="S2000" i="3"/>
  <c r="T2000" i="3" s="1"/>
  <c r="S2001" i="3"/>
  <c r="T2001" i="3" s="1"/>
  <c r="S2002" i="3"/>
  <c r="T2002" i="3" s="1"/>
  <c r="S2003" i="3"/>
  <c r="T2003" i="3" s="1"/>
  <c r="S2004" i="3"/>
  <c r="T2004" i="3" s="1"/>
  <c r="S2005" i="3"/>
  <c r="T2005" i="3" s="1"/>
  <c r="S2006" i="3"/>
  <c r="T2006" i="3" s="1"/>
  <c r="S2007" i="3"/>
  <c r="T2007" i="3" s="1"/>
  <c r="S2008" i="3"/>
  <c r="T2008" i="3" s="1"/>
  <c r="S2009" i="3"/>
  <c r="T2009" i="3" s="1"/>
  <c r="S2010" i="3"/>
  <c r="T2010" i="3" s="1"/>
  <c r="S2011" i="3"/>
  <c r="T2011" i="3" s="1"/>
  <c r="S2012" i="3"/>
  <c r="T2012" i="3" s="1"/>
  <c r="S2013" i="3"/>
  <c r="T2013" i="3" s="1"/>
  <c r="S2014" i="3"/>
  <c r="T2014" i="3" s="1"/>
  <c r="S2015" i="3"/>
  <c r="T2015" i="3" s="1"/>
  <c r="S2016" i="3"/>
  <c r="T2016" i="3" s="1"/>
  <c r="S2017" i="3"/>
  <c r="T2017" i="3" s="1"/>
  <c r="S2018" i="3"/>
  <c r="T2018" i="3" s="1"/>
  <c r="S2019" i="3"/>
  <c r="T2019" i="3" s="1"/>
  <c r="S2020" i="3"/>
  <c r="S2021" i="3"/>
  <c r="T2021" i="3" s="1"/>
  <c r="S2022" i="3"/>
  <c r="T2022" i="3" s="1"/>
  <c r="S2023" i="3"/>
  <c r="T2023" i="3" s="1"/>
  <c r="S2024" i="3"/>
  <c r="S2025" i="3"/>
  <c r="T2025" i="3" s="1"/>
  <c r="S2026" i="3"/>
  <c r="T2026" i="3" s="1"/>
  <c r="S2027" i="3"/>
  <c r="T2027" i="3" s="1"/>
  <c r="S2028" i="3"/>
  <c r="T2028" i="3" s="1"/>
  <c r="S2029" i="3"/>
  <c r="T2029" i="3" s="1"/>
  <c r="S2030" i="3"/>
  <c r="T2030" i="3" s="1"/>
  <c r="S2031" i="3"/>
  <c r="T2031" i="3" s="1"/>
  <c r="S2032" i="3"/>
  <c r="S2033" i="3"/>
  <c r="T2033" i="3" s="1"/>
  <c r="S2034" i="3"/>
  <c r="T2034" i="3" s="1"/>
  <c r="S2035" i="3"/>
  <c r="T2035" i="3" s="1"/>
  <c r="S2036" i="3"/>
  <c r="T2036" i="3" s="1"/>
  <c r="S2037" i="3"/>
  <c r="T2037" i="3" s="1"/>
  <c r="S2038" i="3"/>
  <c r="T2038" i="3" s="1"/>
  <c r="S2039" i="3"/>
  <c r="T2039" i="3" s="1"/>
  <c r="S2040" i="3"/>
  <c r="T2040" i="3" s="1"/>
  <c r="S2041" i="3"/>
  <c r="T2041" i="3" s="1"/>
  <c r="S2042" i="3"/>
  <c r="T2042" i="3" s="1"/>
  <c r="S2043" i="3"/>
  <c r="T2043" i="3" s="1"/>
  <c r="S2044" i="3"/>
  <c r="T2044" i="3" s="1"/>
  <c r="S2045" i="3"/>
  <c r="T2045" i="3" s="1"/>
  <c r="S2046" i="3"/>
  <c r="T2046" i="3" s="1"/>
  <c r="S2047" i="3"/>
  <c r="T2047" i="3" s="1"/>
  <c r="S2048" i="3"/>
  <c r="T2048" i="3" s="1"/>
  <c r="S2049" i="3"/>
  <c r="T2049" i="3" s="1"/>
  <c r="S2050" i="3"/>
  <c r="T2050" i="3" s="1"/>
  <c r="S2051" i="3"/>
  <c r="T2051" i="3" s="1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T2060" i="3" s="1"/>
  <c r="S2061" i="3"/>
  <c r="T2061" i="3" s="1"/>
  <c r="S2062" i="3"/>
  <c r="T2062" i="3" s="1"/>
  <c r="S2063" i="3"/>
  <c r="T2063" i="3" s="1"/>
  <c r="S2064" i="3"/>
  <c r="T2064" i="3" s="1"/>
  <c r="S2065" i="3"/>
  <c r="T2065" i="3" s="1"/>
  <c r="S2066" i="3"/>
  <c r="T2066" i="3" s="1"/>
  <c r="S2067" i="3"/>
  <c r="T2067" i="3" s="1"/>
  <c r="S2068" i="3"/>
  <c r="T2068" i="3" s="1"/>
  <c r="S2069" i="3"/>
  <c r="T2069" i="3" s="1"/>
  <c r="S2070" i="3"/>
  <c r="T2070" i="3" s="1"/>
  <c r="S2071" i="3"/>
  <c r="T2071" i="3" s="1"/>
  <c r="S2072" i="3"/>
  <c r="T2072" i="3" s="1"/>
  <c r="S2073" i="3"/>
  <c r="T2073" i="3" s="1"/>
  <c r="S2074" i="3"/>
  <c r="T2074" i="3" s="1"/>
  <c r="S2075" i="3"/>
  <c r="T2075" i="3" s="1"/>
  <c r="S2076" i="3"/>
  <c r="T2076" i="3" s="1"/>
  <c r="S2077" i="3"/>
  <c r="T2077" i="3" s="1"/>
  <c r="S2078" i="3"/>
  <c r="T2078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T2084" i="3" s="1"/>
  <c r="S2085" i="3"/>
  <c r="T2085" i="3" s="1"/>
  <c r="S2086" i="3"/>
  <c r="T2086" i="3" s="1"/>
  <c r="S2087" i="3"/>
  <c r="T2087" i="3" s="1"/>
  <c r="S2088" i="3"/>
  <c r="T2088" i="3" s="1"/>
  <c r="S2089" i="3"/>
  <c r="T2089" i="3" s="1"/>
  <c r="S2090" i="3"/>
  <c r="T2090" i="3" s="1"/>
  <c r="S2091" i="3"/>
  <c r="T2091" i="3" s="1"/>
  <c r="S2092" i="3"/>
  <c r="T2092" i="3" s="1"/>
  <c r="S2093" i="3"/>
  <c r="T2093" i="3" s="1"/>
  <c r="S2094" i="3"/>
  <c r="T2094" i="3" s="1"/>
  <c r="S2095" i="3"/>
  <c r="T2095" i="3" s="1"/>
  <c r="S2096" i="3"/>
  <c r="T2096" i="3" s="1"/>
  <c r="S2097" i="3"/>
  <c r="T2097" i="3" s="1"/>
  <c r="S2098" i="3"/>
  <c r="T2098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107" i="3"/>
  <c r="T2107" i="3" s="1"/>
  <c r="S2108" i="3"/>
  <c r="T2108" i="3" s="1"/>
  <c r="S2109" i="3"/>
  <c r="T2109" i="3" s="1"/>
  <c r="S2110" i="3"/>
  <c r="T2110" i="3" s="1"/>
  <c r="S2111" i="3"/>
  <c r="T2111" i="3" s="1"/>
  <c r="S2112" i="3"/>
  <c r="T2112" i="3" s="1"/>
  <c r="S2113" i="3"/>
  <c r="T2113" i="3" s="1"/>
  <c r="S2114" i="3"/>
  <c r="T2114" i="3" s="1"/>
  <c r="S2115" i="3"/>
  <c r="T2115" i="3" s="1"/>
  <c r="S2116" i="3"/>
  <c r="T2116" i="3" s="1"/>
  <c r="S2117" i="3"/>
  <c r="T2117" i="3" s="1"/>
  <c r="S2118" i="3"/>
  <c r="T2118" i="3" s="1"/>
  <c r="S2119" i="3"/>
  <c r="T2119" i="3" s="1"/>
  <c r="S2120" i="3"/>
  <c r="T2120" i="3" s="1"/>
  <c r="S2121" i="3"/>
  <c r="T2121" i="3" s="1"/>
  <c r="S2122" i="3"/>
  <c r="T2122" i="3" s="1"/>
  <c r="S2123" i="3"/>
  <c r="T2123" i="3" s="1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133" i="3"/>
  <c r="T2133" i="3" s="1"/>
  <c r="S2134" i="3"/>
  <c r="T2134" i="3" s="1"/>
  <c r="S2135" i="3"/>
  <c r="T2135" i="3" s="1"/>
  <c r="S2136" i="3"/>
  <c r="T2136" i="3" s="1"/>
  <c r="S2137" i="3"/>
  <c r="T2137" i="3" s="1"/>
  <c r="T6" i="3"/>
  <c r="T9" i="3"/>
  <c r="T41" i="3"/>
  <c r="T53" i="3"/>
  <c r="T57" i="3"/>
  <c r="T61" i="3"/>
  <c r="T65" i="3"/>
  <c r="T69" i="3"/>
  <c r="T73" i="3"/>
  <c r="T77" i="3"/>
  <c r="T81" i="3"/>
  <c r="T85" i="3"/>
  <c r="T89" i="3"/>
  <c r="T93" i="3"/>
  <c r="T97" i="3"/>
  <c r="T101" i="3"/>
  <c r="T105" i="3"/>
  <c r="T109" i="3"/>
  <c r="T113" i="3"/>
  <c r="T117" i="3"/>
  <c r="T121" i="3"/>
  <c r="T125" i="3"/>
  <c r="T129" i="3"/>
  <c r="T133" i="3"/>
  <c r="T137" i="3"/>
  <c r="T141" i="3"/>
  <c r="T145" i="3"/>
  <c r="T149" i="3"/>
  <c r="T153" i="3"/>
  <c r="T157" i="3"/>
  <c r="T161" i="3"/>
  <c r="T208" i="3"/>
  <c r="T212" i="3"/>
  <c r="T216" i="3"/>
  <c r="T220" i="3"/>
  <c r="T224" i="3"/>
  <c r="T228" i="3"/>
  <c r="T237" i="3"/>
  <c r="T241" i="3"/>
  <c r="T245" i="3"/>
  <c r="T249" i="3"/>
  <c r="T252" i="3"/>
  <c r="T256" i="3"/>
  <c r="T260" i="3"/>
  <c r="T264" i="3"/>
  <c r="T268" i="3"/>
  <c r="T272" i="3"/>
  <c r="T276" i="3"/>
  <c r="T280" i="3"/>
  <c r="T284" i="3"/>
  <c r="T288" i="3"/>
  <c r="T292" i="3"/>
  <c r="T296" i="3"/>
  <c r="T300" i="3"/>
  <c r="T304" i="3"/>
  <c r="T349" i="3"/>
  <c r="T381" i="3"/>
  <c r="T397" i="3"/>
  <c r="T401" i="3"/>
  <c r="T405" i="3"/>
  <c r="T409" i="3"/>
  <c r="T412" i="3"/>
  <c r="T413" i="3"/>
  <c r="T417" i="3"/>
  <c r="T421" i="3"/>
  <c r="T424" i="3"/>
  <c r="T428" i="3"/>
  <c r="T440" i="3"/>
  <c r="T448" i="3"/>
  <c r="T497" i="3"/>
  <c r="T501" i="3"/>
  <c r="T505" i="3"/>
  <c r="T509" i="3"/>
  <c r="T513" i="3"/>
  <c r="T517" i="3"/>
  <c r="T520" i="3"/>
  <c r="T521" i="3"/>
  <c r="T525" i="3"/>
  <c r="T529" i="3"/>
  <c r="T533" i="3"/>
  <c r="T537" i="3"/>
  <c r="T541" i="3"/>
  <c r="T545" i="3"/>
  <c r="T549" i="3"/>
  <c r="T552" i="3"/>
  <c r="T556" i="3"/>
  <c r="T560" i="3"/>
  <c r="T561" i="3"/>
  <c r="T565" i="3"/>
  <c r="T569" i="3"/>
  <c r="T573" i="3"/>
  <c r="T577" i="3"/>
  <c r="T581" i="3"/>
  <c r="T585" i="3"/>
  <c r="T589" i="3"/>
  <c r="T593" i="3"/>
  <c r="T597" i="3"/>
  <c r="T601" i="3"/>
  <c r="T605" i="3"/>
  <c r="T609" i="3"/>
  <c r="T616" i="3"/>
  <c r="T620" i="3"/>
  <c r="T624" i="3"/>
  <c r="T628" i="3"/>
  <c r="T632" i="3"/>
  <c r="T636" i="3"/>
  <c r="T640" i="3"/>
  <c r="T644" i="3"/>
  <c r="T648" i="3"/>
  <c r="T652" i="3"/>
  <c r="T677" i="3"/>
  <c r="T685" i="3"/>
  <c r="T693" i="3"/>
  <c r="T705" i="3"/>
  <c r="T713" i="3"/>
  <c r="T721" i="3"/>
  <c r="T729" i="3"/>
  <c r="T741" i="3"/>
  <c r="T749" i="3"/>
  <c r="T757" i="3"/>
  <c r="T773" i="3"/>
  <c r="T785" i="3"/>
  <c r="T788" i="3"/>
  <c r="T789" i="3"/>
  <c r="T793" i="3"/>
  <c r="T796" i="3"/>
  <c r="T797" i="3"/>
  <c r="T801" i="3"/>
  <c r="T804" i="3"/>
  <c r="T805" i="3"/>
  <c r="T809" i="3"/>
  <c r="T813" i="3"/>
  <c r="T817" i="3"/>
  <c r="T820" i="3"/>
  <c r="T821" i="3"/>
  <c r="T825" i="3"/>
  <c r="T828" i="3"/>
  <c r="T829" i="3"/>
  <c r="T833" i="3"/>
  <c r="T836" i="3"/>
  <c r="T837" i="3"/>
  <c r="T841" i="3"/>
  <c r="T845" i="3"/>
  <c r="T849" i="3"/>
  <c r="T852" i="3"/>
  <c r="T853" i="3"/>
  <c r="T857" i="3"/>
  <c r="T860" i="3"/>
  <c r="T861" i="3"/>
  <c r="T865" i="3"/>
  <c r="T868" i="3"/>
  <c r="T869" i="3"/>
  <c r="T872" i="3"/>
  <c r="T873" i="3"/>
  <c r="T876" i="3"/>
  <c r="T877" i="3"/>
  <c r="T880" i="3"/>
  <c r="T881" i="3"/>
  <c r="T884" i="3"/>
  <c r="T888" i="3"/>
  <c r="T889" i="3"/>
  <c r="T892" i="3"/>
  <c r="T893" i="3"/>
  <c r="T897" i="3"/>
  <c r="T900" i="3"/>
  <c r="T901" i="3"/>
  <c r="T905" i="3"/>
  <c r="T908" i="3"/>
  <c r="T909" i="3"/>
  <c r="T913" i="3"/>
  <c r="T917" i="3"/>
  <c r="T921" i="3"/>
  <c r="T925" i="3"/>
  <c r="T928" i="3"/>
  <c r="T929" i="3"/>
  <c r="T932" i="3"/>
  <c r="T933" i="3"/>
  <c r="T936" i="3"/>
  <c r="T937" i="3"/>
  <c r="T940" i="3"/>
  <c r="T941" i="3"/>
  <c r="T944" i="3"/>
  <c r="T948" i="3"/>
  <c r="T952" i="3"/>
  <c r="T956" i="3"/>
  <c r="T960" i="3"/>
  <c r="T964" i="3"/>
  <c r="T968" i="3"/>
  <c r="T972" i="3"/>
  <c r="T976" i="3"/>
  <c r="T980" i="3"/>
  <c r="T984" i="3"/>
  <c r="T988" i="3"/>
  <c r="T992" i="3"/>
  <c r="T996" i="3"/>
  <c r="T1000" i="3"/>
  <c r="T1004" i="3"/>
  <c r="T1008" i="3"/>
  <c r="T1012" i="3"/>
  <c r="T1016" i="3"/>
  <c r="T1020" i="3"/>
  <c r="T1024" i="3"/>
  <c r="T1028" i="3"/>
  <c r="T1032" i="3"/>
  <c r="T1036" i="3"/>
  <c r="T1040" i="3"/>
  <c r="T1044" i="3"/>
  <c r="T1045" i="3"/>
  <c r="T1048" i="3"/>
  <c r="T1052" i="3"/>
  <c r="T1056" i="3"/>
  <c r="T1060" i="3"/>
  <c r="T1064" i="3"/>
  <c r="T1068" i="3"/>
  <c r="T1072" i="3"/>
  <c r="T1076" i="3"/>
  <c r="T1080" i="3"/>
  <c r="T1084" i="3"/>
  <c r="T1088" i="3"/>
  <c r="T1105" i="3"/>
  <c r="T1121" i="3"/>
  <c r="T1125" i="3"/>
  <c r="T1141" i="3"/>
  <c r="T1149" i="3"/>
  <c r="T1157" i="3"/>
  <c r="T1161" i="3"/>
  <c r="T1165" i="3"/>
  <c r="T1169" i="3"/>
  <c r="T1173" i="3"/>
  <c r="T1177" i="3"/>
  <c r="T1181" i="3"/>
  <c r="T1185" i="3"/>
  <c r="T1189" i="3"/>
  <c r="T1193" i="3"/>
  <c r="T1197" i="3"/>
  <c r="T1201" i="3"/>
  <c r="T1205" i="3"/>
  <c r="T1209" i="3"/>
  <c r="T1213" i="3"/>
  <c r="T1217" i="3"/>
  <c r="T1221" i="3"/>
  <c r="T1225" i="3"/>
  <c r="T1229" i="3"/>
  <c r="T1233" i="3"/>
  <c r="T1234" i="3"/>
  <c r="T1237" i="3"/>
  <c r="T1241" i="3"/>
  <c r="T1245" i="3"/>
  <c r="T1249" i="3"/>
  <c r="T1253" i="3"/>
  <c r="T1257" i="3"/>
  <c r="T1265" i="3"/>
  <c r="T1270" i="3"/>
  <c r="T1273" i="3"/>
  <c r="T1285" i="3"/>
  <c r="T1308" i="3"/>
  <c r="T1316" i="3"/>
  <c r="T1317" i="3"/>
  <c r="T1332" i="3"/>
  <c r="T1340" i="3"/>
  <c r="T1341" i="3"/>
  <c r="T1348" i="3"/>
  <c r="T1353" i="3"/>
  <c r="T1364" i="3"/>
  <c r="T1365" i="3"/>
  <c r="T1372" i="3"/>
  <c r="T1377" i="3"/>
  <c r="T1393" i="3"/>
  <c r="T1409" i="3"/>
  <c r="T1460" i="3"/>
  <c r="T1473" i="3"/>
  <c r="T1480" i="3"/>
  <c r="T1485" i="3"/>
  <c r="T1496" i="3"/>
  <c r="T1497" i="3"/>
  <c r="T1512" i="3"/>
  <c r="T1525" i="3"/>
  <c r="T1536" i="3"/>
  <c r="T1537" i="3"/>
  <c r="T1552" i="3"/>
  <c r="T1553" i="3"/>
  <c r="T1560" i="3"/>
  <c r="T1565" i="3"/>
  <c r="T1568" i="3"/>
  <c r="T1573" i="3"/>
  <c r="T1597" i="3"/>
  <c r="T1621" i="3"/>
  <c r="T1628" i="3"/>
  <c r="T1629" i="3"/>
  <c r="T1632" i="3"/>
  <c r="T1636" i="3"/>
  <c r="T1637" i="3"/>
  <c r="T1640" i="3"/>
  <c r="T1644" i="3"/>
  <c r="T1645" i="3"/>
  <c r="T1648" i="3"/>
  <c r="T1652" i="3"/>
  <c r="T1653" i="3"/>
  <c r="T1656" i="3"/>
  <c r="T1660" i="3"/>
  <c r="T1661" i="3"/>
  <c r="T1664" i="3"/>
  <c r="T1668" i="3"/>
  <c r="T1669" i="3"/>
  <c r="T1672" i="3"/>
  <c r="T1681" i="3"/>
  <c r="T1684" i="3"/>
  <c r="T1688" i="3"/>
  <c r="T1692" i="3"/>
  <c r="T1696" i="3"/>
  <c r="T1700" i="3"/>
  <c r="T1704" i="3"/>
  <c r="T1708" i="3"/>
  <c r="T1712" i="3"/>
  <c r="T1716" i="3"/>
  <c r="T1720" i="3"/>
  <c r="T1760" i="3"/>
  <c r="T1764" i="3"/>
  <c r="T1768" i="3"/>
  <c r="T1772" i="3"/>
  <c r="T1776" i="3"/>
  <c r="T1780" i="3"/>
  <c r="T1784" i="3"/>
  <c r="T1801" i="3"/>
  <c r="T1804" i="3"/>
  <c r="T1808" i="3"/>
  <c r="T1812" i="3"/>
  <c r="T1816" i="3"/>
  <c r="T1820" i="3"/>
  <c r="T1824" i="3"/>
  <c r="T1828" i="3"/>
  <c r="T1832" i="3"/>
  <c r="T1836" i="3"/>
  <c r="T1840" i="3"/>
  <c r="T1844" i="3"/>
  <c r="T1848" i="3"/>
  <c r="T1852" i="3"/>
  <c r="T2020" i="3"/>
  <c r="T2024" i="3"/>
  <c r="T2032" i="3"/>
  <c r="U3" i="3"/>
  <c r="V3" i="3" s="1"/>
  <c r="U4" i="3"/>
  <c r="V4" i="3" s="1"/>
  <c r="U5" i="3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U22" i="3"/>
  <c r="V22" i="3" s="1"/>
  <c r="U23" i="3"/>
  <c r="V23" i="3" s="1"/>
  <c r="U24" i="3"/>
  <c r="V24" i="3" s="1"/>
  <c r="U25" i="3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U46" i="3"/>
  <c r="V46" i="3" s="1"/>
  <c r="U47" i="3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U75" i="3"/>
  <c r="V75" i="3" s="1"/>
  <c r="U76" i="3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U85" i="3"/>
  <c r="V85" i="3" s="1"/>
  <c r="U86" i="3"/>
  <c r="V86" i="3" s="1"/>
  <c r="U87" i="3"/>
  <c r="V87" i="3" s="1"/>
  <c r="U88" i="3"/>
  <c r="V88" i="3" s="1"/>
  <c r="U89" i="3"/>
  <c r="V89" i="3" s="1"/>
  <c r="U90" i="3"/>
  <c r="V90" i="3" s="1"/>
  <c r="U91" i="3"/>
  <c r="V91" i="3" s="1"/>
  <c r="U92" i="3"/>
  <c r="V92" i="3" s="1"/>
  <c r="U93" i="3"/>
  <c r="V93" i="3" s="1"/>
  <c r="U94" i="3"/>
  <c r="V94" i="3" s="1"/>
  <c r="U95" i="3"/>
  <c r="V95" i="3" s="1"/>
  <c r="U96" i="3"/>
  <c r="V96" i="3" s="1"/>
  <c r="U97" i="3"/>
  <c r="V97" i="3" s="1"/>
  <c r="U98" i="3"/>
  <c r="V98" i="3" s="1"/>
  <c r="U99" i="3"/>
  <c r="V99" i="3" s="1"/>
  <c r="U100" i="3"/>
  <c r="V100" i="3" s="1"/>
  <c r="U101" i="3"/>
  <c r="V101" i="3" s="1"/>
  <c r="U102" i="3"/>
  <c r="V102" i="3" s="1"/>
  <c r="U103" i="3"/>
  <c r="V103" i="3" s="1"/>
  <c r="U104" i="3"/>
  <c r="U105" i="3"/>
  <c r="V105" i="3" s="1"/>
  <c r="U106" i="3"/>
  <c r="V106" i="3" s="1"/>
  <c r="U107" i="3"/>
  <c r="V107" i="3" s="1"/>
  <c r="U108" i="3"/>
  <c r="V108" i="3" s="1"/>
  <c r="U109" i="3"/>
  <c r="V109" i="3" s="1"/>
  <c r="U110" i="3"/>
  <c r="V110" i="3" s="1"/>
  <c r="U111" i="3"/>
  <c r="V111" i="3" s="1"/>
  <c r="U112" i="3"/>
  <c r="V112" i="3" s="1"/>
  <c r="U113" i="3"/>
  <c r="V113" i="3" s="1"/>
  <c r="U114" i="3"/>
  <c r="V114" i="3" s="1"/>
  <c r="U115" i="3"/>
  <c r="V115" i="3" s="1"/>
  <c r="U116" i="3"/>
  <c r="V116" i="3" s="1"/>
  <c r="U117" i="3"/>
  <c r="V117" i="3" s="1"/>
  <c r="U118" i="3"/>
  <c r="V118" i="3" s="1"/>
  <c r="U119" i="3"/>
  <c r="V119" i="3" s="1"/>
  <c r="U120" i="3"/>
  <c r="V120" i="3" s="1"/>
  <c r="U121" i="3"/>
  <c r="V121" i="3" s="1"/>
  <c r="U122" i="3"/>
  <c r="V122" i="3" s="1"/>
  <c r="U123" i="3"/>
  <c r="V123" i="3" s="1"/>
  <c r="U124" i="3"/>
  <c r="V124" i="3" s="1"/>
  <c r="U125" i="3"/>
  <c r="V125" i="3" s="1"/>
  <c r="U126" i="3"/>
  <c r="V126" i="3" s="1"/>
  <c r="U127" i="3"/>
  <c r="V127" i="3" s="1"/>
  <c r="U128" i="3"/>
  <c r="V128" i="3" s="1"/>
  <c r="U129" i="3"/>
  <c r="V129" i="3" s="1"/>
  <c r="U130" i="3"/>
  <c r="V130" i="3" s="1"/>
  <c r="U131" i="3"/>
  <c r="V131" i="3" s="1"/>
  <c r="U132" i="3"/>
  <c r="V132" i="3" s="1"/>
  <c r="U133" i="3"/>
  <c r="V133" i="3" s="1"/>
  <c r="U134" i="3"/>
  <c r="V134" i="3" s="1"/>
  <c r="U135" i="3"/>
  <c r="V135" i="3" s="1"/>
  <c r="U136" i="3"/>
  <c r="V136" i="3" s="1"/>
  <c r="U137" i="3"/>
  <c r="V137" i="3" s="1"/>
  <c r="U138" i="3"/>
  <c r="V138" i="3" s="1"/>
  <c r="U139" i="3"/>
  <c r="V139" i="3" s="1"/>
  <c r="U140" i="3"/>
  <c r="V140" i="3" s="1"/>
  <c r="U141" i="3"/>
  <c r="V141" i="3" s="1"/>
  <c r="U142" i="3"/>
  <c r="V142" i="3" s="1"/>
  <c r="U143" i="3"/>
  <c r="V143" i="3" s="1"/>
  <c r="U144" i="3"/>
  <c r="V144" i="3" s="1"/>
  <c r="U145" i="3"/>
  <c r="V145" i="3" s="1"/>
  <c r="U146" i="3"/>
  <c r="V146" i="3" s="1"/>
  <c r="U147" i="3"/>
  <c r="V147" i="3" s="1"/>
  <c r="U148" i="3"/>
  <c r="V148" i="3" s="1"/>
  <c r="U149" i="3"/>
  <c r="V149" i="3" s="1"/>
  <c r="U150" i="3"/>
  <c r="V150" i="3" s="1"/>
  <c r="U151" i="3"/>
  <c r="V151" i="3" s="1"/>
  <c r="U152" i="3"/>
  <c r="V152" i="3" s="1"/>
  <c r="U153" i="3"/>
  <c r="V153" i="3" s="1"/>
  <c r="U154" i="3"/>
  <c r="V154" i="3" s="1"/>
  <c r="U155" i="3"/>
  <c r="V155" i="3" s="1"/>
  <c r="U156" i="3"/>
  <c r="U157" i="3"/>
  <c r="V157" i="3" s="1"/>
  <c r="U158" i="3"/>
  <c r="V158" i="3" s="1"/>
  <c r="U159" i="3"/>
  <c r="V159" i="3" s="1"/>
  <c r="U160" i="3"/>
  <c r="V160" i="3" s="1"/>
  <c r="U161" i="3"/>
  <c r="V161" i="3" s="1"/>
  <c r="U162" i="3"/>
  <c r="V162" i="3" s="1"/>
  <c r="U163" i="3"/>
  <c r="V163" i="3" s="1"/>
  <c r="U164" i="3"/>
  <c r="V164" i="3" s="1"/>
  <c r="U165" i="3"/>
  <c r="V165" i="3" s="1"/>
  <c r="U166" i="3"/>
  <c r="V166" i="3" s="1"/>
  <c r="U167" i="3"/>
  <c r="V167" i="3" s="1"/>
  <c r="U168" i="3"/>
  <c r="V168" i="3" s="1"/>
  <c r="U169" i="3"/>
  <c r="V169" i="3" s="1"/>
  <c r="U170" i="3"/>
  <c r="V170" i="3" s="1"/>
  <c r="U171" i="3"/>
  <c r="V171" i="3" s="1"/>
  <c r="U172" i="3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U198" i="3"/>
  <c r="V198" i="3" s="1"/>
  <c r="U199" i="3"/>
  <c r="V199" i="3" s="1"/>
  <c r="U200" i="3"/>
  <c r="V200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09" i="3"/>
  <c r="V209" i="3" s="1"/>
  <c r="U210" i="3"/>
  <c r="V210" i="3" s="1"/>
  <c r="U211" i="3"/>
  <c r="V211" i="3" s="1"/>
  <c r="U212" i="3"/>
  <c r="V212" i="3" s="1"/>
  <c r="U213" i="3"/>
  <c r="V213" i="3" s="1"/>
  <c r="U214" i="3"/>
  <c r="V214" i="3" s="1"/>
  <c r="U215" i="3"/>
  <c r="V215" i="3" s="1"/>
  <c r="U216" i="3"/>
  <c r="V216" i="3" s="1"/>
  <c r="U217" i="3"/>
  <c r="V217" i="3" s="1"/>
  <c r="U218" i="3"/>
  <c r="V218" i="3" s="1"/>
  <c r="U219" i="3"/>
  <c r="V219" i="3" s="1"/>
  <c r="U220" i="3"/>
  <c r="V220" i="3" s="1"/>
  <c r="U221" i="3"/>
  <c r="V221" i="3" s="1"/>
  <c r="U222" i="3"/>
  <c r="V222" i="3" s="1"/>
  <c r="U223" i="3"/>
  <c r="V223" i="3" s="1"/>
  <c r="U224" i="3"/>
  <c r="V224" i="3" s="1"/>
  <c r="U225" i="3"/>
  <c r="V225" i="3" s="1"/>
  <c r="U226" i="3"/>
  <c r="V226" i="3" s="1"/>
  <c r="U227" i="3"/>
  <c r="V227" i="3" s="1"/>
  <c r="U228" i="3"/>
  <c r="V228" i="3" s="1"/>
  <c r="U229" i="3"/>
  <c r="V229" i="3" s="1"/>
  <c r="U230" i="3"/>
  <c r="V230" i="3" s="1"/>
  <c r="U231" i="3"/>
  <c r="V231" i="3" s="1"/>
  <c r="U232" i="3"/>
  <c r="V232" i="3" s="1"/>
  <c r="U233" i="3"/>
  <c r="V233" i="3" s="1"/>
  <c r="U234" i="3"/>
  <c r="V234" i="3" s="1"/>
  <c r="U235" i="3"/>
  <c r="V235" i="3" s="1"/>
  <c r="U236" i="3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4" i="3"/>
  <c r="U245" i="3"/>
  <c r="V245" i="3" s="1"/>
  <c r="U246" i="3"/>
  <c r="V246" i="3" s="1"/>
  <c r="U247" i="3"/>
  <c r="V247" i="3" s="1"/>
  <c r="U248" i="3"/>
  <c r="V248" i="3" s="1"/>
  <c r="U249" i="3"/>
  <c r="V249" i="3" s="1"/>
  <c r="U250" i="3"/>
  <c r="V250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273" i="3"/>
  <c r="V273" i="3" s="1"/>
  <c r="U274" i="3"/>
  <c r="V274" i="3" s="1"/>
  <c r="U275" i="3"/>
  <c r="V275" i="3" s="1"/>
  <c r="U276" i="3"/>
  <c r="V276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284" i="3"/>
  <c r="V284" i="3" s="1"/>
  <c r="U285" i="3"/>
  <c r="V285" i="3" s="1"/>
  <c r="U286" i="3"/>
  <c r="V286" i="3" s="1"/>
  <c r="U287" i="3"/>
  <c r="V287" i="3" s="1"/>
  <c r="U288" i="3"/>
  <c r="V288" i="3" s="1"/>
  <c r="U289" i="3"/>
  <c r="V289" i="3" s="1"/>
  <c r="U290" i="3"/>
  <c r="V290" i="3" s="1"/>
  <c r="U291" i="3"/>
  <c r="V291" i="3" s="1"/>
  <c r="U292" i="3"/>
  <c r="V292" i="3" s="1"/>
  <c r="U293" i="3"/>
  <c r="V293" i="3" s="1"/>
  <c r="U294" i="3"/>
  <c r="V294" i="3" s="1"/>
  <c r="U295" i="3"/>
  <c r="V295" i="3" s="1"/>
  <c r="U296" i="3"/>
  <c r="V296" i="3" s="1"/>
  <c r="U297" i="3"/>
  <c r="V297" i="3" s="1"/>
  <c r="U298" i="3"/>
  <c r="V298" i="3" s="1"/>
  <c r="U299" i="3"/>
  <c r="V299" i="3" s="1"/>
  <c r="U300" i="3"/>
  <c r="V300" i="3" s="1"/>
  <c r="U301" i="3"/>
  <c r="V301" i="3" s="1"/>
  <c r="U302" i="3"/>
  <c r="V302" i="3" s="1"/>
  <c r="U303" i="3"/>
  <c r="V303" i="3" s="1"/>
  <c r="U304" i="3"/>
  <c r="V304" i="3" s="1"/>
  <c r="U305" i="3"/>
  <c r="V305" i="3" s="1"/>
  <c r="U306" i="3"/>
  <c r="V306" i="3" s="1"/>
  <c r="U307" i="3"/>
  <c r="V307" i="3" s="1"/>
  <c r="U308" i="3"/>
  <c r="V308" i="3" s="1"/>
  <c r="U309" i="3"/>
  <c r="V309" i="3" s="1"/>
  <c r="U310" i="3"/>
  <c r="V310" i="3" s="1"/>
  <c r="U311" i="3"/>
  <c r="V311" i="3" s="1"/>
  <c r="U312" i="3"/>
  <c r="V312" i="3" s="1"/>
  <c r="U313" i="3"/>
  <c r="V313" i="3" s="1"/>
  <c r="U314" i="3"/>
  <c r="V314" i="3" s="1"/>
  <c r="U315" i="3"/>
  <c r="V315" i="3" s="1"/>
  <c r="U316" i="3"/>
  <c r="V316" i="3" s="1"/>
  <c r="U317" i="3"/>
  <c r="V317" i="3" s="1"/>
  <c r="U318" i="3"/>
  <c r="V318" i="3" s="1"/>
  <c r="U319" i="3"/>
  <c r="V319" i="3" s="1"/>
  <c r="U320" i="3"/>
  <c r="V320" i="3" s="1"/>
  <c r="U321" i="3"/>
  <c r="V321" i="3" s="1"/>
  <c r="U322" i="3"/>
  <c r="V322" i="3" s="1"/>
  <c r="U323" i="3"/>
  <c r="V323" i="3" s="1"/>
  <c r="U324" i="3"/>
  <c r="V324" i="3" s="1"/>
  <c r="U325" i="3"/>
  <c r="V325" i="3" s="1"/>
  <c r="U326" i="3"/>
  <c r="V326" i="3" s="1"/>
  <c r="U327" i="3"/>
  <c r="V327" i="3" s="1"/>
  <c r="U328" i="3"/>
  <c r="U329" i="3"/>
  <c r="V329" i="3" s="1"/>
  <c r="U330" i="3"/>
  <c r="V330" i="3" s="1"/>
  <c r="U331" i="3"/>
  <c r="V331" i="3" s="1"/>
  <c r="U332" i="3"/>
  <c r="V332" i="3" s="1"/>
  <c r="U333" i="3"/>
  <c r="U334" i="3"/>
  <c r="V334" i="3" s="1"/>
  <c r="U335" i="3"/>
  <c r="V335" i="3" s="1"/>
  <c r="U336" i="3"/>
  <c r="V336" i="3" s="1"/>
  <c r="U337" i="3"/>
  <c r="V337" i="3" s="1"/>
  <c r="U338" i="3"/>
  <c r="V338" i="3" s="1"/>
  <c r="U339" i="3"/>
  <c r="V339" i="3" s="1"/>
  <c r="U340" i="3"/>
  <c r="V340" i="3" s="1"/>
  <c r="U341" i="3"/>
  <c r="V341" i="3" s="1"/>
  <c r="U342" i="3"/>
  <c r="V342" i="3" s="1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349" i="3"/>
  <c r="V349" i="3" s="1"/>
  <c r="U350" i="3"/>
  <c r="V350" i="3" s="1"/>
  <c r="U351" i="3"/>
  <c r="V351" i="3" s="1"/>
  <c r="U352" i="3"/>
  <c r="V352" i="3" s="1"/>
  <c r="U353" i="3"/>
  <c r="V353" i="3" s="1"/>
  <c r="U354" i="3"/>
  <c r="V354" i="3" s="1"/>
  <c r="U355" i="3"/>
  <c r="V355" i="3" s="1"/>
  <c r="U356" i="3"/>
  <c r="V356" i="3" s="1"/>
  <c r="U357" i="3"/>
  <c r="V357" i="3" s="1"/>
  <c r="U358" i="3"/>
  <c r="V358" i="3" s="1"/>
  <c r="U359" i="3"/>
  <c r="V359" i="3" s="1"/>
  <c r="U360" i="3"/>
  <c r="V360" i="3" s="1"/>
  <c r="U361" i="3"/>
  <c r="U362" i="3"/>
  <c r="V362" i="3" s="1"/>
  <c r="U363" i="3"/>
  <c r="V363" i="3" s="1"/>
  <c r="U364" i="3"/>
  <c r="U365" i="3"/>
  <c r="V365" i="3" s="1"/>
  <c r="U366" i="3"/>
  <c r="V366" i="3" s="1"/>
  <c r="U367" i="3"/>
  <c r="V367" i="3" s="1"/>
  <c r="U368" i="3"/>
  <c r="V368" i="3" s="1"/>
  <c r="U369" i="3"/>
  <c r="V369" i="3" s="1"/>
  <c r="U370" i="3"/>
  <c r="V370" i="3" s="1"/>
  <c r="U371" i="3"/>
  <c r="V371" i="3" s="1"/>
  <c r="U372" i="3"/>
  <c r="V372" i="3" s="1"/>
  <c r="U373" i="3"/>
  <c r="V373" i="3" s="1"/>
  <c r="U374" i="3"/>
  <c r="V374" i="3" s="1"/>
  <c r="U375" i="3"/>
  <c r="V375" i="3" s="1"/>
  <c r="U376" i="3"/>
  <c r="V376" i="3" s="1"/>
  <c r="U377" i="3"/>
  <c r="V377" i="3" s="1"/>
  <c r="U378" i="3"/>
  <c r="V378" i="3" s="1"/>
  <c r="U379" i="3"/>
  <c r="V379" i="3" s="1"/>
  <c r="U380" i="3"/>
  <c r="V380" i="3" s="1"/>
  <c r="U381" i="3"/>
  <c r="V381" i="3" s="1"/>
  <c r="U382" i="3"/>
  <c r="V382" i="3" s="1"/>
  <c r="U383" i="3"/>
  <c r="V383" i="3" s="1"/>
  <c r="U384" i="3"/>
  <c r="V384" i="3" s="1"/>
  <c r="U385" i="3"/>
  <c r="V385" i="3" s="1"/>
  <c r="U386" i="3"/>
  <c r="V386" i="3" s="1"/>
  <c r="U387" i="3"/>
  <c r="V387" i="3" s="1"/>
  <c r="U388" i="3"/>
  <c r="V388" i="3" s="1"/>
  <c r="U389" i="3"/>
  <c r="V389" i="3" s="1"/>
  <c r="U390" i="3"/>
  <c r="V390" i="3" s="1"/>
  <c r="U391" i="3"/>
  <c r="V391" i="3" s="1"/>
  <c r="U392" i="3"/>
  <c r="V392" i="3" s="1"/>
  <c r="U393" i="3"/>
  <c r="U394" i="3"/>
  <c r="V394" i="3" s="1"/>
  <c r="U395" i="3"/>
  <c r="V395" i="3" s="1"/>
  <c r="U396" i="3"/>
  <c r="V396" i="3" s="1"/>
  <c r="U397" i="3"/>
  <c r="V397" i="3" s="1"/>
  <c r="U398" i="3"/>
  <c r="V398" i="3" s="1"/>
  <c r="U399" i="3"/>
  <c r="V399" i="3" s="1"/>
  <c r="U400" i="3"/>
  <c r="V400" i="3" s="1"/>
  <c r="U401" i="3"/>
  <c r="V401" i="3" s="1"/>
  <c r="U402" i="3"/>
  <c r="V402" i="3" s="1"/>
  <c r="U403" i="3"/>
  <c r="V403" i="3" s="1"/>
  <c r="U404" i="3"/>
  <c r="V404" i="3" s="1"/>
  <c r="U405" i="3"/>
  <c r="V405" i="3" s="1"/>
  <c r="U406" i="3"/>
  <c r="V406" i="3" s="1"/>
  <c r="U407" i="3"/>
  <c r="V407" i="3" s="1"/>
  <c r="U408" i="3"/>
  <c r="V408" i="3" s="1"/>
  <c r="U409" i="3"/>
  <c r="V409" i="3" s="1"/>
  <c r="U410" i="3"/>
  <c r="V410" i="3" s="1"/>
  <c r="U411" i="3"/>
  <c r="V411" i="3" s="1"/>
  <c r="U412" i="3"/>
  <c r="U413" i="3"/>
  <c r="V413" i="3" s="1"/>
  <c r="U414" i="3"/>
  <c r="V414" i="3" s="1"/>
  <c r="U415" i="3"/>
  <c r="V415" i="3" s="1"/>
  <c r="U416" i="3"/>
  <c r="V416" i="3" s="1"/>
  <c r="U417" i="3"/>
  <c r="V417" i="3" s="1"/>
  <c r="U418" i="3"/>
  <c r="V418" i="3" s="1"/>
  <c r="U419" i="3"/>
  <c r="V419" i="3" s="1"/>
  <c r="U420" i="3"/>
  <c r="V420" i="3" s="1"/>
  <c r="U421" i="3"/>
  <c r="V421" i="3" s="1"/>
  <c r="U422" i="3"/>
  <c r="V422" i="3" s="1"/>
  <c r="U423" i="3"/>
  <c r="V423" i="3" s="1"/>
  <c r="U424" i="3"/>
  <c r="V424" i="3" s="1"/>
  <c r="U425" i="3"/>
  <c r="V425" i="3" s="1"/>
  <c r="U426" i="3"/>
  <c r="V426" i="3" s="1"/>
  <c r="U427" i="3"/>
  <c r="V427" i="3" s="1"/>
  <c r="U428" i="3"/>
  <c r="V428" i="3" s="1"/>
  <c r="U429" i="3"/>
  <c r="V429" i="3" s="1"/>
  <c r="U430" i="3"/>
  <c r="V430" i="3" s="1"/>
  <c r="U431" i="3"/>
  <c r="V431" i="3" s="1"/>
  <c r="U432" i="3"/>
  <c r="V432" i="3" s="1"/>
  <c r="U433" i="3"/>
  <c r="V433" i="3" s="1"/>
  <c r="U434" i="3"/>
  <c r="V434" i="3" s="1"/>
  <c r="U435" i="3"/>
  <c r="V435" i="3" s="1"/>
  <c r="U436" i="3"/>
  <c r="V436" i="3" s="1"/>
  <c r="U437" i="3"/>
  <c r="V437" i="3" s="1"/>
  <c r="U438" i="3"/>
  <c r="V438" i="3" s="1"/>
  <c r="U439" i="3"/>
  <c r="V439" i="3" s="1"/>
  <c r="U440" i="3"/>
  <c r="V440" i="3" s="1"/>
  <c r="U441" i="3"/>
  <c r="V441" i="3" s="1"/>
  <c r="U442" i="3"/>
  <c r="V442" i="3" s="1"/>
  <c r="U443" i="3"/>
  <c r="V443" i="3" s="1"/>
  <c r="U444" i="3"/>
  <c r="V444" i="3" s="1"/>
  <c r="U445" i="3"/>
  <c r="V445" i="3" s="1"/>
  <c r="U446" i="3"/>
  <c r="V446" i="3" s="1"/>
  <c r="U447" i="3"/>
  <c r="V447" i="3" s="1"/>
  <c r="U448" i="3"/>
  <c r="V448" i="3" s="1"/>
  <c r="U449" i="3"/>
  <c r="V449" i="3" s="1"/>
  <c r="U450" i="3"/>
  <c r="V450" i="3" s="1"/>
  <c r="U451" i="3"/>
  <c r="V451" i="3" s="1"/>
  <c r="U452" i="3"/>
  <c r="V452" i="3" s="1"/>
  <c r="U453" i="3"/>
  <c r="V453" i="3" s="1"/>
  <c r="U454" i="3"/>
  <c r="V454" i="3" s="1"/>
  <c r="U455" i="3"/>
  <c r="V455" i="3" s="1"/>
  <c r="U456" i="3"/>
  <c r="V456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3" i="3"/>
  <c r="V463" i="3" s="1"/>
  <c r="U464" i="3"/>
  <c r="V464" i="3" s="1"/>
  <c r="U465" i="3"/>
  <c r="V465" i="3" s="1"/>
  <c r="U466" i="3"/>
  <c r="V466" i="3" s="1"/>
  <c r="U467" i="3"/>
  <c r="V467" i="3" s="1"/>
  <c r="U468" i="3"/>
  <c r="V468" i="3" s="1"/>
  <c r="U469" i="3"/>
  <c r="V469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6" i="3"/>
  <c r="V476" i="3" s="1"/>
  <c r="U477" i="3"/>
  <c r="V477" i="3" s="1"/>
  <c r="U478" i="3"/>
  <c r="V478" i="3" s="1"/>
  <c r="U479" i="3"/>
  <c r="V479" i="3" s="1"/>
  <c r="U480" i="3"/>
  <c r="V480" i="3" s="1"/>
  <c r="U481" i="3"/>
  <c r="V481" i="3" s="1"/>
  <c r="U482" i="3"/>
  <c r="V482" i="3" s="1"/>
  <c r="U483" i="3"/>
  <c r="V483" i="3" s="1"/>
  <c r="U484" i="3"/>
  <c r="V484" i="3" s="1"/>
  <c r="U485" i="3"/>
  <c r="V485" i="3" s="1"/>
  <c r="U486" i="3"/>
  <c r="V486" i="3" s="1"/>
  <c r="U487" i="3"/>
  <c r="V487" i="3" s="1"/>
  <c r="U488" i="3"/>
  <c r="V488" i="3" s="1"/>
  <c r="U489" i="3"/>
  <c r="V489" i="3" s="1"/>
  <c r="U490" i="3"/>
  <c r="V490" i="3" s="1"/>
  <c r="U491" i="3"/>
  <c r="V491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V502" i="3" s="1"/>
  <c r="U503" i="3"/>
  <c r="V503" i="3" s="1"/>
  <c r="U504" i="3"/>
  <c r="V504" i="3" s="1"/>
  <c r="U505" i="3"/>
  <c r="V505" i="3" s="1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V513" i="3" s="1"/>
  <c r="U514" i="3"/>
  <c r="V514" i="3" s="1"/>
  <c r="U515" i="3"/>
  <c r="V515" i="3" s="1"/>
  <c r="U516" i="3"/>
  <c r="V516" i="3" s="1"/>
  <c r="U517" i="3"/>
  <c r="V517" i="3" s="1"/>
  <c r="U518" i="3"/>
  <c r="V518" i="3" s="1"/>
  <c r="U519" i="3"/>
  <c r="V519" i="3" s="1"/>
  <c r="U520" i="3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27" i="3"/>
  <c r="V527" i="3" s="1"/>
  <c r="U528" i="3"/>
  <c r="V528" i="3" s="1"/>
  <c r="U529" i="3"/>
  <c r="V529" i="3" s="1"/>
  <c r="U530" i="3"/>
  <c r="V530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37" i="3"/>
  <c r="V537" i="3" s="1"/>
  <c r="U538" i="3"/>
  <c r="V538" i="3" s="1"/>
  <c r="U539" i="3"/>
  <c r="V539" i="3" s="1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47" i="3"/>
  <c r="V547" i="3" s="1"/>
  <c r="U548" i="3"/>
  <c r="V548" i="3" s="1"/>
  <c r="U549" i="3"/>
  <c r="V549" i="3" s="1"/>
  <c r="U550" i="3"/>
  <c r="V550" i="3" s="1"/>
  <c r="U551" i="3"/>
  <c r="V551" i="3" s="1"/>
  <c r="U552" i="3"/>
  <c r="V552" i="3" s="1"/>
  <c r="U553" i="3"/>
  <c r="V553" i="3" s="1"/>
  <c r="U554" i="3"/>
  <c r="V554" i="3" s="1"/>
  <c r="U555" i="3"/>
  <c r="V555" i="3" s="1"/>
  <c r="U556" i="3"/>
  <c r="V556" i="3" s="1"/>
  <c r="U557" i="3"/>
  <c r="V557" i="3" s="1"/>
  <c r="U558" i="3"/>
  <c r="V558" i="3" s="1"/>
  <c r="U559" i="3"/>
  <c r="V559" i="3" s="1"/>
  <c r="U560" i="3"/>
  <c r="V560" i="3" s="1"/>
  <c r="U561" i="3"/>
  <c r="V561" i="3" s="1"/>
  <c r="U562" i="3"/>
  <c r="V562" i="3" s="1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569" i="3"/>
  <c r="V569" i="3" s="1"/>
  <c r="U570" i="3"/>
  <c r="V570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7" i="3"/>
  <c r="V577" i="3" s="1"/>
  <c r="U578" i="3"/>
  <c r="V578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5" i="3"/>
  <c r="V595" i="3" s="1"/>
  <c r="U596" i="3"/>
  <c r="V596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7" i="3"/>
  <c r="V607" i="3" s="1"/>
  <c r="U608" i="3"/>
  <c r="V608" i="3" s="1"/>
  <c r="U609" i="3"/>
  <c r="V609" i="3" s="1"/>
  <c r="U610" i="3"/>
  <c r="V610" i="3" s="1"/>
  <c r="U611" i="3"/>
  <c r="V611" i="3" s="1"/>
  <c r="U612" i="3"/>
  <c r="V612" i="3" s="1"/>
  <c r="U613" i="3"/>
  <c r="V613" i="3" s="1"/>
  <c r="U614" i="3"/>
  <c r="V614" i="3" s="1"/>
  <c r="U615" i="3"/>
  <c r="V615" i="3" s="1"/>
  <c r="U616" i="3"/>
  <c r="V616" i="3" s="1"/>
  <c r="U617" i="3"/>
  <c r="V617" i="3" s="1"/>
  <c r="U618" i="3"/>
  <c r="V618" i="3" s="1"/>
  <c r="U619" i="3"/>
  <c r="V619" i="3" s="1"/>
  <c r="U620" i="3"/>
  <c r="V620" i="3" s="1"/>
  <c r="U621" i="3"/>
  <c r="V621" i="3" s="1"/>
  <c r="U622" i="3"/>
  <c r="V622" i="3" s="1"/>
  <c r="U623" i="3"/>
  <c r="V623" i="3" s="1"/>
  <c r="U624" i="3"/>
  <c r="V624" i="3" s="1"/>
  <c r="U625" i="3"/>
  <c r="V625" i="3" s="1"/>
  <c r="U626" i="3"/>
  <c r="V626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U635" i="3"/>
  <c r="V635" i="3" s="1"/>
  <c r="U636" i="3"/>
  <c r="V636" i="3" s="1"/>
  <c r="U637" i="3"/>
  <c r="V637" i="3" s="1"/>
  <c r="U638" i="3"/>
  <c r="V638" i="3" s="1"/>
  <c r="U639" i="3"/>
  <c r="V639" i="3" s="1"/>
  <c r="U640" i="3"/>
  <c r="V640" i="3" s="1"/>
  <c r="U641" i="3"/>
  <c r="V641" i="3" s="1"/>
  <c r="U642" i="3"/>
  <c r="V642" i="3" s="1"/>
  <c r="U643" i="3"/>
  <c r="V643" i="3" s="1"/>
  <c r="U644" i="3"/>
  <c r="V644" i="3" s="1"/>
  <c r="U645" i="3"/>
  <c r="V645" i="3" s="1"/>
  <c r="U646" i="3"/>
  <c r="V646" i="3" s="1"/>
  <c r="U647" i="3"/>
  <c r="V647" i="3" s="1"/>
  <c r="U648" i="3"/>
  <c r="V648" i="3" s="1"/>
  <c r="U649" i="3"/>
  <c r="V649" i="3" s="1"/>
  <c r="U650" i="3"/>
  <c r="V650" i="3" s="1"/>
  <c r="U651" i="3"/>
  <c r="V651" i="3" s="1"/>
  <c r="U652" i="3"/>
  <c r="V652" i="3" s="1"/>
  <c r="U653" i="3"/>
  <c r="V653" i="3" s="1"/>
  <c r="U654" i="3"/>
  <c r="V654" i="3" s="1"/>
  <c r="U655" i="3"/>
  <c r="V655" i="3" s="1"/>
  <c r="U656" i="3"/>
  <c r="V656" i="3" s="1"/>
  <c r="U657" i="3"/>
  <c r="V657" i="3" s="1"/>
  <c r="U658" i="3"/>
  <c r="V658" i="3" s="1"/>
  <c r="U659" i="3"/>
  <c r="V659" i="3" s="1"/>
  <c r="U660" i="3"/>
  <c r="V660" i="3" s="1"/>
  <c r="U661" i="3"/>
  <c r="V661" i="3" s="1"/>
  <c r="U662" i="3"/>
  <c r="V662" i="3" s="1"/>
  <c r="U663" i="3"/>
  <c r="V663" i="3" s="1"/>
  <c r="U664" i="3"/>
  <c r="V664" i="3" s="1"/>
  <c r="U665" i="3"/>
  <c r="V665" i="3" s="1"/>
  <c r="U666" i="3"/>
  <c r="V666" i="3" s="1"/>
  <c r="U667" i="3"/>
  <c r="V667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6" i="3"/>
  <c r="V676" i="3" s="1"/>
  <c r="U677" i="3"/>
  <c r="V677" i="3" s="1"/>
  <c r="U678" i="3"/>
  <c r="V678" i="3" s="1"/>
  <c r="U679" i="3"/>
  <c r="V679" i="3" s="1"/>
  <c r="U680" i="3"/>
  <c r="V680" i="3" s="1"/>
  <c r="U681" i="3"/>
  <c r="V681" i="3" s="1"/>
  <c r="U682" i="3"/>
  <c r="V682" i="3" s="1"/>
  <c r="U683" i="3"/>
  <c r="V683" i="3" s="1"/>
  <c r="U684" i="3"/>
  <c r="V684" i="3" s="1"/>
  <c r="U685" i="3"/>
  <c r="V685" i="3" s="1"/>
  <c r="U686" i="3"/>
  <c r="V686" i="3" s="1"/>
  <c r="U687" i="3"/>
  <c r="V687" i="3" s="1"/>
  <c r="U688" i="3"/>
  <c r="V688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2" i="3"/>
  <c r="V712" i="3" s="1"/>
  <c r="U713" i="3"/>
  <c r="V713" i="3" s="1"/>
  <c r="U714" i="3"/>
  <c r="V714" i="3" s="1"/>
  <c r="U715" i="3"/>
  <c r="V715" i="3" s="1"/>
  <c r="U716" i="3"/>
  <c r="V716" i="3" s="1"/>
  <c r="U717" i="3"/>
  <c r="U718" i="3"/>
  <c r="V718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731" i="3"/>
  <c r="V731" i="3" s="1"/>
  <c r="U732" i="3"/>
  <c r="V732" i="3" s="1"/>
  <c r="U733" i="3"/>
  <c r="V733" i="3" s="1"/>
  <c r="U734" i="3"/>
  <c r="V734" i="3" s="1"/>
  <c r="U735" i="3"/>
  <c r="V735" i="3" s="1"/>
  <c r="U736" i="3"/>
  <c r="V736" i="3" s="1"/>
  <c r="U737" i="3"/>
  <c r="V737" i="3" s="1"/>
  <c r="U738" i="3"/>
  <c r="V738" i="3" s="1"/>
  <c r="U739" i="3"/>
  <c r="V739" i="3" s="1"/>
  <c r="U740" i="3"/>
  <c r="V740" i="3" s="1"/>
  <c r="U741" i="3"/>
  <c r="V741" i="3" s="1"/>
  <c r="U742" i="3"/>
  <c r="V742" i="3" s="1"/>
  <c r="U743" i="3"/>
  <c r="V743" i="3" s="1"/>
  <c r="U744" i="3"/>
  <c r="V744" i="3" s="1"/>
  <c r="U745" i="3"/>
  <c r="V745" i="3" s="1"/>
  <c r="U746" i="3"/>
  <c r="V746" i="3" s="1"/>
  <c r="U747" i="3"/>
  <c r="V747" i="3" s="1"/>
  <c r="U748" i="3"/>
  <c r="V748" i="3" s="1"/>
  <c r="U749" i="3"/>
  <c r="V749" i="3" s="1"/>
  <c r="U750" i="3"/>
  <c r="V750" i="3" s="1"/>
  <c r="U751" i="3"/>
  <c r="V751" i="3" s="1"/>
  <c r="U752" i="3"/>
  <c r="V752" i="3" s="1"/>
  <c r="U753" i="3"/>
  <c r="U754" i="3"/>
  <c r="V754" i="3" s="1"/>
  <c r="U755" i="3"/>
  <c r="V755" i="3" s="1"/>
  <c r="U756" i="3"/>
  <c r="V756" i="3" s="1"/>
  <c r="U757" i="3"/>
  <c r="V757" i="3" s="1"/>
  <c r="U758" i="3"/>
  <c r="V758" i="3" s="1"/>
  <c r="U759" i="3"/>
  <c r="V759" i="3" s="1"/>
  <c r="U760" i="3"/>
  <c r="V760" i="3" s="1"/>
  <c r="U761" i="3"/>
  <c r="V761" i="3" s="1"/>
  <c r="U762" i="3"/>
  <c r="V762" i="3" s="1"/>
  <c r="U763" i="3"/>
  <c r="V763" i="3" s="1"/>
  <c r="U764" i="3"/>
  <c r="V764" i="3" s="1"/>
  <c r="U765" i="3"/>
  <c r="V765" i="3" s="1"/>
  <c r="U766" i="3"/>
  <c r="V766" i="3" s="1"/>
  <c r="U767" i="3"/>
  <c r="V767" i="3" s="1"/>
  <c r="U768" i="3"/>
  <c r="V768" i="3" s="1"/>
  <c r="U769" i="3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6" i="3"/>
  <c r="V776" i="3" s="1"/>
  <c r="U777" i="3"/>
  <c r="V777" i="3" s="1"/>
  <c r="U778" i="3"/>
  <c r="V778" i="3" s="1"/>
  <c r="U779" i="3"/>
  <c r="V779" i="3" s="1"/>
  <c r="U780" i="3"/>
  <c r="V780" i="3" s="1"/>
  <c r="U781" i="3"/>
  <c r="V781" i="3" s="1"/>
  <c r="U782" i="3"/>
  <c r="V782" i="3" s="1"/>
  <c r="U783" i="3"/>
  <c r="V783" i="3" s="1"/>
  <c r="U784" i="3"/>
  <c r="V784" i="3" s="1"/>
  <c r="U785" i="3"/>
  <c r="V785" i="3" s="1"/>
  <c r="U786" i="3"/>
  <c r="V786" i="3" s="1"/>
  <c r="U787" i="3"/>
  <c r="V787" i="3" s="1"/>
  <c r="U788" i="3"/>
  <c r="V788" i="3" s="1"/>
  <c r="U789" i="3"/>
  <c r="V789" i="3" s="1"/>
  <c r="U790" i="3"/>
  <c r="V790" i="3" s="1"/>
  <c r="U791" i="3"/>
  <c r="V791" i="3" s="1"/>
  <c r="U792" i="3"/>
  <c r="V792" i="3" s="1"/>
  <c r="U793" i="3"/>
  <c r="V793" i="3" s="1"/>
  <c r="U794" i="3"/>
  <c r="V794" i="3" s="1"/>
  <c r="U795" i="3"/>
  <c r="V795" i="3" s="1"/>
  <c r="U796" i="3"/>
  <c r="V796" i="3" s="1"/>
  <c r="U797" i="3"/>
  <c r="V797" i="3" s="1"/>
  <c r="U798" i="3"/>
  <c r="V798" i="3" s="1"/>
  <c r="U799" i="3"/>
  <c r="V799" i="3" s="1"/>
  <c r="U800" i="3"/>
  <c r="V800" i="3" s="1"/>
  <c r="U801" i="3"/>
  <c r="V801" i="3" s="1"/>
  <c r="U802" i="3"/>
  <c r="V802" i="3" s="1"/>
  <c r="U803" i="3"/>
  <c r="V803" i="3" s="1"/>
  <c r="U804" i="3"/>
  <c r="V804" i="3" s="1"/>
  <c r="U805" i="3"/>
  <c r="V805" i="3" s="1"/>
  <c r="U806" i="3"/>
  <c r="V806" i="3" s="1"/>
  <c r="U807" i="3"/>
  <c r="V807" i="3" s="1"/>
  <c r="U808" i="3"/>
  <c r="V808" i="3" s="1"/>
  <c r="U809" i="3"/>
  <c r="V809" i="3" s="1"/>
  <c r="U810" i="3"/>
  <c r="V810" i="3" s="1"/>
  <c r="U811" i="3"/>
  <c r="V811" i="3" s="1"/>
  <c r="U812" i="3"/>
  <c r="V812" i="3" s="1"/>
  <c r="U813" i="3"/>
  <c r="V813" i="3" s="1"/>
  <c r="U814" i="3"/>
  <c r="V814" i="3" s="1"/>
  <c r="U815" i="3"/>
  <c r="V815" i="3" s="1"/>
  <c r="U816" i="3"/>
  <c r="V816" i="3" s="1"/>
  <c r="U817" i="3"/>
  <c r="V817" i="3" s="1"/>
  <c r="U818" i="3"/>
  <c r="V818" i="3" s="1"/>
  <c r="U819" i="3"/>
  <c r="V819" i="3" s="1"/>
  <c r="U820" i="3"/>
  <c r="V820" i="3" s="1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828" i="3"/>
  <c r="V828" i="3" s="1"/>
  <c r="U829" i="3"/>
  <c r="V829" i="3" s="1"/>
  <c r="U830" i="3"/>
  <c r="V830" i="3" s="1"/>
  <c r="U831" i="3"/>
  <c r="V831" i="3" s="1"/>
  <c r="U832" i="3"/>
  <c r="V832" i="3" s="1"/>
  <c r="U833" i="3"/>
  <c r="V833" i="3" s="1"/>
  <c r="U834" i="3"/>
  <c r="V834" i="3" s="1"/>
  <c r="U835" i="3"/>
  <c r="V835" i="3" s="1"/>
  <c r="U836" i="3"/>
  <c r="V836" i="3" s="1"/>
  <c r="U837" i="3"/>
  <c r="V837" i="3" s="1"/>
  <c r="U838" i="3"/>
  <c r="V838" i="3" s="1"/>
  <c r="U839" i="3"/>
  <c r="V839" i="3" s="1"/>
  <c r="U840" i="3"/>
  <c r="V840" i="3" s="1"/>
  <c r="U841" i="3"/>
  <c r="V841" i="3" s="1"/>
  <c r="U842" i="3"/>
  <c r="V842" i="3" s="1"/>
  <c r="U843" i="3"/>
  <c r="V843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U857" i="3"/>
  <c r="V857" i="3" s="1"/>
  <c r="U858" i="3"/>
  <c r="V858" i="3" s="1"/>
  <c r="U859" i="3"/>
  <c r="V859" i="3" s="1"/>
  <c r="U860" i="3"/>
  <c r="V860" i="3" s="1"/>
  <c r="U861" i="3"/>
  <c r="V861" i="3" s="1"/>
  <c r="U862" i="3"/>
  <c r="V862" i="3" s="1"/>
  <c r="U863" i="3"/>
  <c r="V863" i="3" s="1"/>
  <c r="U864" i="3"/>
  <c r="V864" i="3" s="1"/>
  <c r="U865" i="3"/>
  <c r="V865" i="3" s="1"/>
  <c r="U866" i="3"/>
  <c r="V866" i="3" s="1"/>
  <c r="U867" i="3"/>
  <c r="V867" i="3" s="1"/>
  <c r="U868" i="3"/>
  <c r="V868" i="3" s="1"/>
  <c r="U869" i="3"/>
  <c r="V869" i="3" s="1"/>
  <c r="U870" i="3"/>
  <c r="V870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892" i="3"/>
  <c r="V892" i="3" s="1"/>
  <c r="U893" i="3"/>
  <c r="V893" i="3" s="1"/>
  <c r="U894" i="3"/>
  <c r="V894" i="3" s="1"/>
  <c r="U895" i="3"/>
  <c r="V895" i="3" s="1"/>
  <c r="U896" i="3"/>
  <c r="V896" i="3" s="1"/>
  <c r="U897" i="3"/>
  <c r="V897" i="3" s="1"/>
  <c r="U898" i="3"/>
  <c r="V898" i="3" s="1"/>
  <c r="U899" i="3"/>
  <c r="V899" i="3" s="1"/>
  <c r="U900" i="3"/>
  <c r="V900" i="3" s="1"/>
  <c r="U901" i="3"/>
  <c r="V901" i="3" s="1"/>
  <c r="U902" i="3"/>
  <c r="V902" i="3" s="1"/>
  <c r="U903" i="3"/>
  <c r="V903" i="3" s="1"/>
  <c r="U904" i="3"/>
  <c r="V904" i="3" s="1"/>
  <c r="U905" i="3"/>
  <c r="V905" i="3" s="1"/>
  <c r="U906" i="3"/>
  <c r="V906" i="3" s="1"/>
  <c r="U907" i="3"/>
  <c r="V907" i="3" s="1"/>
  <c r="U908" i="3"/>
  <c r="V908" i="3" s="1"/>
  <c r="U909" i="3"/>
  <c r="V909" i="3" s="1"/>
  <c r="U910" i="3"/>
  <c r="V910" i="3" s="1"/>
  <c r="U911" i="3"/>
  <c r="V911" i="3" s="1"/>
  <c r="U912" i="3"/>
  <c r="V912" i="3" s="1"/>
  <c r="U913" i="3"/>
  <c r="V913" i="3" s="1"/>
  <c r="U914" i="3"/>
  <c r="V914" i="3" s="1"/>
  <c r="U915" i="3"/>
  <c r="V915" i="3" s="1"/>
  <c r="U916" i="3"/>
  <c r="V916" i="3" s="1"/>
  <c r="U917" i="3"/>
  <c r="V917" i="3" s="1"/>
  <c r="U918" i="3"/>
  <c r="V918" i="3" s="1"/>
  <c r="U919" i="3"/>
  <c r="V919" i="3" s="1"/>
  <c r="U920" i="3"/>
  <c r="V920" i="3" s="1"/>
  <c r="U921" i="3"/>
  <c r="V921" i="3" s="1"/>
  <c r="U922" i="3"/>
  <c r="V922" i="3" s="1"/>
  <c r="U923" i="3"/>
  <c r="V923" i="3" s="1"/>
  <c r="U924" i="3"/>
  <c r="V924" i="3" s="1"/>
  <c r="U925" i="3"/>
  <c r="V925" i="3" s="1"/>
  <c r="U926" i="3"/>
  <c r="V926" i="3" s="1"/>
  <c r="U927" i="3"/>
  <c r="V927" i="3" s="1"/>
  <c r="U928" i="3"/>
  <c r="U929" i="3"/>
  <c r="V929" i="3" s="1"/>
  <c r="U930" i="3"/>
  <c r="V930" i="3" s="1"/>
  <c r="U931" i="3"/>
  <c r="V931" i="3" s="1"/>
  <c r="U932" i="3"/>
  <c r="V932" i="3" s="1"/>
  <c r="U933" i="3"/>
  <c r="V933" i="3" s="1"/>
  <c r="U934" i="3"/>
  <c r="V934" i="3" s="1"/>
  <c r="U935" i="3"/>
  <c r="V935" i="3" s="1"/>
  <c r="U936" i="3"/>
  <c r="V936" i="3" s="1"/>
  <c r="U937" i="3"/>
  <c r="V937" i="3" s="1"/>
  <c r="U938" i="3"/>
  <c r="V938" i="3" s="1"/>
  <c r="U939" i="3"/>
  <c r="V939" i="3" s="1"/>
  <c r="U940" i="3"/>
  <c r="V940" i="3" s="1"/>
  <c r="U941" i="3"/>
  <c r="V941" i="3" s="1"/>
  <c r="U942" i="3"/>
  <c r="V942" i="3" s="1"/>
  <c r="U943" i="3"/>
  <c r="V943" i="3" s="1"/>
  <c r="U944" i="3"/>
  <c r="V944" i="3" s="1"/>
  <c r="U945" i="3"/>
  <c r="V945" i="3" s="1"/>
  <c r="U946" i="3"/>
  <c r="V946" i="3" s="1"/>
  <c r="U947" i="3"/>
  <c r="V947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961" i="3"/>
  <c r="V961" i="3" s="1"/>
  <c r="U962" i="3"/>
  <c r="V962" i="3" s="1"/>
  <c r="U963" i="3"/>
  <c r="V963" i="3" s="1"/>
  <c r="U964" i="3"/>
  <c r="V964" i="3" s="1"/>
  <c r="U965" i="3"/>
  <c r="V965" i="3" s="1"/>
  <c r="U966" i="3"/>
  <c r="V966" i="3" s="1"/>
  <c r="U967" i="3"/>
  <c r="V967" i="3" s="1"/>
  <c r="U968" i="3"/>
  <c r="U969" i="3"/>
  <c r="V969" i="3" s="1"/>
  <c r="U970" i="3"/>
  <c r="V970" i="3" s="1"/>
  <c r="U971" i="3"/>
  <c r="V971" i="3" s="1"/>
  <c r="U972" i="3"/>
  <c r="V972" i="3" s="1"/>
  <c r="U973" i="3"/>
  <c r="V973" i="3" s="1"/>
  <c r="U974" i="3"/>
  <c r="V974" i="3" s="1"/>
  <c r="U975" i="3"/>
  <c r="V975" i="3" s="1"/>
  <c r="U976" i="3"/>
  <c r="V976" i="3" s="1"/>
  <c r="U977" i="3"/>
  <c r="V977" i="3" s="1"/>
  <c r="U978" i="3"/>
  <c r="V978" i="3" s="1"/>
  <c r="U979" i="3"/>
  <c r="V979" i="3" s="1"/>
  <c r="U980" i="3"/>
  <c r="V980" i="3" s="1"/>
  <c r="U981" i="3"/>
  <c r="V981" i="3" s="1"/>
  <c r="U982" i="3"/>
  <c r="V982" i="3" s="1"/>
  <c r="U983" i="3"/>
  <c r="V983" i="3" s="1"/>
  <c r="U984" i="3"/>
  <c r="V984" i="3" s="1"/>
  <c r="U985" i="3"/>
  <c r="U986" i="3"/>
  <c r="V986" i="3" s="1"/>
  <c r="U987" i="3"/>
  <c r="V98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995" i="3"/>
  <c r="V995" i="3" s="1"/>
  <c r="U996" i="3"/>
  <c r="V996" i="3" s="1"/>
  <c r="U997" i="3"/>
  <c r="V997" i="3" s="1"/>
  <c r="U998" i="3"/>
  <c r="V998" i="3" s="1"/>
  <c r="U999" i="3"/>
  <c r="V999" i="3" s="1"/>
  <c r="U1000" i="3"/>
  <c r="V1000" i="3" s="1"/>
  <c r="U1001" i="3"/>
  <c r="V1001" i="3" s="1"/>
  <c r="U1002" i="3"/>
  <c r="V1002" i="3" s="1"/>
  <c r="U1003" i="3"/>
  <c r="V1003" i="3" s="1"/>
  <c r="U1004" i="3"/>
  <c r="V1004" i="3" s="1"/>
  <c r="U1005" i="3"/>
  <c r="V1005" i="3" s="1"/>
  <c r="U1006" i="3"/>
  <c r="V1006" i="3" s="1"/>
  <c r="U1007" i="3"/>
  <c r="V1007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1013" i="3"/>
  <c r="V1013" i="3" s="1"/>
  <c r="U1014" i="3"/>
  <c r="V1014" i="3" s="1"/>
  <c r="U1015" i="3"/>
  <c r="V1015" i="3" s="1"/>
  <c r="U1016" i="3"/>
  <c r="V1016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7" i="3"/>
  <c r="V1037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U1046" i="3"/>
  <c r="V1046" i="3" s="1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6" i="3"/>
  <c r="V1066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073" i="3"/>
  <c r="V107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0" i="3"/>
  <c r="V1080" i="3" s="1"/>
  <c r="U1081" i="3"/>
  <c r="V1081" i="3" s="1"/>
  <c r="U1082" i="3"/>
  <c r="V1082" i="3" s="1"/>
  <c r="U1083" i="3"/>
  <c r="V1083" i="3" s="1"/>
  <c r="U1084" i="3"/>
  <c r="V1084" i="3" s="1"/>
  <c r="U1085" i="3"/>
  <c r="V1085" i="3" s="1"/>
  <c r="U1086" i="3"/>
  <c r="V1086" i="3" s="1"/>
  <c r="U1087" i="3"/>
  <c r="V1087" i="3" s="1"/>
  <c r="U1088" i="3"/>
  <c r="V1088" i="3" s="1"/>
  <c r="U1089" i="3"/>
  <c r="V1089" i="3" s="1"/>
  <c r="U1090" i="3"/>
  <c r="V1090" i="3" s="1"/>
  <c r="U1091" i="3"/>
  <c r="V1091" i="3" s="1"/>
  <c r="U1092" i="3"/>
  <c r="V1092" i="3" s="1"/>
  <c r="U1093" i="3"/>
  <c r="V1093" i="3" s="1"/>
  <c r="U1094" i="3"/>
  <c r="V1094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U1100" i="3"/>
  <c r="V1100" i="3" s="1"/>
  <c r="U1101" i="3"/>
  <c r="V1101" i="3" s="1"/>
  <c r="U1102" i="3"/>
  <c r="V1102" i="3" s="1"/>
  <c r="U1103" i="3"/>
  <c r="V1103" i="3" s="1"/>
  <c r="U1104" i="3"/>
  <c r="V1104" i="3" s="1"/>
  <c r="U1105" i="3"/>
  <c r="V1105" i="3" s="1"/>
  <c r="U1106" i="3"/>
  <c r="V1106" i="3" s="1"/>
  <c r="U1107" i="3"/>
  <c r="V1107" i="3" s="1"/>
  <c r="U1108" i="3"/>
  <c r="V1108" i="3" s="1"/>
  <c r="U1109" i="3"/>
  <c r="V1109" i="3" s="1"/>
  <c r="U1110" i="3"/>
  <c r="V1110" i="3" s="1"/>
  <c r="U1111" i="3"/>
  <c r="V1111" i="3" s="1"/>
  <c r="U1112" i="3"/>
  <c r="V1112" i="3" s="1"/>
  <c r="U1113" i="3"/>
  <c r="V1113" i="3" s="1"/>
  <c r="U1114" i="3"/>
  <c r="V1114" i="3" s="1"/>
  <c r="U1115" i="3"/>
  <c r="V1115" i="3" s="1"/>
  <c r="U1116" i="3"/>
  <c r="V1116" i="3" s="1"/>
  <c r="U1117" i="3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1126" i="3"/>
  <c r="V1126" i="3" s="1"/>
  <c r="U1127" i="3"/>
  <c r="V1127" i="3" s="1"/>
  <c r="U1128" i="3"/>
  <c r="V1128" i="3" s="1"/>
  <c r="U1129" i="3"/>
  <c r="V1129" i="3" s="1"/>
  <c r="U1130" i="3"/>
  <c r="V1130" i="3" s="1"/>
  <c r="U1131" i="3"/>
  <c r="V1131" i="3" s="1"/>
  <c r="U1132" i="3"/>
  <c r="V1132" i="3" s="1"/>
  <c r="U1133" i="3"/>
  <c r="V1133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U1147" i="3"/>
  <c r="V1147" i="3" s="1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U1155" i="3"/>
  <c r="V1155" i="3" s="1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2" i="3"/>
  <c r="V1172" i="3" s="1"/>
  <c r="U1173" i="3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204" i="3"/>
  <c r="V1204" i="3" s="1"/>
  <c r="U1205" i="3"/>
  <c r="V1205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1217" i="3"/>
  <c r="V1217" i="3" s="1"/>
  <c r="U1218" i="3"/>
  <c r="V1218" i="3" s="1"/>
  <c r="U1219" i="3"/>
  <c r="V1219" i="3" s="1"/>
  <c r="U1220" i="3"/>
  <c r="V1220" i="3" s="1"/>
  <c r="U1221" i="3"/>
  <c r="V1221" i="3" s="1"/>
  <c r="U1222" i="3"/>
  <c r="V1222" i="3" s="1"/>
  <c r="U1223" i="3"/>
  <c r="V1223" i="3" s="1"/>
  <c r="U1224" i="3"/>
  <c r="V1224" i="3" s="1"/>
  <c r="U1225" i="3"/>
  <c r="V1225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U1231" i="3"/>
  <c r="V1231" i="3" s="1"/>
  <c r="U1232" i="3"/>
  <c r="V1232" i="3" s="1"/>
  <c r="U1233" i="3"/>
  <c r="V1233" i="3" s="1"/>
  <c r="U1234" i="3"/>
  <c r="V1234" i="3" s="1"/>
  <c r="U1235" i="3"/>
  <c r="V1235" i="3" s="1"/>
  <c r="U1236" i="3"/>
  <c r="V1236" i="3" s="1"/>
  <c r="U1237" i="3"/>
  <c r="V1237" i="3" s="1"/>
  <c r="U1238" i="3"/>
  <c r="V1238" i="3" s="1"/>
  <c r="U1239" i="3"/>
  <c r="V1239" i="3" s="1"/>
  <c r="U1240" i="3"/>
  <c r="V1240" i="3" s="1"/>
  <c r="U1241" i="3"/>
  <c r="V1241" i="3" s="1"/>
  <c r="U1242" i="3"/>
  <c r="V1242" i="3" s="1"/>
  <c r="U1243" i="3"/>
  <c r="V1243" i="3" s="1"/>
  <c r="U1244" i="3"/>
  <c r="V1244" i="3" s="1"/>
  <c r="U1245" i="3"/>
  <c r="V1245" i="3" s="1"/>
  <c r="U1246" i="3"/>
  <c r="V1246" i="3" s="1"/>
  <c r="U1247" i="3"/>
  <c r="V1247" i="3" s="1"/>
  <c r="U1248" i="3"/>
  <c r="V1248" i="3" s="1"/>
  <c r="U1249" i="3"/>
  <c r="V1249" i="3" s="1"/>
  <c r="U1250" i="3"/>
  <c r="V1250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1257" i="3"/>
  <c r="V1257" i="3" s="1"/>
  <c r="U1258" i="3"/>
  <c r="V1258" i="3" s="1"/>
  <c r="U1259" i="3"/>
  <c r="V1259" i="3" s="1"/>
  <c r="U1260" i="3"/>
  <c r="V1260" i="3" s="1"/>
  <c r="U1261" i="3"/>
  <c r="V1261" i="3" s="1"/>
  <c r="U1262" i="3"/>
  <c r="V1262" i="3" s="1"/>
  <c r="U1263" i="3"/>
  <c r="V1263" i="3" s="1"/>
  <c r="U1264" i="3"/>
  <c r="V1264" i="3" s="1"/>
  <c r="U1265" i="3"/>
  <c r="U1266" i="3"/>
  <c r="V1266" i="3" s="1"/>
  <c r="U1267" i="3"/>
  <c r="V1267" i="3" s="1"/>
  <c r="U1268" i="3"/>
  <c r="V1268" i="3" s="1"/>
  <c r="U1269" i="3"/>
  <c r="V1269" i="3" s="1"/>
  <c r="U1270" i="3"/>
  <c r="V1270" i="3" s="1"/>
  <c r="U1271" i="3"/>
  <c r="V1271" i="3" s="1"/>
  <c r="U1272" i="3"/>
  <c r="V1272" i="3" s="1"/>
  <c r="U1273" i="3"/>
  <c r="V1273" i="3" s="1"/>
  <c r="U1274" i="3"/>
  <c r="V1274" i="3" s="1"/>
  <c r="U1275" i="3"/>
  <c r="V1275" i="3" s="1"/>
  <c r="U1276" i="3"/>
  <c r="V1276" i="3" s="1"/>
  <c r="U1277" i="3"/>
  <c r="V1277" i="3" s="1"/>
  <c r="U1278" i="3"/>
  <c r="V1278" i="3" s="1"/>
  <c r="U1279" i="3"/>
  <c r="V1279" i="3" s="1"/>
  <c r="U1280" i="3"/>
  <c r="V1280" i="3" s="1"/>
  <c r="U1281" i="3"/>
  <c r="V1281" i="3" s="1"/>
  <c r="U1282" i="3"/>
  <c r="V1282" i="3" s="1"/>
  <c r="U1283" i="3"/>
  <c r="V1283" i="3" s="1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303" i="3"/>
  <c r="V1303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309" i="3"/>
  <c r="V1309" i="3" s="1"/>
  <c r="U1310" i="3"/>
  <c r="V1310" i="3" s="1"/>
  <c r="U1311" i="3"/>
  <c r="V131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1321" i="3"/>
  <c r="V1321" i="3" s="1"/>
  <c r="U1322" i="3"/>
  <c r="V1322" i="3" s="1"/>
  <c r="U1323" i="3"/>
  <c r="V1323" i="3" s="1"/>
  <c r="U1324" i="3"/>
  <c r="V1324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8" i="3"/>
  <c r="V1348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1356" i="3"/>
  <c r="V1356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5" i="3"/>
  <c r="V1365" i="3" s="1"/>
  <c r="U1366" i="3"/>
  <c r="V1366" i="3" s="1"/>
  <c r="U1367" i="3"/>
  <c r="V1367" i="3" s="1"/>
  <c r="U1368" i="3"/>
  <c r="V1368" i="3" s="1"/>
  <c r="U1369" i="3"/>
  <c r="V1369" i="3" s="1"/>
  <c r="U1370" i="3"/>
  <c r="V1370" i="3" s="1"/>
  <c r="U1371" i="3"/>
  <c r="V1371" i="3" s="1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8" i="3"/>
  <c r="V1418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5" i="3"/>
  <c r="V1425" i="3" s="1"/>
  <c r="U1426" i="3"/>
  <c r="V1426" i="3" s="1"/>
  <c r="U1427" i="3"/>
  <c r="V1427" i="3" s="1"/>
  <c r="U1428" i="3"/>
  <c r="V1428" i="3" s="1"/>
  <c r="U1429" i="3"/>
  <c r="V1429" i="3" s="1"/>
  <c r="U1430" i="3"/>
  <c r="V1430" i="3" s="1"/>
  <c r="U1431" i="3"/>
  <c r="V1431" i="3" s="1"/>
  <c r="U1432" i="3"/>
  <c r="V1432" i="3" s="1"/>
  <c r="U1433" i="3"/>
  <c r="V1433" i="3" s="1"/>
  <c r="U1434" i="3"/>
  <c r="V1434" i="3" s="1"/>
  <c r="U1435" i="3"/>
  <c r="V1435" i="3" s="1"/>
  <c r="U1436" i="3"/>
  <c r="V1436" i="3" s="1"/>
  <c r="U1437" i="3"/>
  <c r="V1437" i="3" s="1"/>
  <c r="U1438" i="3"/>
  <c r="V1438" i="3" s="1"/>
  <c r="U1439" i="3"/>
  <c r="V1439" i="3" s="1"/>
  <c r="U1440" i="3"/>
  <c r="V1440" i="3" s="1"/>
  <c r="U1441" i="3"/>
  <c r="V1441" i="3" s="1"/>
  <c r="U1442" i="3"/>
  <c r="V1442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U1457" i="3"/>
  <c r="V1457" i="3" s="1"/>
  <c r="U1458" i="3"/>
  <c r="V1458" i="3" s="1"/>
  <c r="U1459" i="3"/>
  <c r="V1459" i="3" s="1"/>
  <c r="U1460" i="3"/>
  <c r="V1460" i="3" s="1"/>
  <c r="U1461" i="3"/>
  <c r="V1461" i="3" s="1"/>
  <c r="U1462" i="3"/>
  <c r="V1462" i="3" s="1"/>
  <c r="U1463" i="3"/>
  <c r="V1463" i="3" s="1"/>
  <c r="U1464" i="3"/>
  <c r="V1464" i="3" s="1"/>
  <c r="U1465" i="3"/>
  <c r="V1465" i="3" s="1"/>
  <c r="U1466" i="3"/>
  <c r="V1466" i="3" s="1"/>
  <c r="U1467" i="3"/>
  <c r="V1467" i="3" s="1"/>
  <c r="U1468" i="3"/>
  <c r="V1468" i="3" s="1"/>
  <c r="U1469" i="3"/>
  <c r="V1469" i="3" s="1"/>
  <c r="U1470" i="3"/>
  <c r="V1470" i="3" s="1"/>
  <c r="U1471" i="3"/>
  <c r="V1471" i="3" s="1"/>
  <c r="U1472" i="3"/>
  <c r="V1472" i="3" s="1"/>
  <c r="U1473" i="3"/>
  <c r="V1473" i="3" s="1"/>
  <c r="U1474" i="3"/>
  <c r="V1474" i="3" s="1"/>
  <c r="U1475" i="3"/>
  <c r="V1475" i="3" s="1"/>
  <c r="U1476" i="3"/>
  <c r="V1476" i="3" s="1"/>
  <c r="U1477" i="3"/>
  <c r="V1477" i="3" s="1"/>
  <c r="U1478" i="3"/>
  <c r="V1478" i="3" s="1"/>
  <c r="U1479" i="3"/>
  <c r="V1479" i="3" s="1"/>
  <c r="U1480" i="3"/>
  <c r="V1480" i="3" s="1"/>
  <c r="U1481" i="3"/>
  <c r="V1481" i="3" s="1"/>
  <c r="U1482" i="3"/>
  <c r="V1482" i="3" s="1"/>
  <c r="U1483" i="3"/>
  <c r="V1483" i="3" s="1"/>
  <c r="U1484" i="3"/>
  <c r="V1484" i="3" s="1"/>
  <c r="U1485" i="3"/>
  <c r="V1485" i="3" s="1"/>
  <c r="U1486" i="3"/>
  <c r="V1486" i="3" s="1"/>
  <c r="U1487" i="3"/>
  <c r="V1487" i="3" s="1"/>
  <c r="U1488" i="3"/>
  <c r="V1488" i="3" s="1"/>
  <c r="U1489" i="3"/>
  <c r="V1489" i="3" s="1"/>
  <c r="U1490" i="3"/>
  <c r="V1490" i="3" s="1"/>
  <c r="U1491" i="3"/>
  <c r="V1491" i="3" s="1"/>
  <c r="U1492" i="3"/>
  <c r="V1492" i="3" s="1"/>
  <c r="U1493" i="3"/>
  <c r="V1493" i="3" s="1"/>
  <c r="U1494" i="3"/>
  <c r="V1494" i="3" s="1"/>
  <c r="U1495" i="3"/>
  <c r="V1495" i="3" s="1"/>
  <c r="U1496" i="3"/>
  <c r="V1496" i="3" s="1"/>
  <c r="U1497" i="3"/>
  <c r="V1497" i="3" s="1"/>
  <c r="U1498" i="3"/>
  <c r="V1498" i="3" s="1"/>
  <c r="U1499" i="3"/>
  <c r="V1499" i="3" s="1"/>
  <c r="U1500" i="3"/>
  <c r="V1500" i="3" s="1"/>
  <c r="U1501" i="3"/>
  <c r="V1501" i="3" s="1"/>
  <c r="U1502" i="3"/>
  <c r="V1502" i="3" s="1"/>
  <c r="U1503" i="3"/>
  <c r="V1503" i="3" s="1"/>
  <c r="U1504" i="3"/>
  <c r="V1504" i="3" s="1"/>
  <c r="U1505" i="3"/>
  <c r="V1505" i="3" s="1"/>
  <c r="U1506" i="3"/>
  <c r="V1506" i="3" s="1"/>
  <c r="U1507" i="3"/>
  <c r="V1507" i="3" s="1"/>
  <c r="U1508" i="3"/>
  <c r="V1508" i="3" s="1"/>
  <c r="U1509" i="3"/>
  <c r="V1509" i="3" s="1"/>
  <c r="U1510" i="3"/>
  <c r="V1510" i="3" s="1"/>
  <c r="U1511" i="3"/>
  <c r="V1511" i="3" s="1"/>
  <c r="U1512" i="3"/>
  <c r="V1512" i="3" s="1"/>
  <c r="U1513" i="3"/>
  <c r="V1513" i="3" s="1"/>
  <c r="U1514" i="3"/>
  <c r="V1514" i="3" s="1"/>
  <c r="U1515" i="3"/>
  <c r="V1515" i="3" s="1"/>
  <c r="U1516" i="3"/>
  <c r="V1516" i="3" s="1"/>
  <c r="U1517" i="3"/>
  <c r="V1517" i="3" s="1"/>
  <c r="U1518" i="3"/>
  <c r="V1518" i="3" s="1"/>
  <c r="U1519" i="3"/>
  <c r="V1519" i="3" s="1"/>
  <c r="U1520" i="3"/>
  <c r="V1520" i="3" s="1"/>
  <c r="U1521" i="3"/>
  <c r="V1521" i="3" s="1"/>
  <c r="U1522" i="3"/>
  <c r="V1522" i="3" s="1"/>
  <c r="U1523" i="3"/>
  <c r="V1523" i="3" s="1"/>
  <c r="U1524" i="3"/>
  <c r="V1524" i="3" s="1"/>
  <c r="U1525" i="3"/>
  <c r="V1525" i="3" s="1"/>
  <c r="U1526" i="3"/>
  <c r="V1526" i="3" s="1"/>
  <c r="U1527" i="3"/>
  <c r="V1527" i="3" s="1"/>
  <c r="U1528" i="3"/>
  <c r="V1528" i="3" s="1"/>
  <c r="U1529" i="3"/>
  <c r="V1529" i="3" s="1"/>
  <c r="U1530" i="3"/>
  <c r="V1530" i="3" s="1"/>
  <c r="U1531" i="3"/>
  <c r="V1531" i="3" s="1"/>
  <c r="U1532" i="3"/>
  <c r="V1532" i="3" s="1"/>
  <c r="U1533" i="3"/>
  <c r="V1533" i="3" s="1"/>
  <c r="U1534" i="3"/>
  <c r="V1534" i="3" s="1"/>
  <c r="U1535" i="3"/>
  <c r="V1535" i="3" s="1"/>
  <c r="U1536" i="3"/>
  <c r="V1536" i="3" s="1"/>
  <c r="U1537" i="3"/>
  <c r="V1537" i="3" s="1"/>
  <c r="U1538" i="3"/>
  <c r="V1538" i="3" s="1"/>
  <c r="U1539" i="3"/>
  <c r="V1539" i="3" s="1"/>
  <c r="U1540" i="3"/>
  <c r="V1540" i="3" s="1"/>
  <c r="U1541" i="3"/>
  <c r="V1541" i="3" s="1"/>
  <c r="U1542" i="3"/>
  <c r="V1542" i="3" s="1"/>
  <c r="U1543" i="3"/>
  <c r="V1543" i="3" s="1"/>
  <c r="U1544" i="3"/>
  <c r="V1544" i="3" s="1"/>
  <c r="U1545" i="3"/>
  <c r="V1545" i="3" s="1"/>
  <c r="U1546" i="3"/>
  <c r="V1546" i="3" s="1"/>
  <c r="U1547" i="3"/>
  <c r="V1547" i="3" s="1"/>
  <c r="U1548" i="3"/>
  <c r="U1549" i="3"/>
  <c r="V1549" i="3" s="1"/>
  <c r="U1550" i="3"/>
  <c r="V1550" i="3" s="1"/>
  <c r="U1551" i="3"/>
  <c r="V1551" i="3" s="1"/>
  <c r="U1552" i="3"/>
  <c r="V1552" i="3" s="1"/>
  <c r="U1553" i="3"/>
  <c r="V1553" i="3" s="1"/>
  <c r="U1554" i="3"/>
  <c r="V1554" i="3" s="1"/>
  <c r="U1555" i="3"/>
  <c r="V1555" i="3" s="1"/>
  <c r="U1556" i="3"/>
  <c r="V1556" i="3" s="1"/>
  <c r="U1557" i="3"/>
  <c r="V1557" i="3" s="1"/>
  <c r="U1558" i="3"/>
  <c r="V1558" i="3" s="1"/>
  <c r="U1559" i="3"/>
  <c r="V1559" i="3" s="1"/>
  <c r="U1560" i="3"/>
  <c r="V1560" i="3" s="1"/>
  <c r="U1561" i="3"/>
  <c r="V1561" i="3" s="1"/>
  <c r="U1562" i="3"/>
  <c r="V1562" i="3" s="1"/>
  <c r="U1563" i="3"/>
  <c r="V1563" i="3" s="1"/>
  <c r="U1564" i="3"/>
  <c r="V1564" i="3" s="1"/>
  <c r="U1565" i="3"/>
  <c r="V1565" i="3" s="1"/>
  <c r="U1566" i="3"/>
  <c r="V1566" i="3" s="1"/>
  <c r="U1567" i="3"/>
  <c r="V1567" i="3" s="1"/>
  <c r="U1568" i="3"/>
  <c r="V1568" i="3" s="1"/>
  <c r="U1569" i="3"/>
  <c r="V1569" i="3" s="1"/>
  <c r="U1570" i="3"/>
  <c r="V1570" i="3" s="1"/>
  <c r="U1571" i="3"/>
  <c r="V1571" i="3" s="1"/>
  <c r="U1572" i="3"/>
  <c r="V1572" i="3" s="1"/>
  <c r="U1573" i="3"/>
  <c r="V1573" i="3" s="1"/>
  <c r="U1574" i="3"/>
  <c r="V1574" i="3" s="1"/>
  <c r="U1575" i="3"/>
  <c r="V1575" i="3" s="1"/>
  <c r="U1576" i="3"/>
  <c r="V1576" i="3" s="1"/>
  <c r="U1577" i="3"/>
  <c r="V1577" i="3" s="1"/>
  <c r="U1578" i="3"/>
  <c r="V1578" i="3" s="1"/>
  <c r="U1579" i="3"/>
  <c r="V1579" i="3" s="1"/>
  <c r="U1580" i="3"/>
  <c r="V1580" i="3" s="1"/>
  <c r="U1581" i="3"/>
  <c r="V1581" i="3" s="1"/>
  <c r="U1582" i="3"/>
  <c r="V1582" i="3" s="1"/>
  <c r="U1583" i="3"/>
  <c r="V1583" i="3" s="1"/>
  <c r="U1584" i="3"/>
  <c r="V1584" i="3" s="1"/>
  <c r="U1585" i="3"/>
  <c r="V1585" i="3" s="1"/>
  <c r="U1586" i="3"/>
  <c r="V1586" i="3" s="1"/>
  <c r="U1587" i="3"/>
  <c r="V1587" i="3" s="1"/>
  <c r="U1588" i="3"/>
  <c r="V1588" i="3" s="1"/>
  <c r="U1589" i="3"/>
  <c r="V1589" i="3" s="1"/>
  <c r="U1590" i="3"/>
  <c r="V1590" i="3" s="1"/>
  <c r="U1591" i="3"/>
  <c r="V1591" i="3" s="1"/>
  <c r="U1592" i="3"/>
  <c r="V1592" i="3" s="1"/>
  <c r="U1593" i="3"/>
  <c r="V1593" i="3" s="1"/>
  <c r="U1594" i="3"/>
  <c r="V1594" i="3" s="1"/>
  <c r="U1595" i="3"/>
  <c r="V1595" i="3" s="1"/>
  <c r="U1596" i="3"/>
  <c r="V1596" i="3" s="1"/>
  <c r="U1597" i="3"/>
  <c r="V1597" i="3" s="1"/>
  <c r="U1598" i="3"/>
  <c r="V1598" i="3" s="1"/>
  <c r="U1599" i="3"/>
  <c r="V1599" i="3" s="1"/>
  <c r="U1600" i="3"/>
  <c r="V1600" i="3" s="1"/>
  <c r="U1601" i="3"/>
  <c r="V1601" i="3" s="1"/>
  <c r="U1602" i="3"/>
  <c r="V1602" i="3" s="1"/>
  <c r="U1603" i="3"/>
  <c r="V1603" i="3" s="1"/>
  <c r="U1604" i="3"/>
  <c r="V1604" i="3" s="1"/>
  <c r="U1605" i="3"/>
  <c r="V1605" i="3" s="1"/>
  <c r="U1606" i="3"/>
  <c r="V1606" i="3" s="1"/>
  <c r="U1607" i="3"/>
  <c r="V1607" i="3" s="1"/>
  <c r="U1608" i="3"/>
  <c r="V1608" i="3" s="1"/>
  <c r="U1609" i="3"/>
  <c r="V1609" i="3" s="1"/>
  <c r="U1610" i="3"/>
  <c r="V1610" i="3" s="1"/>
  <c r="U1611" i="3"/>
  <c r="V1611" i="3" s="1"/>
  <c r="U1612" i="3"/>
  <c r="V1612" i="3" s="1"/>
  <c r="U1613" i="3"/>
  <c r="V1613" i="3" s="1"/>
  <c r="U1614" i="3"/>
  <c r="V1614" i="3" s="1"/>
  <c r="U1615" i="3"/>
  <c r="V1615" i="3" s="1"/>
  <c r="U1616" i="3"/>
  <c r="V1616" i="3" s="1"/>
  <c r="U1617" i="3"/>
  <c r="V1617" i="3" s="1"/>
  <c r="U1618" i="3"/>
  <c r="V1618" i="3" s="1"/>
  <c r="U1619" i="3"/>
  <c r="V1619" i="3" s="1"/>
  <c r="U1620" i="3"/>
  <c r="V1620" i="3" s="1"/>
  <c r="U1621" i="3"/>
  <c r="V1621" i="3" s="1"/>
  <c r="U1622" i="3"/>
  <c r="V1622" i="3" s="1"/>
  <c r="U1623" i="3"/>
  <c r="V1623" i="3" s="1"/>
  <c r="U1624" i="3"/>
  <c r="V1624" i="3" s="1"/>
  <c r="U1625" i="3"/>
  <c r="V1625" i="3" s="1"/>
  <c r="U1626" i="3"/>
  <c r="V1626" i="3" s="1"/>
  <c r="U1627" i="3"/>
  <c r="V1627" i="3" s="1"/>
  <c r="U1628" i="3"/>
  <c r="V1628" i="3" s="1"/>
  <c r="U1629" i="3"/>
  <c r="V1629" i="3" s="1"/>
  <c r="U1630" i="3"/>
  <c r="V1630" i="3" s="1"/>
  <c r="U1631" i="3"/>
  <c r="V1631" i="3" s="1"/>
  <c r="U1632" i="3"/>
  <c r="V1632" i="3" s="1"/>
  <c r="U1633" i="3"/>
  <c r="V1633" i="3" s="1"/>
  <c r="U1634" i="3"/>
  <c r="V1634" i="3" s="1"/>
  <c r="U1635" i="3"/>
  <c r="V1635" i="3" s="1"/>
  <c r="U1636" i="3"/>
  <c r="V1636" i="3" s="1"/>
  <c r="U1637" i="3"/>
  <c r="V1637" i="3" s="1"/>
  <c r="U1638" i="3"/>
  <c r="V1638" i="3" s="1"/>
  <c r="U1639" i="3"/>
  <c r="V1639" i="3" s="1"/>
  <c r="U1640" i="3"/>
  <c r="V1640" i="3" s="1"/>
  <c r="U1641" i="3"/>
  <c r="V1641" i="3" s="1"/>
  <c r="U1642" i="3"/>
  <c r="V1642" i="3" s="1"/>
  <c r="U1643" i="3"/>
  <c r="V1643" i="3" s="1"/>
  <c r="U1644" i="3"/>
  <c r="V1644" i="3" s="1"/>
  <c r="U1645" i="3"/>
  <c r="V1645" i="3" s="1"/>
  <c r="U1646" i="3"/>
  <c r="V1646" i="3" s="1"/>
  <c r="U1647" i="3"/>
  <c r="V1647" i="3" s="1"/>
  <c r="U1648" i="3"/>
  <c r="V1648" i="3" s="1"/>
  <c r="U1649" i="3"/>
  <c r="V1649" i="3" s="1"/>
  <c r="U1650" i="3"/>
  <c r="V1650" i="3" s="1"/>
  <c r="U1651" i="3"/>
  <c r="V1651" i="3" s="1"/>
  <c r="U1652" i="3"/>
  <c r="V1652" i="3" s="1"/>
  <c r="U1653" i="3"/>
  <c r="V1653" i="3" s="1"/>
  <c r="U1654" i="3"/>
  <c r="V1654" i="3" s="1"/>
  <c r="U1655" i="3"/>
  <c r="V1655" i="3" s="1"/>
  <c r="U1656" i="3"/>
  <c r="V1656" i="3" s="1"/>
  <c r="U1657" i="3"/>
  <c r="V1657" i="3" s="1"/>
  <c r="U1658" i="3"/>
  <c r="V1658" i="3" s="1"/>
  <c r="U1659" i="3"/>
  <c r="V1659" i="3" s="1"/>
  <c r="U1660" i="3"/>
  <c r="V1660" i="3" s="1"/>
  <c r="U1661" i="3"/>
  <c r="V1661" i="3" s="1"/>
  <c r="U1662" i="3"/>
  <c r="V1662" i="3" s="1"/>
  <c r="U1663" i="3"/>
  <c r="V1663" i="3" s="1"/>
  <c r="U1664" i="3"/>
  <c r="V1664" i="3" s="1"/>
  <c r="U1665" i="3"/>
  <c r="V1665" i="3" s="1"/>
  <c r="U1666" i="3"/>
  <c r="V1666" i="3" s="1"/>
  <c r="U1667" i="3"/>
  <c r="V1667" i="3" s="1"/>
  <c r="U1668" i="3"/>
  <c r="V1668" i="3" s="1"/>
  <c r="U1669" i="3"/>
  <c r="V1669" i="3" s="1"/>
  <c r="U1670" i="3"/>
  <c r="V1670" i="3" s="1"/>
  <c r="U1671" i="3"/>
  <c r="V1671" i="3" s="1"/>
  <c r="U1672" i="3"/>
  <c r="V1672" i="3" s="1"/>
  <c r="U1673" i="3"/>
  <c r="V1673" i="3" s="1"/>
  <c r="U1674" i="3"/>
  <c r="V1674" i="3" s="1"/>
  <c r="U1675" i="3"/>
  <c r="V1675" i="3" s="1"/>
  <c r="U1676" i="3"/>
  <c r="V1676" i="3" s="1"/>
  <c r="U1677" i="3"/>
  <c r="V1677" i="3" s="1"/>
  <c r="U1678" i="3"/>
  <c r="V1678" i="3" s="1"/>
  <c r="U1679" i="3"/>
  <c r="V1679" i="3" s="1"/>
  <c r="U1680" i="3"/>
  <c r="V1680" i="3" s="1"/>
  <c r="U1681" i="3"/>
  <c r="V1681" i="3" s="1"/>
  <c r="U1682" i="3"/>
  <c r="V1682" i="3" s="1"/>
  <c r="U1683" i="3"/>
  <c r="V1683" i="3" s="1"/>
  <c r="U1684" i="3"/>
  <c r="V1684" i="3" s="1"/>
  <c r="U1685" i="3"/>
  <c r="V1685" i="3" s="1"/>
  <c r="U1686" i="3"/>
  <c r="V1686" i="3" s="1"/>
  <c r="U1687" i="3"/>
  <c r="V1687" i="3" s="1"/>
  <c r="U1688" i="3"/>
  <c r="V1688" i="3" s="1"/>
  <c r="U1689" i="3"/>
  <c r="V1689" i="3" s="1"/>
  <c r="U1690" i="3"/>
  <c r="V1690" i="3" s="1"/>
  <c r="U1691" i="3"/>
  <c r="V1691" i="3" s="1"/>
  <c r="U1692" i="3"/>
  <c r="V1692" i="3" s="1"/>
  <c r="U1693" i="3"/>
  <c r="V1693" i="3" s="1"/>
  <c r="U1694" i="3"/>
  <c r="V1694" i="3" s="1"/>
  <c r="U1695" i="3"/>
  <c r="V1695" i="3" s="1"/>
  <c r="U1696" i="3"/>
  <c r="V1696" i="3" s="1"/>
  <c r="U1697" i="3"/>
  <c r="V1697" i="3" s="1"/>
  <c r="U1698" i="3"/>
  <c r="V1698" i="3" s="1"/>
  <c r="U1699" i="3"/>
  <c r="V1699" i="3" s="1"/>
  <c r="U1700" i="3"/>
  <c r="V1700" i="3" s="1"/>
  <c r="U1701" i="3"/>
  <c r="V1701" i="3" s="1"/>
  <c r="U1702" i="3"/>
  <c r="V1702" i="3" s="1"/>
  <c r="U1703" i="3"/>
  <c r="V1703" i="3" s="1"/>
  <c r="U1704" i="3"/>
  <c r="V1704" i="3" s="1"/>
  <c r="U1705" i="3"/>
  <c r="V1705" i="3" s="1"/>
  <c r="U1706" i="3"/>
  <c r="V1706" i="3" s="1"/>
  <c r="U1707" i="3"/>
  <c r="V1707" i="3" s="1"/>
  <c r="U1708" i="3"/>
  <c r="V1708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714" i="3"/>
  <c r="V1714" i="3" s="1"/>
  <c r="U1715" i="3"/>
  <c r="V1715" i="3" s="1"/>
  <c r="U1716" i="3"/>
  <c r="V1716" i="3" s="1"/>
  <c r="U1717" i="3"/>
  <c r="V1717" i="3" s="1"/>
  <c r="U1718" i="3"/>
  <c r="V1718" i="3" s="1"/>
  <c r="U1719" i="3"/>
  <c r="V1719" i="3" s="1"/>
  <c r="U1720" i="3"/>
  <c r="V1720" i="3" s="1"/>
  <c r="U1721" i="3"/>
  <c r="V1721" i="3" s="1"/>
  <c r="U1722" i="3"/>
  <c r="V1722" i="3" s="1"/>
  <c r="U1723" i="3"/>
  <c r="V1723" i="3" s="1"/>
  <c r="U1724" i="3"/>
  <c r="V1724" i="3" s="1"/>
  <c r="U1725" i="3"/>
  <c r="V1725" i="3" s="1"/>
  <c r="U1726" i="3"/>
  <c r="V1726" i="3" s="1"/>
  <c r="U1727" i="3"/>
  <c r="V1727" i="3" s="1"/>
  <c r="U1728" i="3"/>
  <c r="U1729" i="3"/>
  <c r="V1729" i="3" s="1"/>
  <c r="U1730" i="3"/>
  <c r="V1730" i="3" s="1"/>
  <c r="U1731" i="3"/>
  <c r="V1731" i="3" s="1"/>
  <c r="U1732" i="3"/>
  <c r="V1732" i="3" s="1"/>
  <c r="U1733" i="3"/>
  <c r="V1733" i="3" s="1"/>
  <c r="U1734" i="3"/>
  <c r="V1734" i="3" s="1"/>
  <c r="U1735" i="3"/>
  <c r="V1735" i="3" s="1"/>
  <c r="U1736" i="3"/>
  <c r="V1736" i="3" s="1"/>
  <c r="U1737" i="3"/>
  <c r="V1737" i="3" s="1"/>
  <c r="U1738" i="3"/>
  <c r="V1738" i="3" s="1"/>
  <c r="U1739" i="3"/>
  <c r="V1739" i="3" s="1"/>
  <c r="U1740" i="3"/>
  <c r="V1740" i="3" s="1"/>
  <c r="U1741" i="3"/>
  <c r="V1741" i="3" s="1"/>
  <c r="U1742" i="3"/>
  <c r="V1742" i="3" s="1"/>
  <c r="U1743" i="3"/>
  <c r="V1743" i="3" s="1"/>
  <c r="U1744" i="3"/>
  <c r="V1744" i="3" s="1"/>
  <c r="U1745" i="3"/>
  <c r="V1745" i="3" s="1"/>
  <c r="U1746" i="3"/>
  <c r="V1746" i="3" s="1"/>
  <c r="U1747" i="3"/>
  <c r="V1747" i="3" s="1"/>
  <c r="U1748" i="3"/>
  <c r="V1748" i="3" s="1"/>
  <c r="U1749" i="3"/>
  <c r="V1749" i="3" s="1"/>
  <c r="U1750" i="3"/>
  <c r="V1750" i="3" s="1"/>
  <c r="U1751" i="3"/>
  <c r="V1751" i="3" s="1"/>
  <c r="U1752" i="3"/>
  <c r="V1752" i="3" s="1"/>
  <c r="U1753" i="3"/>
  <c r="V1753" i="3" s="1"/>
  <c r="U1754" i="3"/>
  <c r="V1754" i="3" s="1"/>
  <c r="U1755" i="3"/>
  <c r="V1755" i="3" s="1"/>
  <c r="U1756" i="3"/>
  <c r="V1756" i="3" s="1"/>
  <c r="U1757" i="3"/>
  <c r="V1757" i="3" s="1"/>
  <c r="U1758" i="3"/>
  <c r="V1758" i="3" s="1"/>
  <c r="U1759" i="3"/>
  <c r="V1759" i="3" s="1"/>
  <c r="U1760" i="3"/>
  <c r="V1760" i="3" s="1"/>
  <c r="U1761" i="3"/>
  <c r="V1761" i="3" s="1"/>
  <c r="U1762" i="3"/>
  <c r="V1762" i="3" s="1"/>
  <c r="U1763" i="3"/>
  <c r="V1763" i="3" s="1"/>
  <c r="U1764" i="3"/>
  <c r="V1764" i="3" s="1"/>
  <c r="U1765" i="3"/>
  <c r="V1765" i="3" s="1"/>
  <c r="U1766" i="3"/>
  <c r="V1766" i="3" s="1"/>
  <c r="U1767" i="3"/>
  <c r="V1767" i="3" s="1"/>
  <c r="U1768" i="3"/>
  <c r="V1768" i="3" s="1"/>
  <c r="U1769" i="3"/>
  <c r="V1769" i="3" s="1"/>
  <c r="U1770" i="3"/>
  <c r="V1770" i="3" s="1"/>
  <c r="U1771" i="3"/>
  <c r="V1771" i="3" s="1"/>
  <c r="U1772" i="3"/>
  <c r="V1772" i="3" s="1"/>
  <c r="U1773" i="3"/>
  <c r="V1773" i="3" s="1"/>
  <c r="U1774" i="3"/>
  <c r="V1774" i="3" s="1"/>
  <c r="U1775" i="3"/>
  <c r="V1775" i="3" s="1"/>
  <c r="U1776" i="3"/>
  <c r="V1776" i="3" s="1"/>
  <c r="U1777" i="3"/>
  <c r="V1777" i="3" s="1"/>
  <c r="U1778" i="3"/>
  <c r="V1778" i="3" s="1"/>
  <c r="U1779" i="3"/>
  <c r="V1779" i="3" s="1"/>
  <c r="U1780" i="3"/>
  <c r="V1780" i="3" s="1"/>
  <c r="U1781" i="3"/>
  <c r="V1781" i="3" s="1"/>
  <c r="U1782" i="3"/>
  <c r="V1782" i="3" s="1"/>
  <c r="U1783" i="3"/>
  <c r="V1783" i="3" s="1"/>
  <c r="U1784" i="3"/>
  <c r="V1784" i="3" s="1"/>
  <c r="U1785" i="3"/>
  <c r="V1785" i="3" s="1"/>
  <c r="U1786" i="3"/>
  <c r="V1786" i="3" s="1"/>
  <c r="U1787" i="3"/>
  <c r="V1787" i="3" s="1"/>
  <c r="U1788" i="3"/>
  <c r="V1788" i="3" s="1"/>
  <c r="U1789" i="3"/>
  <c r="V1789" i="3" s="1"/>
  <c r="U1790" i="3"/>
  <c r="V1790" i="3" s="1"/>
  <c r="U1791" i="3"/>
  <c r="V1791" i="3" s="1"/>
  <c r="U1792" i="3"/>
  <c r="V1792" i="3" s="1"/>
  <c r="U1793" i="3"/>
  <c r="V1793" i="3" s="1"/>
  <c r="U1794" i="3"/>
  <c r="V1794" i="3" s="1"/>
  <c r="U1795" i="3"/>
  <c r="V1795" i="3" s="1"/>
  <c r="U1796" i="3"/>
  <c r="V1796" i="3" s="1"/>
  <c r="U1797" i="3"/>
  <c r="V1797" i="3" s="1"/>
  <c r="U1798" i="3"/>
  <c r="V1798" i="3" s="1"/>
  <c r="U1799" i="3"/>
  <c r="V1799" i="3" s="1"/>
  <c r="U1800" i="3"/>
  <c r="V1800" i="3" s="1"/>
  <c r="U1801" i="3"/>
  <c r="V1801" i="3" s="1"/>
  <c r="U1802" i="3"/>
  <c r="V1802" i="3" s="1"/>
  <c r="U1803" i="3"/>
  <c r="V1803" i="3" s="1"/>
  <c r="U1804" i="3"/>
  <c r="V1804" i="3" s="1"/>
  <c r="U1805" i="3"/>
  <c r="V1805" i="3" s="1"/>
  <c r="U1806" i="3"/>
  <c r="V1806" i="3" s="1"/>
  <c r="U1807" i="3"/>
  <c r="V1807" i="3" s="1"/>
  <c r="U1808" i="3"/>
  <c r="V1808" i="3" s="1"/>
  <c r="U1809" i="3"/>
  <c r="V1809" i="3" s="1"/>
  <c r="U1810" i="3"/>
  <c r="V1810" i="3" s="1"/>
  <c r="U1811" i="3"/>
  <c r="V1811" i="3" s="1"/>
  <c r="U1812" i="3"/>
  <c r="V1812" i="3" s="1"/>
  <c r="U1813" i="3"/>
  <c r="V1813" i="3" s="1"/>
  <c r="U1814" i="3"/>
  <c r="V1814" i="3" s="1"/>
  <c r="U1815" i="3"/>
  <c r="V1815" i="3" s="1"/>
  <c r="U1816" i="3"/>
  <c r="V1816" i="3" s="1"/>
  <c r="U1817" i="3"/>
  <c r="V1817" i="3" s="1"/>
  <c r="U1818" i="3"/>
  <c r="V1818" i="3" s="1"/>
  <c r="U1819" i="3"/>
  <c r="V1819" i="3" s="1"/>
  <c r="U1820" i="3"/>
  <c r="V1820" i="3" s="1"/>
  <c r="U1821" i="3"/>
  <c r="V1821" i="3" s="1"/>
  <c r="U1822" i="3"/>
  <c r="V1822" i="3" s="1"/>
  <c r="U1823" i="3"/>
  <c r="V1823" i="3" s="1"/>
  <c r="U1824" i="3"/>
  <c r="V1824" i="3" s="1"/>
  <c r="U1825" i="3"/>
  <c r="V1825" i="3" s="1"/>
  <c r="U1826" i="3"/>
  <c r="V1826" i="3" s="1"/>
  <c r="U1827" i="3"/>
  <c r="V1827" i="3" s="1"/>
  <c r="U1828" i="3"/>
  <c r="V1828" i="3" s="1"/>
  <c r="U1829" i="3"/>
  <c r="V1829" i="3" s="1"/>
  <c r="U1830" i="3"/>
  <c r="V1830" i="3" s="1"/>
  <c r="U1831" i="3"/>
  <c r="V1831" i="3" s="1"/>
  <c r="U1832" i="3"/>
  <c r="V1832" i="3" s="1"/>
  <c r="U1833" i="3"/>
  <c r="V1833" i="3" s="1"/>
  <c r="U1834" i="3"/>
  <c r="V1834" i="3" s="1"/>
  <c r="U1835" i="3"/>
  <c r="V1835" i="3" s="1"/>
  <c r="U1836" i="3"/>
  <c r="V1836" i="3" s="1"/>
  <c r="U1837" i="3"/>
  <c r="V1837" i="3" s="1"/>
  <c r="U1838" i="3"/>
  <c r="V1838" i="3" s="1"/>
  <c r="U1839" i="3"/>
  <c r="V1839" i="3" s="1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V1856" i="3" s="1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1879" i="3"/>
  <c r="V1879" i="3" s="1"/>
  <c r="U1880" i="3"/>
  <c r="V1880" i="3" s="1"/>
  <c r="U1881" i="3"/>
  <c r="V1881" i="3" s="1"/>
  <c r="U1882" i="3"/>
  <c r="V1882" i="3" s="1"/>
  <c r="U1883" i="3"/>
  <c r="V1883" i="3" s="1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V1892" i="3" s="1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V1916" i="3" s="1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1956" i="3"/>
  <c r="V1956" i="3" s="1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U1965" i="3"/>
  <c r="V1965" i="3" s="1"/>
  <c r="U1966" i="3"/>
  <c r="V1966" i="3" s="1"/>
  <c r="U1967" i="3"/>
  <c r="V1967" i="3" s="1"/>
  <c r="U1968" i="3"/>
  <c r="V1968" i="3" s="1"/>
  <c r="U1969" i="3"/>
  <c r="V1969" i="3" s="1"/>
  <c r="U1970" i="3"/>
  <c r="V1970" i="3" s="1"/>
  <c r="U1971" i="3"/>
  <c r="V1971" i="3" s="1"/>
  <c r="U1972" i="3"/>
  <c r="V1972" i="3" s="1"/>
  <c r="U1973" i="3"/>
  <c r="V1973" i="3" s="1"/>
  <c r="U1974" i="3"/>
  <c r="V1974" i="3" s="1"/>
  <c r="U1975" i="3"/>
  <c r="V1975" i="3" s="1"/>
  <c r="U1976" i="3"/>
  <c r="V1976" i="3" s="1"/>
  <c r="U1977" i="3"/>
  <c r="V1977" i="3" s="1"/>
  <c r="U1978" i="3"/>
  <c r="V1978" i="3" s="1"/>
  <c r="U1979" i="3"/>
  <c r="V1979" i="3" s="1"/>
  <c r="U1980" i="3"/>
  <c r="V1980" i="3" s="1"/>
  <c r="U1981" i="3"/>
  <c r="V1981" i="3" s="1"/>
  <c r="U1982" i="3"/>
  <c r="V1982" i="3" s="1"/>
  <c r="U1983" i="3"/>
  <c r="V1983" i="3" s="1"/>
  <c r="U1984" i="3"/>
  <c r="V1984" i="3" s="1"/>
  <c r="U1985" i="3"/>
  <c r="V1985" i="3" s="1"/>
  <c r="U1986" i="3"/>
  <c r="V1986" i="3" s="1"/>
  <c r="U1987" i="3"/>
  <c r="V1987" i="3" s="1"/>
  <c r="U1988" i="3"/>
  <c r="V1988" i="3" s="1"/>
  <c r="U1989" i="3"/>
  <c r="V1989" i="3" s="1"/>
  <c r="U1990" i="3"/>
  <c r="V1990" i="3" s="1"/>
  <c r="U1991" i="3"/>
  <c r="V1991" i="3" s="1"/>
  <c r="U1992" i="3"/>
  <c r="V1992" i="3" s="1"/>
  <c r="U1993" i="3"/>
  <c r="V1993" i="3" s="1"/>
  <c r="U1994" i="3"/>
  <c r="V1994" i="3" s="1"/>
  <c r="U1995" i="3"/>
  <c r="V1995" i="3" s="1"/>
  <c r="U1996" i="3"/>
  <c r="V1996" i="3" s="1"/>
  <c r="U1997" i="3"/>
  <c r="V1997" i="3" s="1"/>
  <c r="U1998" i="3"/>
  <c r="V1998" i="3" s="1"/>
  <c r="U1999" i="3"/>
  <c r="V1999" i="3" s="1"/>
  <c r="U2000" i="3"/>
  <c r="V2000" i="3" s="1"/>
  <c r="U2001" i="3"/>
  <c r="V2001" i="3" s="1"/>
  <c r="U2002" i="3"/>
  <c r="V2002" i="3" s="1"/>
  <c r="U2003" i="3"/>
  <c r="V2003" i="3" s="1"/>
  <c r="U2004" i="3"/>
  <c r="V2004" i="3" s="1"/>
  <c r="U2005" i="3"/>
  <c r="V2005" i="3" s="1"/>
  <c r="U2006" i="3"/>
  <c r="V2006" i="3" s="1"/>
  <c r="U2007" i="3"/>
  <c r="V2007" i="3" s="1"/>
  <c r="U2008" i="3"/>
  <c r="V2008" i="3" s="1"/>
  <c r="U2009" i="3"/>
  <c r="V2009" i="3" s="1"/>
  <c r="U2010" i="3"/>
  <c r="V2010" i="3" s="1"/>
  <c r="U2011" i="3"/>
  <c r="V2011" i="3" s="1"/>
  <c r="U2012" i="3"/>
  <c r="V2012" i="3" s="1"/>
  <c r="U2013" i="3"/>
  <c r="V2013" i="3" s="1"/>
  <c r="U2014" i="3"/>
  <c r="V2014" i="3" s="1"/>
  <c r="U2015" i="3"/>
  <c r="V2015" i="3" s="1"/>
  <c r="U2016" i="3"/>
  <c r="V2016" i="3" s="1"/>
  <c r="U2017" i="3"/>
  <c r="V2017" i="3" s="1"/>
  <c r="U2018" i="3"/>
  <c r="V2018" i="3" s="1"/>
  <c r="U2019" i="3"/>
  <c r="V2019" i="3" s="1"/>
  <c r="U2020" i="3"/>
  <c r="V2020" i="3" s="1"/>
  <c r="U2021" i="3"/>
  <c r="V2021" i="3" s="1"/>
  <c r="U2022" i="3"/>
  <c r="V2022" i="3" s="1"/>
  <c r="U2023" i="3"/>
  <c r="V2023" i="3" s="1"/>
  <c r="U2024" i="3"/>
  <c r="V2024" i="3" s="1"/>
  <c r="U2025" i="3"/>
  <c r="V2025" i="3" s="1"/>
  <c r="U2026" i="3"/>
  <c r="V2026" i="3" s="1"/>
  <c r="U2027" i="3"/>
  <c r="V2027" i="3" s="1"/>
  <c r="U2028" i="3"/>
  <c r="V2028" i="3" s="1"/>
  <c r="U2029" i="3"/>
  <c r="V2029" i="3" s="1"/>
  <c r="U2030" i="3"/>
  <c r="V2030" i="3" s="1"/>
  <c r="U2031" i="3"/>
  <c r="V2031" i="3" s="1"/>
  <c r="U2032" i="3"/>
  <c r="V2032" i="3" s="1"/>
  <c r="U2033" i="3"/>
  <c r="V2033" i="3" s="1"/>
  <c r="U2034" i="3"/>
  <c r="V2034" i="3" s="1"/>
  <c r="U2035" i="3"/>
  <c r="V2035" i="3" s="1"/>
  <c r="U2036" i="3"/>
  <c r="V2036" i="3" s="1"/>
  <c r="U2037" i="3"/>
  <c r="V2037" i="3" s="1"/>
  <c r="U2038" i="3"/>
  <c r="V2038" i="3" s="1"/>
  <c r="U2039" i="3"/>
  <c r="V2039" i="3" s="1"/>
  <c r="U2040" i="3"/>
  <c r="V2040" i="3" s="1"/>
  <c r="U2041" i="3"/>
  <c r="V2041" i="3" s="1"/>
  <c r="U2042" i="3"/>
  <c r="V2042" i="3" s="1"/>
  <c r="U2043" i="3"/>
  <c r="V2043" i="3" s="1"/>
  <c r="U2044" i="3"/>
  <c r="V2044" i="3" s="1"/>
  <c r="U2045" i="3"/>
  <c r="V2045" i="3" s="1"/>
  <c r="U2046" i="3"/>
  <c r="V2046" i="3" s="1"/>
  <c r="U2047" i="3"/>
  <c r="V2047" i="3" s="1"/>
  <c r="U2048" i="3"/>
  <c r="V2048" i="3" s="1"/>
  <c r="U2049" i="3"/>
  <c r="V2049" i="3" s="1"/>
  <c r="U2050" i="3"/>
  <c r="V2050" i="3" s="1"/>
  <c r="U2051" i="3"/>
  <c r="V2051" i="3" s="1"/>
  <c r="U2052" i="3"/>
  <c r="V2052" i="3" s="1"/>
  <c r="U2053" i="3"/>
  <c r="V2053" i="3" s="1"/>
  <c r="U2054" i="3"/>
  <c r="V2054" i="3" s="1"/>
  <c r="U2055" i="3"/>
  <c r="V2055" i="3" s="1"/>
  <c r="U2056" i="3"/>
  <c r="V2056" i="3" s="1"/>
  <c r="U2057" i="3"/>
  <c r="V2057" i="3" s="1"/>
  <c r="U2058" i="3"/>
  <c r="V2058" i="3" s="1"/>
  <c r="U2059" i="3"/>
  <c r="V2059" i="3" s="1"/>
  <c r="U2060" i="3"/>
  <c r="V2060" i="3" s="1"/>
  <c r="U2061" i="3"/>
  <c r="V2061" i="3" s="1"/>
  <c r="U2062" i="3"/>
  <c r="V2062" i="3" s="1"/>
  <c r="U2063" i="3"/>
  <c r="V2063" i="3" s="1"/>
  <c r="U2064" i="3"/>
  <c r="V2064" i="3" s="1"/>
  <c r="U2065" i="3"/>
  <c r="V2065" i="3" s="1"/>
  <c r="U2066" i="3"/>
  <c r="V2066" i="3" s="1"/>
  <c r="U2067" i="3"/>
  <c r="V2067" i="3" s="1"/>
  <c r="U2068" i="3"/>
  <c r="V2068" i="3" s="1"/>
  <c r="U2069" i="3"/>
  <c r="V2069" i="3" s="1"/>
  <c r="U2070" i="3"/>
  <c r="V2070" i="3" s="1"/>
  <c r="U2071" i="3"/>
  <c r="V2071" i="3" s="1"/>
  <c r="U2072" i="3"/>
  <c r="V2072" i="3" s="1"/>
  <c r="U2073" i="3"/>
  <c r="V2073" i="3" s="1"/>
  <c r="U2074" i="3"/>
  <c r="V2074" i="3" s="1"/>
  <c r="U2075" i="3"/>
  <c r="V2075" i="3" s="1"/>
  <c r="U2076" i="3"/>
  <c r="V2076" i="3" s="1"/>
  <c r="U2077" i="3"/>
  <c r="V2077" i="3" s="1"/>
  <c r="U2078" i="3"/>
  <c r="V2078" i="3" s="1"/>
  <c r="U2079" i="3"/>
  <c r="V2079" i="3" s="1"/>
  <c r="U2080" i="3"/>
  <c r="V2080" i="3" s="1"/>
  <c r="U2081" i="3"/>
  <c r="V2081" i="3" s="1"/>
  <c r="U2082" i="3"/>
  <c r="V2082" i="3" s="1"/>
  <c r="U2083" i="3"/>
  <c r="V2083" i="3" s="1"/>
  <c r="U2084" i="3"/>
  <c r="V2084" i="3" s="1"/>
  <c r="U2085" i="3"/>
  <c r="V2085" i="3" s="1"/>
  <c r="U2086" i="3"/>
  <c r="V2086" i="3" s="1"/>
  <c r="U2087" i="3"/>
  <c r="V2087" i="3" s="1"/>
  <c r="U2088" i="3"/>
  <c r="V2088" i="3" s="1"/>
  <c r="U2089" i="3"/>
  <c r="V2089" i="3" s="1"/>
  <c r="U2090" i="3"/>
  <c r="V2090" i="3" s="1"/>
  <c r="U2091" i="3"/>
  <c r="V2091" i="3" s="1"/>
  <c r="U2092" i="3"/>
  <c r="V2092" i="3" s="1"/>
  <c r="U2093" i="3"/>
  <c r="V2093" i="3" s="1"/>
  <c r="U2094" i="3"/>
  <c r="V2094" i="3" s="1"/>
  <c r="U2095" i="3"/>
  <c r="V2095" i="3" s="1"/>
  <c r="U2096" i="3"/>
  <c r="V2096" i="3" s="1"/>
  <c r="U2097" i="3"/>
  <c r="V2097" i="3" s="1"/>
  <c r="U2098" i="3"/>
  <c r="V2098" i="3" s="1"/>
  <c r="U2099" i="3"/>
  <c r="V2099" i="3" s="1"/>
  <c r="U2100" i="3"/>
  <c r="V2100" i="3" s="1"/>
  <c r="U2101" i="3"/>
  <c r="V2101" i="3" s="1"/>
  <c r="U2102" i="3"/>
  <c r="V2102" i="3" s="1"/>
  <c r="U2103" i="3"/>
  <c r="V2103" i="3" s="1"/>
  <c r="U2104" i="3"/>
  <c r="V2104" i="3" s="1"/>
  <c r="U2105" i="3"/>
  <c r="V2105" i="3" s="1"/>
  <c r="U2106" i="3"/>
  <c r="V2106" i="3" s="1"/>
  <c r="U2107" i="3"/>
  <c r="V2107" i="3" s="1"/>
  <c r="U2108" i="3"/>
  <c r="V2108" i="3" s="1"/>
  <c r="U2109" i="3"/>
  <c r="V2109" i="3" s="1"/>
  <c r="U2110" i="3"/>
  <c r="V2110" i="3" s="1"/>
  <c r="U2111" i="3"/>
  <c r="V2111" i="3" s="1"/>
  <c r="U2112" i="3"/>
  <c r="V2112" i="3" s="1"/>
  <c r="U2113" i="3"/>
  <c r="V2113" i="3" s="1"/>
  <c r="U2114" i="3"/>
  <c r="V2114" i="3" s="1"/>
  <c r="U2115" i="3"/>
  <c r="V2115" i="3" s="1"/>
  <c r="U2116" i="3"/>
  <c r="V2116" i="3" s="1"/>
  <c r="U2117" i="3"/>
  <c r="V2117" i="3" s="1"/>
  <c r="U2118" i="3"/>
  <c r="V2118" i="3" s="1"/>
  <c r="U2119" i="3"/>
  <c r="V2119" i="3" s="1"/>
  <c r="U2120" i="3"/>
  <c r="V2120" i="3" s="1"/>
  <c r="U2121" i="3"/>
  <c r="V2121" i="3" s="1"/>
  <c r="U2122" i="3"/>
  <c r="V2122" i="3" s="1"/>
  <c r="U2123" i="3"/>
  <c r="V2123" i="3" s="1"/>
  <c r="U2124" i="3"/>
  <c r="V2124" i="3" s="1"/>
  <c r="U2125" i="3"/>
  <c r="V2125" i="3" s="1"/>
  <c r="U2126" i="3"/>
  <c r="V2126" i="3" s="1"/>
  <c r="U2127" i="3"/>
  <c r="V2127" i="3" s="1"/>
  <c r="U2128" i="3"/>
  <c r="V2128" i="3" s="1"/>
  <c r="U2129" i="3"/>
  <c r="V2129" i="3" s="1"/>
  <c r="U2130" i="3"/>
  <c r="V2130" i="3" s="1"/>
  <c r="U2131" i="3"/>
  <c r="V2131" i="3" s="1"/>
  <c r="U2132" i="3"/>
  <c r="V2132" i="3" s="1"/>
  <c r="U2133" i="3"/>
  <c r="V2133" i="3" s="1"/>
  <c r="U2134" i="3"/>
  <c r="V2134" i="3" s="1"/>
  <c r="U2135" i="3"/>
  <c r="V2135" i="3" s="1"/>
  <c r="U2136" i="3"/>
  <c r="V2136" i="3" s="1"/>
  <c r="U2137" i="3"/>
  <c r="V2137" i="3" s="1"/>
  <c r="V5" i="3"/>
  <c r="V21" i="3"/>
  <c r="V25" i="3"/>
  <c r="V37" i="3"/>
  <c r="V45" i="3"/>
  <c r="V47" i="3"/>
  <c r="V76" i="3"/>
  <c r="V104" i="3"/>
  <c r="V156" i="3"/>
  <c r="V172" i="3"/>
  <c r="V197" i="3"/>
  <c r="V236" i="3"/>
  <c r="V244" i="3"/>
  <c r="V328" i="3"/>
  <c r="V333" i="3"/>
  <c r="V361" i="3"/>
  <c r="V364" i="3"/>
  <c r="V393" i="3"/>
  <c r="V412" i="3"/>
  <c r="V520" i="3"/>
  <c r="V697" i="3"/>
  <c r="V717" i="3"/>
  <c r="V753" i="3"/>
  <c r="V769" i="3"/>
  <c r="V856" i="3"/>
  <c r="V928" i="3"/>
  <c r="V968" i="3"/>
  <c r="V985" i="3"/>
  <c r="V1117" i="3"/>
  <c r="V1173" i="3"/>
  <c r="V1197" i="3"/>
  <c r="V1265" i="3"/>
  <c r="V1548" i="3"/>
  <c r="V1728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Q2" i="3"/>
  <c r="S2" i="3"/>
  <c r="M3" i="15" l="1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5" i="16" l="1"/>
  <c r="M6" i="16"/>
  <c r="M7" i="16"/>
  <c r="M8" i="16"/>
  <c r="M9" i="16"/>
  <c r="M10" i="16"/>
  <c r="M11" i="16"/>
  <c r="M12" i="16"/>
  <c r="M13" i="16"/>
  <c r="M14" i="16"/>
  <c r="M15" i="16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T2" i="3" l="1"/>
  <c r="U2" i="3"/>
  <c r="V2" i="3" s="1"/>
  <c r="W2" i="3"/>
  <c r="X2" i="3"/>
  <c r="M115" i="19" l="1"/>
  <c r="M4" i="16"/>
  <c r="M3" i="16"/>
  <c r="L3" i="22" l="1"/>
  <c r="K3" i="22"/>
  <c r="J3" i="22"/>
  <c r="I3" i="22"/>
  <c r="H3" i="22"/>
  <c r="G3" i="22"/>
  <c r="F3" i="22"/>
  <c r="E3" i="22"/>
  <c r="D3" i="22"/>
  <c r="C3" i="22"/>
  <c r="B3" i="22"/>
  <c r="M2" i="22"/>
  <c r="M114" i="19"/>
  <c r="C15" i="13"/>
  <c r="M3" i="22" l="1"/>
  <c r="B16" i="16" l="1"/>
  <c r="M2" i="16"/>
  <c r="M16" i="16" s="1"/>
  <c r="B20" i="20"/>
  <c r="C18" i="13"/>
  <c r="C16" i="13"/>
  <c r="C17" i="13"/>
  <c r="M2" i="15" l="1"/>
  <c r="M179" i="19"/>
  <c r="L179" i="19"/>
  <c r="K179" i="19"/>
  <c r="J179" i="19"/>
  <c r="I179" i="19"/>
  <c r="H179" i="19"/>
  <c r="G179" i="19"/>
  <c r="F179" i="19"/>
  <c r="E179" i="19"/>
  <c r="D179" i="19"/>
  <c r="C179" i="19"/>
  <c r="B179" i="19"/>
  <c r="M265" i="15" l="1"/>
  <c r="L265" i="15"/>
  <c r="K265" i="15"/>
  <c r="J265" i="15"/>
  <c r="I265" i="15"/>
  <c r="H265" i="15"/>
  <c r="G265" i="15"/>
  <c r="F265" i="15"/>
  <c r="E265" i="15"/>
  <c r="D265" i="15"/>
  <c r="C265" i="15"/>
  <c r="B265" i="15"/>
</calcChain>
</file>

<file path=xl/sharedStrings.xml><?xml version="1.0" encoding="utf-8"?>
<sst xmlns="http://schemas.openxmlformats.org/spreadsheetml/2006/main" count="29493" uniqueCount="3506">
  <si>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</si>
  <si>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</si>
  <si>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</si>
  <si>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</si>
  <si>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</si>
  <si>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</si>
  <si>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</si>
  <si>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</si>
  <si>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</si>
  <si>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</si>
  <si>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</si>
  <si>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</si>
  <si>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</si>
  <si>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</si>
  <si>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</si>
  <si>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</si>
  <si>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</si>
  <si>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</si>
  <si>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</si>
  <si>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</si>
  <si>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</si>
  <si>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</si>
  <si>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SISTEMA AUTOMATIZADO PRESTAMO BICICLETAS VALLABICI</t>
  </si>
  <si>
    <t>PrNegSP - Procedimiento Negociado Sin Publicidad</t>
  </si>
  <si>
    <t>CONSUMO BIOMASA 2018 A 2026.-</t>
  </si>
  <si>
    <t>Obras - De Obras</t>
  </si>
  <si>
    <t>ADO</t>
  </si>
  <si>
    <t>CONCEPTO</t>
  </si>
  <si>
    <t>Referencia</t>
  </si>
  <si>
    <t>Nombre Ter.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</si>
  <si>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</si>
  <si>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</si>
  <si>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</si>
  <si>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</si>
  <si>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</si>
  <si>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</si>
  <si>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</si>
  <si>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</si>
  <si>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</si>
  <si>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</si>
  <si>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</si>
  <si>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</si>
  <si>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</si>
  <si>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</si>
  <si>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</si>
  <si>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</si>
  <si>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</si>
  <si>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</si>
  <si>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</si>
  <si>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</si>
  <si>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</si>
  <si>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</si>
  <si>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</si>
  <si>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</si>
  <si>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</si>
  <si>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</si>
  <si>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</si>
  <si>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</si>
  <si>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</si>
  <si>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</si>
  <si>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</si>
  <si>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</si>
  <si>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</si>
  <si>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</si>
  <si>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</si>
  <si>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</si>
  <si>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</si>
  <si>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</si>
  <si>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</si>
  <si>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</si>
  <si>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</si>
  <si>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</si>
  <si>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</si>
  <si>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</si>
  <si>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</si>
  <si>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</si>
  <si>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</si>
  <si>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</si>
  <si>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</si>
  <si>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</si>
  <si>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FORMACAL, S.L.</t>
  </si>
  <si>
    <t>JOSE GARCIA GONZALEZ</t>
  </si>
  <si>
    <t>AGUAPURA AGUAVIVA, S.L.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</si>
  <si>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</si>
  <si>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</si>
  <si>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</si>
  <si>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</si>
  <si>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</si>
  <si>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</si>
  <si>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</si>
  <si>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</si>
  <si>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</si>
  <si>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</si>
  <si>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</si>
  <si>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</si>
  <si>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</si>
  <si>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</si>
  <si>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</si>
  <si>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</si>
  <si>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</si>
  <si>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</si>
  <si>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</si>
  <si>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</si>
  <si>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</si>
  <si>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</si>
  <si>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</si>
  <si>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</si>
  <si>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</si>
  <si>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</si>
  <si>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</si>
  <si>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</si>
  <si>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</si>
  <si>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</si>
  <si>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</si>
  <si>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</si>
  <si>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</si>
  <si>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</si>
  <si>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</si>
  <si>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</si>
  <si>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</si>
  <si>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</si>
  <si>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</si>
  <si>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</si>
  <si>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</si>
  <si>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</si>
  <si>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</si>
  <si>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</si>
  <si>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</si>
  <si>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</si>
  <si>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BILBAO</t>
  </si>
  <si>
    <t>GRUPO ELECTRO STOCKS, S.L.</t>
  </si>
  <si>
    <t>SCAFO EVENTOS, S.L.</t>
  </si>
  <si>
    <t>ALLENDE ACTIVIDADES DE OCIO Y TIEMPO LIBRE,  S.L.</t>
  </si>
  <si>
    <t>SERVICIOS COMIDAS Y ACTIVIDADES SOCIALES, S.L.</t>
  </si>
  <si>
    <t>PALENCIA</t>
  </si>
  <si>
    <t>VALLAOCIO, S.L.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</si>
  <si>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</si>
  <si>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</si>
  <si>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</si>
  <si>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</si>
  <si>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</si>
  <si>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</si>
  <si>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</si>
  <si>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</si>
  <si>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SEGOVIA</t>
  </si>
  <si>
    <t>EMCO VIDEO INDUSTRIAL, S.L.U.</t>
  </si>
  <si>
    <t>SOCIEDAD ESTATAL CORREOS TELEGRAFOS, S.A</t>
  </si>
  <si>
    <t>I G M, INGENIERIA Y GESTION MEDIOAMBIENTAL, S.L.</t>
  </si>
  <si>
    <t>ANTON CENTRO ESPECIAL DE EMPLEO, S.L</t>
  </si>
  <si>
    <t>SERVICIOS OSGA, S.L.</t>
  </si>
  <si>
    <t>LA RIOJA</t>
  </si>
  <si>
    <t>BURGOS</t>
  </si>
  <si>
    <t>SERVICIOS INTEGRALES BERZOSAS XXI S.L.</t>
  </si>
  <si>
    <t>EIFFAGE ENERGIA S.L.U.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</si>
  <si>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</si>
  <si>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</si>
  <si>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</si>
  <si>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</si>
  <si>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</si>
  <si>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</si>
  <si>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</si>
  <si>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</si>
  <si>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</si>
  <si>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</si>
  <si>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</si>
  <si>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</si>
  <si>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</si>
  <si>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</si>
  <si>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</si>
  <si>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</si>
  <si>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VIZCAYA</t>
  </si>
  <si>
    <t>MALAGA</t>
  </si>
  <si>
    <t>D</t>
  </si>
  <si>
    <t>300</t>
  </si>
  <si>
    <t>PROTEXVALL SOCIEDAD COOPERATIVA</t>
  </si>
  <si>
    <t>ASPAMA CONTROL DE PLAGAS,S.L.</t>
  </si>
  <si>
    <t>GUERRO PAPELERIAS, S.L.</t>
  </si>
  <si>
    <t>HUELLAS VET PET, S.L.</t>
  </si>
  <si>
    <t>LOCUS AVIS S.L.</t>
  </si>
  <si>
    <t>CASA AMBROSIO RODRIGUEZ, S.L.</t>
  </si>
  <si>
    <t>NAVARRA</t>
  </si>
  <si>
    <t>230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</si>
  <si>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</si>
  <si>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</si>
  <si>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</si>
  <si>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</si>
  <si>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</si>
  <si>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</si>
  <si>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</si>
  <si>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</si>
  <si>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</si>
  <si>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</si>
  <si>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</si>
  <si>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</si>
  <si>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</si>
  <si>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</si>
  <si>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</si>
  <si>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</si>
  <si>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</si>
  <si>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EXCLUSIVAS MAOR, S.L.</t>
  </si>
  <si>
    <t>CASTILLA VEHICULOS INDUSTRIALES S.A.</t>
  </si>
  <si>
    <t>ZINET MEDIA GLOBAL S.L.</t>
  </si>
  <si>
    <t>EDITORIAL TORRE DE PAPEL, S.L.</t>
  </si>
  <si>
    <t>ARROYO, S.A.</t>
  </si>
  <si>
    <t>HERRERO Y NUÑEZ MOTOR, S.L.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</si>
  <si>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</si>
  <si>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</si>
  <si>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</si>
  <si>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</si>
  <si>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</si>
  <si>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</si>
  <si>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</si>
  <si>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</si>
  <si>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</si>
  <si>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</si>
  <si>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</si>
  <si>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</si>
  <si>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</si>
  <si>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</si>
  <si>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</si>
  <si>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</si>
  <si>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</si>
  <si>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</si>
  <si>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</si>
  <si>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</si>
  <si>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</si>
  <si>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</si>
  <si>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</si>
  <si>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</si>
  <si>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</si>
  <si>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</si>
  <si>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</si>
  <si>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</si>
  <si>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</si>
  <si>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</si>
  <si>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</si>
  <si>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</si>
  <si>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</si>
  <si>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</si>
  <si>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</si>
  <si>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</si>
  <si>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</si>
  <si>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</si>
  <si>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</si>
  <si>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</si>
  <si>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</si>
  <si>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</si>
  <si>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</si>
  <si>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</si>
  <si>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</si>
  <si>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</si>
  <si>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</si>
  <si>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</si>
  <si>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</si>
  <si>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</si>
  <si>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</si>
  <si>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</si>
  <si>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</si>
  <si>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</si>
  <si>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</si>
  <si>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AVILA ASISTENCIA S.L.</t>
  </si>
  <si>
    <t>BENADOOR, S.L.</t>
  </si>
  <si>
    <t>AUTO INYECCION VICENTE, S.A.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</si>
  <si>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</si>
  <si>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</si>
  <si>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</si>
  <si>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</si>
  <si>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</si>
  <si>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</si>
  <si>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</si>
  <si>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</si>
  <si>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</si>
  <si>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</si>
  <si>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</si>
  <si>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</si>
  <si>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</si>
  <si>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</si>
  <si>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</si>
  <si>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</si>
  <si>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</si>
  <si>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</si>
  <si>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</si>
  <si>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</si>
  <si>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</si>
  <si>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</si>
  <si>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</si>
  <si>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</si>
  <si>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</si>
  <si>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</si>
  <si>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</si>
  <si>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</si>
  <si>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</si>
  <si>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</si>
  <si>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</si>
  <si>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</si>
  <si>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</si>
  <si>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</si>
  <si>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</si>
  <si>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</si>
  <si>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</si>
  <si>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</si>
  <si>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</si>
  <si>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</si>
  <si>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</si>
  <si>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</si>
  <si>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</si>
  <si>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</si>
  <si>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</si>
  <si>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</si>
  <si>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</si>
  <si>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</si>
  <si>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</si>
  <si>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</si>
  <si>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</si>
  <si>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</si>
  <si>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</si>
  <si>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</si>
  <si>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</si>
  <si>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</si>
  <si>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</si>
  <si>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</si>
  <si>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</si>
  <si>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</si>
  <si>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</si>
  <si>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</si>
  <si>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</si>
  <si>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</si>
  <si>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</si>
  <si>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</si>
  <si>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</si>
  <si>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</si>
  <si>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</si>
  <si>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</si>
  <si>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</si>
  <si>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</si>
  <si>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</si>
  <si>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</si>
  <si>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</si>
  <si>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</si>
  <si>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</si>
  <si>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</si>
  <si>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</si>
  <si>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</si>
  <si>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</si>
  <si>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</si>
  <si>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</si>
  <si>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</si>
  <si>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</si>
  <si>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</si>
  <si>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</si>
  <si>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</si>
  <si>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</si>
  <si>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</si>
  <si>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</si>
  <si>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</si>
  <si>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</si>
  <si>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</si>
  <si>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</si>
  <si>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</si>
  <si>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</si>
  <si>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</si>
  <si>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</si>
  <si>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</si>
  <si>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</si>
  <si>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</si>
  <si>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</si>
  <si>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</si>
  <si>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</si>
  <si>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</si>
  <si>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</si>
  <si>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</si>
  <si>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</si>
  <si>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</si>
  <si>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</si>
  <si>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</si>
  <si>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</si>
  <si>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</si>
  <si>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</si>
  <si>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</si>
  <si>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</si>
  <si>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</si>
  <si>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</si>
  <si>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</si>
  <si>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</si>
  <si>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</si>
  <si>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</si>
  <si>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</si>
  <si>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</si>
  <si>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</si>
  <si>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</si>
  <si>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</si>
  <si>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</si>
  <si>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</si>
  <si>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</si>
  <si>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</si>
  <si>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</si>
  <si>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</si>
  <si>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</si>
  <si>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</si>
  <si>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</si>
  <si>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</si>
  <si>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</si>
  <si>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</si>
  <si>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</si>
  <si>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</si>
  <si>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</si>
  <si>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</si>
  <si>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</si>
  <si>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</si>
  <si>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</si>
  <si>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</si>
  <si>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</si>
  <si>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</si>
  <si>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</si>
  <si>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</si>
  <si>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</si>
  <si>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</si>
  <si>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</si>
  <si>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</si>
  <si>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</si>
  <si>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</si>
  <si>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</si>
  <si>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</si>
  <si>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</si>
  <si>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</si>
  <si>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</si>
  <si>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</si>
  <si>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</si>
  <si>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</si>
  <si>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</si>
  <si>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</si>
  <si>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</si>
  <si>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</si>
  <si>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</si>
  <si>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</si>
  <si>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</si>
  <si>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</si>
  <si>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</si>
  <si>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</si>
  <si>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</si>
  <si>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</si>
  <si>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</si>
  <si>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</si>
  <si>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</si>
  <si>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</si>
  <si>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</si>
  <si>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</si>
  <si>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</si>
  <si>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</si>
  <si>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</si>
  <si>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</si>
  <si>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</si>
  <si>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</si>
  <si>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</si>
  <si>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</si>
  <si>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</si>
  <si>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</si>
  <si>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</si>
  <si>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</si>
  <si>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</si>
  <si>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</si>
  <si>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</si>
  <si>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</si>
  <si>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ZAMORA</t>
  </si>
  <si>
    <t>BOBILLO Y ASOCIADOS ARQUITECTOS S.L.</t>
  </si>
  <si>
    <t>CRISTAL AUTO VALLADOLID S.L.</t>
  </si>
  <si>
    <t>TINLOHI, S.L.</t>
  </si>
  <si>
    <t>RECICLAJE DE CONSUMIBLES OFIMÁTICOS IBAIZABAL, S. L.</t>
  </si>
  <si>
    <t>VALLADOLID AUTOMOVIL S.A.</t>
  </si>
  <si>
    <t>SRCL CONSENUR, S.L.U.</t>
  </si>
  <si>
    <t>GLAXOSMITHKLINE, S.A.</t>
  </si>
  <si>
    <t>ARCOVET PRODUCTOS VETERINARIOS SL</t>
  </si>
  <si>
    <t>ELECTRO-INDUX, S.L.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</si>
  <si>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</si>
  <si>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</si>
  <si>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</si>
  <si>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</si>
  <si>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</si>
  <si>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AGRUPACION DE QUIMICOS INDUSTRIALES,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</si>
  <si>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</si>
  <si>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</si>
  <si>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</si>
  <si>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</si>
  <si>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SUSTEC OUTSOURCING, S.L.</t>
  </si>
  <si>
    <t>Total General Servicios</t>
  </si>
  <si>
    <t>Total General Obras</t>
  </si>
  <si>
    <t>OVIEDO</t>
  </si>
  <si>
    <t>GENERALI  ESPAÑA, S.A. DE SEGUROS Y REASEGUROS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</si>
  <si>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</si>
  <si>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</si>
  <si>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</si>
  <si>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</si>
  <si>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</si>
  <si>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</si>
  <si>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</si>
  <si>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REAJUSTE ANUALIDADES CONTRATO SEÑALIZACION VIAL LOTE 2</t>
  </si>
  <si>
    <t>TEVASEÑAL S.A.</t>
  </si>
  <si>
    <t>JESÚS GUTIÉRREZ  SIERRA</t>
  </si>
  <si>
    <t>CONSTRUCCIONES SANCHEZ ROMERA, S.L.</t>
  </si>
  <si>
    <t>BILBAO C.A. SEGUROS Y REASEGUROS</t>
  </si>
  <si>
    <t>T-SYSTEMS ITC IBERIA S.A.</t>
  </si>
  <si>
    <t>ALICANTE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</si>
  <si>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</si>
  <si>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</si>
  <si>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</si>
  <si>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</si>
  <si>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</si>
  <si>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</si>
  <si>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</si>
  <si>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</si>
  <si>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</si>
  <si>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</si>
  <si>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</si>
  <si>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MAJADAHONDA</t>
  </si>
  <si>
    <t>GOMSEGUR, S.L.</t>
  </si>
  <si>
    <t>VALDEMORO</t>
  </si>
  <si>
    <t>CONTRATACION SERVICIO DE ESTANCIAS DIURNAS 2020,2021 Y ENE-NOV 2022- LOTE 1 ATENCION GENERAL SED</t>
  </si>
  <si>
    <t>ZURICH INSURANCE PLC SUCURSAL EN ESPAÑA</t>
  </si>
  <si>
    <t>VALLADOLID (POLIGONO SAN CRISTOBAL)</t>
  </si>
  <si>
    <t>LLANERA</t>
  </si>
  <si>
    <t>LA CISTERNIGA</t>
  </si>
  <si>
    <t>AMPLIACIÓN ÁREA REGULADA ORA 2020 - 2026</t>
  </si>
  <si>
    <t>GUARROMAN</t>
  </si>
  <si>
    <t>JAEN</t>
  </si>
  <si>
    <t>VILLAMURIEL DE CERRATO</t>
  </si>
  <si>
    <t>SANTOVENIA DE PISUERGA</t>
  </si>
  <si>
    <t>GETXO</t>
  </si>
  <si>
    <t>LOGROÑO</t>
  </si>
  <si>
    <t>OSSA DE MONTIEL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</si>
  <si>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</si>
  <si>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</si>
  <si>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</si>
  <si>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</si>
  <si>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MEDINA DEL CAMPO</t>
  </si>
  <si>
    <t>SANTIAGO DE COMPOSTELA</t>
  </si>
  <si>
    <t>CONSORCIO DE MANIPULADO Y SERVICIOS POSTALES SL</t>
  </si>
  <si>
    <t>TAMARES</t>
  </si>
  <si>
    <t>DIRECCION FACULT. DE OBRAS.CPM PARQUESOL CON SED Y BIBLIOTECA MPAL.</t>
  </si>
  <si>
    <t>TARREGA</t>
  </si>
  <si>
    <t>ARROYO DE LA ENCOMIENDA</t>
  </si>
  <si>
    <t>SUMINISTRO DE FUNGIBLES DE IMPRESIÓN ORIGINALES, LOTE 1</t>
  </si>
  <si>
    <t>BASAURI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</si>
  <si>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</si>
  <si>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</si>
  <si>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</si>
  <si>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</si>
  <si>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</si>
  <si>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</si>
  <si>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CONTRATACIÓN PARA MIGRACIÓN DE DATOS, ALOJAMIENTO, SOPORTE Y MANTENIMIENTO DE LOS SITIOS WEB DE LA AGENCIA DE INNOVACIÓN</t>
  </si>
  <si>
    <t>ECIJA</t>
  </si>
  <si>
    <t>AGORA ESTUDIOS DE MERCADO, S.L.</t>
  </si>
  <si>
    <t>CONTRATACION SERVICIO DE ESTANCIAS DIURNAS DEL CPM RONDILLA 2020,2021 Y ENE-NOV 2022- LOTE 2</t>
  </si>
  <si>
    <t>LAGUNA DE DUERO</t>
  </si>
  <si>
    <t>EL PINAR DE ANTEQUERA</t>
  </si>
  <si>
    <t>CONTRATO SERVICIO ASESORAMIENTO FISCAL AYUNTAMIENTO Y ENTIDADES DEPENDIENTES AÑOS 2020-21-22 Y 23</t>
  </si>
  <si>
    <t>RIBARROJA DEL TURIA</t>
  </si>
  <si>
    <t>KEYCOES COMUNICACION S.L.</t>
  </si>
  <si>
    <t>CONTROL DE CALIDAD CONTRATO SEÑALIZACION VIAL LOTE 2. 2020 Y 2021</t>
  </si>
  <si>
    <t>CISTERNIGA</t>
  </si>
  <si>
    <t>VIGO</t>
  </si>
  <si>
    <t>SUMINISTRO DE FUNGIBLES DE IMPRESIÓN COMPATIBLES, LOTE 2</t>
  </si>
  <si>
    <t>LEGANES</t>
  </si>
  <si>
    <t>LA FLECHA</t>
  </si>
  <si>
    <t>CONTROL DE CALIDAD CONTRATO DE SEÑALIZACION VIAL LOTE 1. 2020 Y 2021</t>
  </si>
  <si>
    <t>MATARÓ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</si>
  <si>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</si>
  <si>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</si>
  <si>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</si>
  <si>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</si>
  <si>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SAN SEBASTIAN DE LOS REYES</t>
  </si>
  <si>
    <t>SERVICIOS DE PRENSA COMUNICAPLUS, S.A.</t>
  </si>
  <si>
    <t>GETAFE</t>
  </si>
  <si>
    <t>SAN FERNANDO DE HENARES</t>
  </si>
  <si>
    <t>FUENSALDAÑA</t>
  </si>
  <si>
    <t>ALTERNATIVAS ECONÓMICAS, S.C.C.L.</t>
  </si>
  <si>
    <t>LA VALCUEVA</t>
  </si>
  <si>
    <t>VALDELAFUENTE</t>
  </si>
  <si>
    <t>CTTO DE ASESORAMIENTO DE DCHO DE FAMILIA Y LEY DE 2ª OPORTUNIDAD 2020-2021 HASTA ABRIL 2022</t>
  </si>
  <si>
    <t>PEÑAFIEL</t>
  </si>
  <si>
    <t>TORDESILLAS</t>
  </si>
  <si>
    <t>POZUELO DE ALARCON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</si>
  <si>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</si>
  <si>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</si>
  <si>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</si>
  <si>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</si>
  <si>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</si>
  <si>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</si>
  <si>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</si>
  <si>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Recarga periódica de las botellas de O2 y de Ar/CO2 para los equipos de oxicorte.-</t>
  </si>
  <si>
    <t>1A INGENIEROS,  S.L.P.</t>
  </si>
  <si>
    <t>ELECTROTECNIA CASTILLA Y LEON SL</t>
  </si>
  <si>
    <t>BIOTRAN GESTION DE RESIDUOS, S.L.</t>
  </si>
  <si>
    <t>FIRST STOP SOUTHWEST, S.A.U.</t>
  </si>
  <si>
    <t>VODAFONE ESPAÑA, S.A.U.</t>
  </si>
  <si>
    <t>SKYNET INFORMATICA SL</t>
  </si>
  <si>
    <t>TRULYESPAÑA, S.L.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</si>
  <si>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</si>
  <si>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</si>
  <si>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</si>
  <si>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</si>
  <si>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</si>
  <si>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</si>
  <si>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</si>
  <si>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</si>
  <si>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</si>
  <si>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</si>
  <si>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</si>
  <si>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</si>
  <si>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</si>
  <si>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</si>
  <si>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</si>
  <si>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</si>
  <si>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</si>
  <si>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</si>
  <si>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</si>
  <si>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</si>
  <si>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</si>
  <si>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</si>
  <si>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</si>
  <si>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</si>
  <si>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</si>
  <si>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</si>
  <si>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</si>
  <si>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</si>
  <si>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</si>
  <si>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</si>
  <si>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</si>
  <si>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</si>
  <si>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</si>
  <si>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</si>
  <si>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</si>
  <si>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</si>
  <si>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</si>
  <si>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MURCIA</t>
  </si>
  <si>
    <t>A.C. TRADIBERICA MUSICAS TRADICIONALES</t>
  </si>
  <si>
    <t>MUCIENTES</t>
  </si>
  <si>
    <t>A.T. MEDTRA, S.L.</t>
  </si>
  <si>
    <t>SE 3/2018 P.S. 2. PRORROGA CONTRATO PROGRAMA ABSENTISMO ESCOLAR EN EL AYTO DE VALLADOLID. AÑO 2021 Y 01/01/22 A 31/08/22</t>
  </si>
  <si>
    <t>Contrato con ACQUAJET para el suministro de botellas de agua para la Dirección del Área de Movilidad y Espacio Urbano</t>
  </si>
  <si>
    <t>AGILENT TECHNOLOGIES SPAIN, S.L.</t>
  </si>
  <si>
    <t>ADJUDICACION CONTRATO SERV. MANTENIMIENTO OBSERVATORIO CULTURAL Y TURISTICO CIUDAD DE VALLADOLID. LOTE 2,  AÑOS 2020-23</t>
  </si>
  <si>
    <t>AGROSELECTA S.A.</t>
  </si>
  <si>
    <t>SUMINISTRO DE LA IMPRESIÓN CORPORATIVA, CDIT</t>
  </si>
  <si>
    <t>PRÓRROGA CONTRATO IMPRESIÓN CORPORATIVA</t>
  </si>
  <si>
    <t>Alquiler fotocopiadoras Área Mov. y Espacio Urbano (SEMEU-CONCEJ pta 38, LIC pta 19, SCIE pta 18 bis, INF. URB. pta 9)</t>
  </si>
  <si>
    <t>SISTEMAS IMPRESIÓN TESORERÍA Y RECAUDACIÓN</t>
  </si>
  <si>
    <t>Consumos fotocopiadoras Área Mov. y Espacio Urbano (SEMEU-CONCEJ pta 38, LIC pta 19, SCIE pta 18 bis, INF. URB. pta 9)</t>
  </si>
  <si>
    <t>PRÓRROGA DEL CONTRATO DE IMPRESIÓN CORPORATIVA. EXPEDIENTE SE 53/2019. SERVICIO DE MEDIO AMBIENTE Y SECRETARÍA EJECUTIVA</t>
  </si>
  <si>
    <t>PRÓRROGA DEL SUMINISTRO DE LA IMPRESIÓN CORPORATIVA , CDIT</t>
  </si>
  <si>
    <t>PRÓRROGA CONTRATO IMPRESIÓN CENTRALIZADA MANTENIMIENTO Y COPIAS FOTOCOPIADORAS ÁREA DE CULTURA Y TURISMO</t>
  </si>
  <si>
    <t>ALVIBESA MOTOR, S.L.</t>
  </si>
  <si>
    <t>ALVAREZ Y MATEO ARQUITECTOS, SL</t>
  </si>
  <si>
    <t>ANGEL JAVIER LINARES ARRANZ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</si>
  <si>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</si>
  <si>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</si>
  <si>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</si>
  <si>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</si>
  <si>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SILLA</t>
  </si>
  <si>
    <t>ARASTI BARCA M.A., S.L.</t>
  </si>
  <si>
    <t>EXPTE. SE-EIJI 10/2020. CTTO GESTION EIM PLATERO LOTE 8. AÑO 2021. 01/01 A 31/08/2022</t>
  </si>
  <si>
    <t>CONTRATO DE SUMINISTRO DE MEDICAMENTOS Y PIENSOS PARA EL CENTRO MUNICIPAL DE PROTECCIÓN ANIMAL - LOTE 2</t>
  </si>
  <si>
    <t>ARGAVALLADOLID, S.L.L.</t>
  </si>
  <si>
    <t>EXPTE. SE-EIJI 10/2020. CTTO GESTION EIM CAMPANILLA LOTE 1. AÑO 2021. 01/01 A 31/08/2022</t>
  </si>
  <si>
    <t>EXPTE. SE-EIJI 10/2020. CTTO GESTION EIM PRINCIPITO LOTE 3. AÑO 2021. 01/01 A 31/08/2022</t>
  </si>
  <si>
    <t>CTTO MANTENIMIENTO ASCENSORES COLEGIOS MUNICIPALES 2021 Y 2022 LOTE 1</t>
  </si>
  <si>
    <t>CTTO MANTENIMIENTO ASCENSORES EM MUSICA MARIANO DE LAS HERAS 2021 Y 2022 LOTE 1</t>
  </si>
  <si>
    <t>CTTO MANTENIMIENTO ASCENSORES ESPACIO JOVEN NORTE 2021-2022 LOTE 1</t>
  </si>
  <si>
    <t>GIJON</t>
  </si>
  <si>
    <t>AURUM REGALOS PUBLICITARIOS,S.L.</t>
  </si>
  <si>
    <t>ASTIBOT INGENIERIA INFORMATICA ROBOTICA Y DOMOTICA SL</t>
  </si>
  <si>
    <t>Mantenimiento de la aplicación de presupuestos visuales del Ayuntamiento de Valladolid ""Las Cuentas Claras""</t>
  </si>
  <si>
    <t>AYUDAS TÉCNICAS A LA COOPERACIÓN, S.L.</t>
  </si>
  <si>
    <t>BETON CATALAN, S.A.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</si>
  <si>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</si>
  <si>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</si>
  <si>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BJS AUTOMATISMOS,S.L.</t>
  </si>
  <si>
    <t>ACUERDO MARCO 2017/36, MATERIAL ELECTRICO.</t>
  </si>
  <si>
    <t>CONTRATO DE MANTENIMIENTO DE LOS COLEGIOS PUBLICOS MUNICIPALES (LOTE 1). AÑOS: 2021-2022</t>
  </si>
  <si>
    <t>CONTRATO DE MANTENIMIENTO DE LA ESCUELA MUNICIPAL DE MUSICA (LOTE 1). AÑOS: 2021-2022</t>
  </si>
  <si>
    <t>CONTRATO DE MANTENIMIENTO DE LAS BIBLIOTECAS PUBLICAS MUNICIPALES (LOTE 1). AÑOS: 2021-2022</t>
  </si>
  <si>
    <t>CONTRATO DE SUMINISTRO DE MEDICAMENTOS Y PIENSOS PARA EL CENTRO MUNICIPAL DE PROTECCION ANIMAL - LOTE 1</t>
  </si>
  <si>
    <t>CARLIBUR S.L.</t>
  </si>
  <si>
    <t>ASISTENCIA TÉCNICA OPERACIÓN, CAU, Y MANTENIMIENTO  DEL SOFTWARE DE BASE Y COMUNICACIONES LOTE 1 (PRIMERA PRÓRROGA)</t>
  </si>
  <si>
    <t>CENTRO DE JARDINERIA VIVEROS GIMENO, S.L.</t>
  </si>
  <si>
    <t>CAREN SAU</t>
  </si>
  <si>
    <t>CIRCE PRODUCCIONES TEATRALES, S.L.</t>
  </si>
  <si>
    <t>contrato ayuda a domicilio -lote 1- años 2021, 2022 y enero a agosto 2023</t>
  </si>
  <si>
    <t>COLEGIO NACIONAL SECRETARIOS, INTERVENTORES Y TESOREROS ADMON. LOCAL</t>
  </si>
  <si>
    <t>ACUERDO MARCO 2017/36, MATERIAL DE FERRETERIA.</t>
  </si>
  <si>
    <t>CERAMICAS SANCHEZ, S L</t>
  </si>
  <si>
    <t>SERVICIO DE SOPORTE AL DESARROLLO Y OFICINA DE CALIDAD DEL AYUNTAMIENTO DE VALLADOLID, LOTE 1</t>
  </si>
  <si>
    <t>CONSTRUCCIONES RAUL FERNANDEZ ALEGRE SL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</si>
  <si>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</si>
  <si>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</si>
  <si>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SERVICIO DE MANTENIMIENTO DE LA APLICACION INFORMATICA PRESTAVA, AÑOS 2021 Y 2022</t>
  </si>
  <si>
    <t>SERVICIO DE IMPRESION, PLEGADO Y ENSOBRADO DE ENVIOS POSTALES DEL AYTO. VALLADOLID - AÑOS 2021 Y 2022</t>
  </si>
  <si>
    <t>CONTRATO TRANSPORTE RESIDUOS LIMPIEZA VIARIA DESDE INSTALACIONES Sº LIMPIEZA A PLANTA DE TRATAMIENTO, 1-1-21 A 24-7-2022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</si>
  <si>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</si>
  <si>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</si>
  <si>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</si>
  <si>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</si>
  <si>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REAJUSTE DE ANUALIDADES X REDUCCION DE PLAZO DE EJECUCION DE 20 A 16 MESES-OBRA CPM PARQUESOL Y SED- AÑO 2021</t>
  </si>
  <si>
    <t>DIALOGASEX</t>
  </si>
  <si>
    <t>OURENSE</t>
  </si>
  <si>
    <t>SOPORTE Y MANTENIMIENTO DEL PORTAL Y SEDE ELECTRÓNICA DEL AYUNTAMIENTO DE VALLADOLID, BASADOS EN PROXIA SUITE</t>
  </si>
  <si>
    <t>DISTRIBUCION DE PAPEL CASTILLA Y LEON, S.A.</t>
  </si>
  <si>
    <t>DYNAMYCA SOSTENIBLE SL</t>
  </si>
  <si>
    <t>EXPTE. SE-EIJI 10/2020. CTTO GESTION EIM LA COMETA LOTE 5. AÑO 2021. 01/01 A 31/08/2022</t>
  </si>
  <si>
    <t>MANTENIMIENTO CORRECTIVO DE EQUIPOS DE RESPIRACIÓN AUTÓNOMA Y ACCESORIOS.</t>
  </si>
  <si>
    <t>DS SMITH RECYCLING SPAIN S.A.</t>
  </si>
  <si>
    <t>EXPTE. SE-EIJI 10/2020. CTTO GESTION EIM CASCANUECES. LOTE 2.  AÑO 2021. 01/01 A 31/08/2022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</si>
  <si>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</si>
  <si>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</si>
  <si>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</si>
  <si>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</si>
  <si>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</si>
  <si>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</si>
  <si>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</si>
  <si>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</si>
  <si>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CONTRATO SUMINISTRO GASÓLEO PARA VEHÍCULOS DEL S. DE LIMPIEZA VIARIA PARA LOS AÑOS 2021 Y 2022</t>
  </si>
  <si>
    <t>Acuerdo de la Junra de Gobierno,aprobación expte. PR-SE 38_2020 contratación suministro gasóleo automoción;SEISYPC</t>
  </si>
  <si>
    <t>ADJUDICACIÓN SUMINISTRO DE GASOLEO TIPO A.-</t>
  </si>
  <si>
    <t>CTTO COORDINACION ANIMACION DINAMIZACION Y SEGUIMIENTO ESPACIO JOVEN ZONA SUR LOTE 2. DEL 15/1/21 AL 14/1/23</t>
  </si>
  <si>
    <t>ACUERDO MARCO 2017/36, MATERIAL DE CERRAJERÍA.</t>
  </si>
  <si>
    <t>Contrato Servicio realización,emisión,grabación sesiones Plenos y otros eventos por Internet y sistema de video-actas</t>
  </si>
  <si>
    <t>MANTENIMIENTO INTEGRAL DE LA RED DE CONTROL DE LA CONTAMINACIÓN ATMOSFÉRICA DEL AYUNTAMIENTO DE VALLADOLID</t>
  </si>
  <si>
    <t>FUNDACION ENTRETANTOS</t>
  </si>
  <si>
    <t>ESTELA LLORENTE DEL RIO</t>
  </si>
  <si>
    <t>CONTRATO MENOR SERVICIO MANTENIMIENTO INTEGRAL DE INSTALACIONES CENTRO GALERIAS VALLADOLID. DEL 01-04-2021 AL 31-03-2022</t>
  </si>
  <si>
    <t>prórroga contrato de gestión del servicio de talleres ocupacionales de feb 21 a feb 22.</t>
  </si>
  <si>
    <t>SE 10/2020. LOTE 2. CONSERVACION Y MANTENIMIENTO ZONAS VERDES Y ARBOLADO.CMI.AÑO 2021 Y 01 DE ENERO A 22 DE SEPT DE 2022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</si>
  <si>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</si>
  <si>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</si>
  <si>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LIMPIEZA  POLIC. MUNICIPAL DEL 1 DE ENERO AL 31 DE DIC. 2021 Y DEL 1 DE ENERO AL 31 DIC. 2022 EX PR-SE. 31/20. LOTE 12</t>
  </si>
  <si>
    <t>ADJ.SERVICIO LIMPIEZA DE DEPENDENCIAS MUNICIPALES,(LOTE 1)C.CONSIST.SAN BENITO,STA. ANA,SOTO MED. AÑOS 2021 Y 2022</t>
  </si>
  <si>
    <t>FACTORÍA, GESTIÓN Y CONSULTORÍA, S.L.</t>
  </si>
  <si>
    <t>FLORISTERIA YERBA, COMUNIDAD DE BIENES</t>
  </si>
  <si>
    <t>ANIM. SOCIOC.Y PROM.ENVEJECIMIENTO ACTIVOPARA PERSONAS MAYORES SIN TRANS..- de 1/1/21 a 31/8/22</t>
  </si>
  <si>
    <t>ANIM.SOCIOC.Y PROM. ENVEJECIMIENTO ACTIVO PARA CPM TRANSFERIDOS de 1/1/21 a 15/09/22</t>
  </si>
  <si>
    <t>FORUM SPORT, S.A.</t>
  </si>
  <si>
    <t>FUNDACIÓN EMPRESA-UNIVERSIDAD GALLEGA (FEUGA)</t>
  </si>
  <si>
    <t>ILUNION LIMPIEZA Y MEDIO AMBIENTE, S.A.</t>
  </si>
  <si>
    <t>PR-SE 31/2020. CONTRATO CENTRALIZADO DE LIMPIEZA EDIFICIOS MUNICIPALES. AREA 06. COLEGIOS PUBLICOS. LOTE 6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</si>
  <si>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</si>
  <si>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</si>
  <si>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</si>
  <si>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</si>
  <si>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</si>
  <si>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</si>
  <si>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SUMINISTRO DE GASÓLEO PARA VEHÍCULOS DEL CENTRO DE FORMACIÓN PARA EL EMPLEO ""JACINTO BENAVENTE"". AÑO 2021 Y 2022</t>
  </si>
  <si>
    <t>INDRA SOLUCIONES TECNOLOGICAS DE LA INFOMACION S.L.U.</t>
  </si>
  <si>
    <t>2ª PRÓRROGA CONTRATO ""GESTIÓN INTEGRAL SISTEMA CENTRALIZADO DE CONTROL DE TRÁFICO DE VALLADOLID""_Enero-Agosto-2021</t>
  </si>
  <si>
    <t>HYBRID CAR,S.A.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</si>
  <si>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</si>
  <si>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</si>
  <si>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CONTRATO DE LIMPIEZA DE DEPENDENCIAS DE LA OFICINA MUNICIPAL DE INFORMACIÓN AL CONSUMIDOR AÑO 2021 Y 2022 - LOTE 9</t>
  </si>
  <si>
    <t>ADJUDICACION CONTRATO LIMPIEZA CASA DEL BARCO Y EDIFICIO ANEXO. 2021-2022. LOTE 9 . EXPTE. PR-S.E. 31/2020. CENTRALIZADO</t>
  </si>
  <si>
    <t>KACHE DISEÑO GRAFICO, C.B</t>
  </si>
  <si>
    <t>SERVICIOS DE CONTROL E INSPECCION S.A</t>
  </si>
  <si>
    <t>PROYECON GALICIA S.A.</t>
  </si>
  <si>
    <t>PEREIRO DE AGUIAR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</si>
  <si>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</si>
  <si>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</si>
  <si>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</si>
  <si>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HARAL 12 SERVICIOS Y OBRAS, S.L.</t>
  </si>
  <si>
    <t>SERVICIO DE CELADURIA DE LOS CPM  SIN TRANSFERIDOS DEL 1 DE ENERO DE 2021 AL 31 DE JULIO DE 2022</t>
  </si>
  <si>
    <t>CONTRATO LIMPIEZA PARA LOS CPM NO TRANSFERIDOS  DURANTE EL AÑO 2021 Y 2022</t>
  </si>
  <si>
    <t>CONTRATO LIMPIEZA PARA LOS CPM TRANSFERIDOS DURANTE EL AÑO 2021 Y 2022</t>
  </si>
  <si>
    <t>VEHICULOS CALLEJA, S.L.</t>
  </si>
  <si>
    <t>2ª PRÓRROGA MODIFICACIONES O REFORMAS ""GESTIÓN INTEGRAL SISTEMA CENTRALIZADO CONTROL TRÁFICO VALLADOLID""_Ene-Agos-2021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</si>
  <si>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</si>
  <si>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</si>
  <si>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</si>
  <si>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TITANIA COMPAÑIA EDITORIAL, S.L.</t>
  </si>
  <si>
    <t>CONTROL DE POBLACIONES DE PALOMA BRAVIA, PALOMA TORCAZ Y ESTORNINOS EN EL TERMINO MUNICIPAL DE VALLADOLID -LOTE 2-</t>
  </si>
  <si>
    <t>ACUERDO MARCO. SUMINISTRO DE MATERIAL PARA TALLER DE REPARACIÓN DE VEHÍCULOS DE POLICÍA.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</si>
  <si>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</si>
  <si>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</si>
  <si>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</si>
  <si>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</si>
  <si>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CONTRATO SUMINISTRO DE GASÓLEO DE AUTOMOCIÓN PARA VEHÍCULOS DE POLICÍA EJERCICIOS 2021 Y 2022.</t>
  </si>
  <si>
    <t>Servicio celaduría en CEAS de 1/1/2021 A 31/7/2022</t>
  </si>
  <si>
    <t>UTE LIMPIEZA DEPENDENCIAS AYUNTAMIENTO DE VALLADOLID</t>
  </si>
  <si>
    <t>CONTRATO SERVICIO LIMPIEZA DEPENDENCIAS PARQUES DE LAS ERAS Y CANTERAC DEL SEISYPC  AÑOS 2021_2022; EXPTE S.E. 31_2020.</t>
  </si>
  <si>
    <t>INETUM ESPAÑA S.A.</t>
  </si>
  <si>
    <t>SUMINISTRO DE LICENCIAS, MANTENIMIENTO Y ASISTENCIA TÉCNICA DEL GESTOR DOCUMENTAL ALFRESCO</t>
  </si>
  <si>
    <t>CONTRATO SERV. ASISTENCIA TECNICA PROGRAMA VALLADOLID COMO INTEGRANTE DE LA RED CIUDADES CREATIVAS DE LA UNESCO. 2021-24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</si>
  <si>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</si>
  <si>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</si>
  <si>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CONTRATO PARA SUMINISTRO DE GASÓLEO, SERVICIO DE PARQUES Y JARDINES.</t>
  </si>
  <si>
    <t>2ª PRÓRROGA REPARACIÓN Y AVERÍAS Y DAÑOS ""GESTIÓN INTEGRAL SISTEMA CENTRALIZADO CONTROL TRÁFICO VALLADOLID""_Ene-Agos2021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</si>
  <si>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</si>
  <si>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</si>
  <si>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</si>
  <si>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PAULEON AUTOMOCION, S.L.</t>
  </si>
  <si>
    <t>QUIMICOS LOPEZ ESCUDERO,S.L</t>
  </si>
  <si>
    <t>GUIPUZCOA</t>
  </si>
  <si>
    <t>OCA-DIDO, S.L.</t>
  </si>
  <si>
    <t>CONTRATO CENTRALIZADO. ADJUDICACION CELADURIA COLEGIOS PÚBLICOS. AÑO 2021 Y DEL 01 DE ENERO A 31 DE JULIO DE 2022.</t>
  </si>
  <si>
    <t>Contrato centralizado de limpieza dependencias municipales para 2021 y 2022. Edificio Agencia de Innovación.</t>
  </si>
  <si>
    <t>STRATEGIA INFINITA, S.L.</t>
  </si>
  <si>
    <t>ESCUELA DE PARTICIPACION CIUDADANA</t>
  </si>
  <si>
    <t>MANTENIMIENTO DE LA RED DE VOZ Y DATOS DEL AYUNTAMIENTO DE VALLADOLID</t>
  </si>
  <si>
    <t>TOTAL CONTROL BIONIC SL</t>
  </si>
  <si>
    <t>MAPFRE VIDA S.A. DE SEGUROS Y REASEGUROS SOBRE LA VIDA HUMANA</t>
  </si>
  <si>
    <t>EXPTE. SE-EIJI 10/2020. CTTO GESTION EIM EL TOBOGAN LOTE 6. AÑO 2021. 01/01 A 31/08/2022</t>
  </si>
  <si>
    <t>VALDESTILLAS</t>
  </si>
  <si>
    <t>IPROGES CONSULTING, S.L.</t>
  </si>
  <si>
    <t>PR-SE 31/2020. CONTRATO CENTRALIZADO DE LIMPIEZA EDIFICIOS MUNICIPALES. AREA 06.ESCUELA MUNICIPAL DE MUSICA. LOTE 7</t>
  </si>
  <si>
    <t>PR-SE 31/2020. CONTRATO CENTRALIZADO DE LIMPIEZA EDIFICIOS MUNICIPALES. AREA 06. ESCUELAS INFANTILES MUNICIPALES.LOTE 7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</si>
  <si>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</si>
  <si>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</si>
  <si>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PR-SE 31/2020. CONTRATO CENTRALIZADO DE LIMPIEZA EDIFICIOS MUNICIPALES. AREA 06.BIBLIOTECAS PUBLICAS MUNICIPALES.LOTE 7</t>
  </si>
  <si>
    <t>contrato ayuda a domicilio -lote 2 comidas SAD- años 2021, 2022 y enero a agosto 2023</t>
  </si>
  <si>
    <t>REVISTA DE DERECHO URBANISTICO</t>
  </si>
  <si>
    <t>CELADURIA OTROS CENTROS DEPENDIENTES DE P. CIUDADANA LOTE 4 2021 2022</t>
  </si>
  <si>
    <t>ADJ. (LOTE 2) SERVICIO LIMPIEZA DE DEPENDENCIAS MUNICIPALES ARCHIVO, EDIF.SALUD LAB.C.MÉDICO FLORES,  AÑOS 2021 Y 2022</t>
  </si>
  <si>
    <t>LIBRERIA OLETUM, SOCIEDAD LIMITADA</t>
  </si>
  <si>
    <t>GRUPO SIFU CASTILLA Y LEON SL</t>
  </si>
  <si>
    <t>SM SISTEMAS MEDIOAMBIENTALES S.L.</t>
  </si>
  <si>
    <t>GONZÁLEZ HIGUERA E HIJOS, S.L.</t>
  </si>
  <si>
    <t>UNIVERSIDAD DE VALLADOLID</t>
  </si>
  <si>
    <t>CONTRATO DE SUMINISTRO DE GASOLEO PARA LOS VEHÍCULOS DEL SERVICIO DE SALUD DURANTE LOS AÑOS 2021 Y 2022 - LOTE 4</t>
  </si>
  <si>
    <t>LAURA PEREZ BENITO</t>
  </si>
  <si>
    <t>MARIA RAQUEL ARRANZ VELEZ</t>
  </si>
  <si>
    <t>MANZANILLO</t>
  </si>
  <si>
    <t>SOLUCIONES EMPRESARIALES Y AUDITORIA, S.L.</t>
  </si>
  <si>
    <t>GABRIEL ALEJANDRO REYES GONZÁLEZ</t>
  </si>
  <si>
    <t>JORGE NEIRA DEL CAMPO</t>
  </si>
  <si>
    <t>VILLAMARTIN DE CAMPOS</t>
  </si>
  <si>
    <t>SAFETY METHS SEGURIDAD INDUSTRIAL S.L.</t>
  </si>
  <si>
    <t>SONEPAR IBERICA SPAIN S.A.U.</t>
  </si>
  <si>
    <t>RENTA GRUPO EDITORIAL, S.A.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</si>
  <si>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</si>
  <si>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</si>
  <si>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</si>
  <si>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</si>
  <si>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</si>
  <si>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</si>
  <si>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</si>
  <si>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</si>
  <si>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</si>
  <si>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U.T.E. SIFU MADRID BROCOLI AVA CENTROS CIVICOS Y MUNICIPALES</t>
  </si>
  <si>
    <t>CELADURIA CENTROS CIVICOS LOTE 3 2021 2022</t>
  </si>
  <si>
    <t>URALA SOLUTIONS, S.L.</t>
  </si>
  <si>
    <t>VITORIA</t>
  </si>
  <si>
    <t>ALAVA</t>
  </si>
  <si>
    <t>MARIA PILAR  CARBAJO RODRIGUEZ</t>
  </si>
  <si>
    <t>JOSE CARLOS CASTILLO GOMEZ</t>
  </si>
  <si>
    <t>VACODE, S.A.</t>
  </si>
  <si>
    <t>CONTRATO SUMINISTRO DE GASOLEO. SUMINISTRO CENTRALIZADO. AÑOS 2021 Y 2022. VEHICULO VINCULADO A LA CONCEJALIA EDUCACION</t>
  </si>
  <si>
    <t>TECNICAS DEL FUEL, S.L.</t>
  </si>
  <si>
    <t>ZARDOYA OTIS, S.A.</t>
  </si>
  <si>
    <t>ADJ.. EXPTE. MANTENIMIENTO ASCENSORES LOTE 3</t>
  </si>
  <si>
    <t>WILLIS IBERIA CORREDURIA DE SEGUROS Y REASEGUROS, S.A.</t>
  </si>
  <si>
    <t>TRABAJOS DE CONTROL DE CALIDAD EN CONTRATOS DE MOVILIDAD URBANA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</si>
  <si>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</si>
  <si>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</si>
  <si>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</si>
  <si>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TEKNOKROMA ANALITICA, S.A.</t>
  </si>
  <si>
    <t>SAN CUGAT DEL VALLES</t>
  </si>
  <si>
    <t>TRANSPORTE DE MATERIAL DE LA RED. SERVICIO MEDIO AMBIENTE</t>
  </si>
  <si>
    <t>INGENIERIA INTEGRAL DE PROYECTOS ABCONSULTORES S.L.</t>
  </si>
  <si>
    <t>REUQAV INGENIEROS S.L.</t>
  </si>
  <si>
    <t>EXPTE. 10S-SS-55/20. CONTROL DE CALIDAD. OBRA NUEVA. BIBLIOTECA EN PARCELA 143-F DE PARQUESOL</t>
  </si>
  <si>
    <t>EXPTE. 10S-SS-55/20. ESTUDIO DE SEGURIDAD Y SALUD. OBRA NUEVA. BIBLIOTECA EN PARCELA 143-F DE PARQUESOL</t>
  </si>
  <si>
    <t>Limpieza de las dependencias del Centro de Alumbrado Público. AÑOS 2021 y 2022.-</t>
  </si>
  <si>
    <t>HEWLETT-PACKARD INTERNATIONAL BANK PLC.</t>
  </si>
  <si>
    <t>TRIBUNA CONTENIDOS DIGITALES, S.L.</t>
  </si>
  <si>
    <t>MERCEDES PEREDA  RUIZ</t>
  </si>
  <si>
    <t>SANZ ROTULOS S.L.</t>
  </si>
  <si>
    <t>HECTOR SIERRA  OCAÑA</t>
  </si>
  <si>
    <t>ADJUDICACION CONTRATO GASÓLEO AÑO 2021 Y AÑO 2022 VEHICULOS UNIDAD DE REGIMEN INTERIOR</t>
  </si>
  <si>
    <t>MULTICARTEL, C.B.</t>
  </si>
  <si>
    <t>FUNDACION PARA EL FOMENTO DE LA INNOVACION INDUSTRIAL</t>
  </si>
  <si>
    <t>CALIBRACIONES SONÓMETROS MEDIO AMBIENTE. EXPEDIENTE VS 7/2020</t>
  </si>
  <si>
    <t>Servicio de celaduría en COMEDOR SOCIAL de 1/1/2021 A 31/7/2022</t>
  </si>
  <si>
    <t>CONTRATO DE LIMPIEZA PARA EL AÑO 2021 Y 2022 DEL CENTRO DE FORMACION PARA EL EMPLEO- JACINTO BENAVENTE</t>
  </si>
  <si>
    <t>SERVICIO CELADURIA DEL CENTRO DE FORMACION PARA EL EMPLEO DEL 1 DE ENERO DE 2021 AL 31 DE JULIO DE 2022</t>
  </si>
  <si>
    <t>COM-PACTO SOLUCIONES Y PROYECTOS, S.L.</t>
  </si>
  <si>
    <t>TALLERES F. FERNANDEZ, SOCIEDAD LIMITADA</t>
  </si>
  <si>
    <t>ZENIT INGENIERIA Y CONSULTORIA SLP</t>
  </si>
  <si>
    <t>ABONOS EMUPA, S.L.2020</t>
  </si>
  <si>
    <t>ACUERDO MARCO 2017/36, TIERRA VEGETAL.</t>
  </si>
  <si>
    <t>SANTIAGO DEL ARROYO</t>
  </si>
  <si>
    <t>VIVES Y HERRERO S.L.</t>
  </si>
  <si>
    <t>C.D. ATLETISMO CUATRO CANTONES</t>
  </si>
  <si>
    <t>I-CATALIST, S.L.</t>
  </si>
  <si>
    <t>ROZAS DE MADRID (LAS)</t>
  </si>
  <si>
    <t>Limpieza de las  dependencias del Parque de Vías Públicas. AÑOS 2021 y 2022.-</t>
  </si>
  <si>
    <t>TOYR S.A</t>
  </si>
  <si>
    <t>ACUERDO MARCO V6/2020, MEJORA DE INSTALACIONES DE JUEGOS INFANTILES EN DIVERSAS ZONAS DE LA CIUDAD.</t>
  </si>
  <si>
    <t>ACUERDO MARCO V6/2020, ARREGLOS EN PLAZA ELIPTICA.</t>
  </si>
  <si>
    <t>ACUERDO MARCO V6/2020, ARREGLO PASEOS AVDA. SALAMANCA Y ESCALERAS ACCESO A PARQUE MEDIODIA.</t>
  </si>
  <si>
    <t>INDRA SISTEMAS, S.A.</t>
  </si>
  <si>
    <t>GUADALTEL, S.A.</t>
  </si>
  <si>
    <t>MARÍA VANESA CALZADA RODRIGUEZ</t>
  </si>
  <si>
    <t>EZOS S.L.</t>
  </si>
  <si>
    <t>LIMPIEZA DEL CENTRO DE DIFUSIÓN TECNOLÓGICA, (CDIT)</t>
  </si>
  <si>
    <t>Contrato de limpieza de la Cúpula del Milenio dentro del contrato ""Centralizado de limpieza de dependencias municipales""</t>
  </si>
  <si>
    <t>BRAVO INDIA SL</t>
  </si>
  <si>
    <t>AVENET IT SL</t>
  </si>
  <si>
    <t>CONTRATO MENOR SERVICIO INSTALACION Y MANTENIMIENTO SISTEMA CONEXION INTERNET POR WIFI CENTRO GALERIAS VA. 1 AÑO (21-22)</t>
  </si>
  <si>
    <t>HERMANOS GUTIERREZ MARCOS 1988, S.L.</t>
  </si>
  <si>
    <t>ISABEL REVILLA  RODRIGUEZ</t>
  </si>
  <si>
    <t>PROROGA CONTRATO TALLERES DE CONSUMO EN CENTROS ESCOLARES CURSOS ESCOLARES 2020-2021 Y 2021-2022</t>
  </si>
  <si>
    <t>EXPTE SE 72/2017. P.S. 1. PRORROGA CONTRATO PRESTACION DE ACTIVIDADES ESCUELA MUNICIPAL DE MUSICA. CURSOS 20/21 Y 21/22.</t>
  </si>
  <si>
    <t>IBERICA DE SALES S.A.</t>
  </si>
  <si>
    <t>REMOLINOS</t>
  </si>
  <si>
    <t>ZARAGOZA</t>
  </si>
  <si>
    <t>CONTRATO LIMPIEZA DE VESTUARIOS DEL SERVICIO DE PARQUES Y JARDINES.</t>
  </si>
  <si>
    <t>CONTRATO CENTRALIZADO. ADJUDICACIÓN CELADURÍA CENTRO MUNICIPAL DE LA IGUALDAD. AÑO 2021 Y DEL 01/01 AL 31/07 DE 2022</t>
  </si>
  <si>
    <t>ACUERDO MARCO 2017/36, REPUESTOS PARA VEHICULOS.</t>
  </si>
  <si>
    <t>PRORROGA RECOGIDA/ATENCION VETERINARIA ANIMALES DOMESTICOS ABANDONADOS/PERDIDOS /TARDES/NOCHES/FINES SEMANA/FESTIVOS L-1</t>
  </si>
  <si>
    <t>SHS  CONSULTORES S L</t>
  </si>
  <si>
    <t>SERVICIOS DE CONSERJERIA DEL CENTRO DE DIFUSIÓN TECNOLÓGICA (CDIT) DEL AYUNTAMIENTO DE VALLADOLID)</t>
  </si>
  <si>
    <t>D/</t>
  </si>
  <si>
    <t>ADJ. CONTRATO S.SALUD EXPTE.LOTE 3 DE LA FASE II DE LA ACTUACION EN ARU 29 OCTUBRE EN C/VILLABAÑEZ</t>
  </si>
  <si>
    <t>AIG EUROPE SA SUCURSAL EN ESPAÑA</t>
  </si>
  <si>
    <t>ALBA PRIETO VILLARRAGUT</t>
  </si>
  <si>
    <t>MTO. DEL SISTEMA DE INFORMACIÓN DEL PADRÓN MUNICIPAL DE HABITANTES DEL AYUNTAMIENTO DE VALLADOLID, PRIMERA PRÓRROGA</t>
  </si>
  <si>
    <t>Patrim - Patrimoniales</t>
  </si>
  <si>
    <t>CALEFACCION AUTOMATICA S.L.</t>
  </si>
  <si>
    <t>CONSTRUCCIONES Y OBRAS LLORENTE, S.A.</t>
  </si>
  <si>
    <t>ELSAMEX GESTIÓN DE INFRAESTRUCTURAS, S.L.</t>
  </si>
  <si>
    <t>FCC MEDIO AMBIENTE SA</t>
  </si>
  <si>
    <t>CONTRATO RECOGIDA CONTENEDORES AMARILLOS ""ENVASES"", PERIODO JULIO 2021 A JUNIO 2023</t>
  </si>
  <si>
    <t>SISTEMA DE INFORMACIÓN PRESUPUESTARIA, CONTABLE Y FINANCIERA (SICALWIN) PRIMERA PRÓRROGA</t>
  </si>
  <si>
    <t>MACOSARFER S.L.</t>
  </si>
  <si>
    <t>CONTROL CALIDAD OBRAS REHABILITACIÓN CUATRO BLOQUES EN CALLE VILLABAÑEZ,12,14,16 Y 18(29 OCTUBRE FASE II).</t>
  </si>
  <si>
    <t>CABERO EDIFICACIONES, S.A.</t>
  </si>
  <si>
    <t>W.R.BERKLEY EUROPE AG, SUCURSAL EN ESPAÑA</t>
  </si>
  <si>
    <t>JUAN ANTONIO HUIDOBRO PIRIZ</t>
  </si>
  <si>
    <t>CENTRO MATERIAL SANITARIO, S.A.</t>
  </si>
  <si>
    <t>ELECTROCASTILLA 2000 S.L.</t>
  </si>
  <si>
    <t>OBRAS REFORMQ INSTALACIÓN ELÉCTRICA ARCHIVO MUNICIPAL</t>
  </si>
  <si>
    <t>MERCADOS CENTRALES DE ABASTECIMIENTO SA</t>
  </si>
  <si>
    <t>ADJUDICAR EXPTE.LOTE 3 DE LA FASE II DE LA ACTUACION EN ARU 29 OCTUBRE EN C/VILLABAÑEZ</t>
  </si>
  <si>
    <t>IBECON 2003, S.L.</t>
  </si>
  <si>
    <t>ABASTSPI S.A.</t>
  </si>
  <si>
    <t>servicio de control de calidad de las obras: CUBIERTA CPM LA VICTORIA.</t>
  </si>
  <si>
    <t>FUNDACION ALDABA</t>
  </si>
  <si>
    <t>LOTE 2. Contrato de Servicios Coordinación de Seguridad y Salud en Obras y Proyecto del Ayto.Valladolid (Expte.12/2018)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</si>
  <si>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</si>
  <si>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</si>
  <si>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</si>
  <si>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</si>
  <si>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</si>
  <si>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LINEAS Y CABLES S.A.</t>
  </si>
  <si>
    <t>POZUELO DE ALARCÓN</t>
  </si>
  <si>
    <t>PILAR SOLA  PIZARRO</t>
  </si>
  <si>
    <t>FUNDACION GENERAL DE LA UNIVERSIDAD VALLADOLID</t>
  </si>
  <si>
    <t>IVAN PEREZ  TOMILLO</t>
  </si>
  <si>
    <t>IGNACIO BARCELÓ BLANCO-STEGER</t>
  </si>
  <si>
    <t>MARSDIGITAL, S.L.</t>
  </si>
  <si>
    <t>OBRAS HERZACO, S.L.</t>
  </si>
  <si>
    <t>OMEGA PERIPHERALS, S.L.</t>
  </si>
  <si>
    <t>ARIAS GARRIDO ARQUITECTOS, S L P</t>
  </si>
  <si>
    <t>REDACCION DEL PROYECTO Y LA DIRECCION FACULTATIVA DE LA OBRA DE MEJORA DE LAS INSTALACIONES DEL CMPA</t>
  </si>
  <si>
    <t>PROTEC SOLANA,S.L.</t>
  </si>
  <si>
    <t>ARNEDO</t>
  </si>
  <si>
    <t>SEIDOR S.A.</t>
  </si>
  <si>
    <t>RAYUELA PRODUCCIONES TEATRALES, S.L.</t>
  </si>
  <si>
    <t>SERINZA SOLUTIONS S.L.</t>
  </si>
  <si>
    <t>SETEX APARKI, S.A.</t>
  </si>
  <si>
    <t>RBA REVISTAS, S.L.</t>
  </si>
  <si>
    <t>MTO. Y ASIST. TÉCNICA DEL SISTEMA DE GESTIÓN DE PERSONAL Y NÓMINA, BASADO EN META4 E-MIND, PRIMERA PRÓRROGA</t>
  </si>
  <si>
    <t>CONTROL DE CALIDAD, REMODELACION PARQUE ALAMEDA COMO ESPACIO VERDE MULTIFUNCIONAL.</t>
  </si>
  <si>
    <t>HERMANOS SALGADO DE LA HERA CB</t>
  </si>
  <si>
    <t>SYNLAB DIAGNÓSTICOS GLOBALES, S.A.</t>
  </si>
  <si>
    <t>PRESTACION SERVICIOS LABORATORIO ANALISIS CLINICOS PARA EL DEPARTAMENTO DE PREVENCION Y SALUD LABORAL</t>
  </si>
  <si>
    <t>ESPLUGUES DE LLOBREGAT</t>
  </si>
  <si>
    <t>SOMHAIRLE WATSON</t>
  </si>
  <si>
    <t>TELEFONICA SOLUCIONES DE INFORMATICA Y COMUNICACIONES DE ESPAÑA S.A.U</t>
  </si>
  <si>
    <t>PRÓRROGA SERVICIO DE TELEFONÍA FIJA Y MÓVIL DEL CENTRO DE PARTICIPACIÓN CIUDADANA</t>
  </si>
  <si>
    <t>ASOCIACIÓN PARA EL PROGRESO DE LA DIRECCIÓN</t>
  </si>
  <si>
    <t>CONTROL CALIDAD DESPRENDIMIENTO QUE SUSTENTA TERRAZA PÓRTICO ENTRADA CASA CONSISTORIAL</t>
  </si>
  <si>
    <t>HARDTRONIC, S.L.</t>
  </si>
  <si>
    <t>CYDIMA, S.L.</t>
  </si>
  <si>
    <t>Obras de Urbanización de la calle NUEVA DEL CARMEN.</t>
  </si>
  <si>
    <t>LABORES DE REPARACION Y REFORMA-7 S.L.</t>
  </si>
  <si>
    <t>DEANTE CERRAJERIA, S.L.</t>
  </si>
  <si>
    <t>PLACAS Y ROTULOS INDUSTRIALES, SOCIEDAD LIMITADA</t>
  </si>
  <si>
    <t>ACUERDO MARCO 2017/36, SUMINISTRO DE SUBSTRATO.</t>
  </si>
  <si>
    <t>INTEGRAL DE AUTOMOCION 2000, S.A.</t>
  </si>
  <si>
    <t>GESTION DE SERVICIOS INTEGRALES, S.A.</t>
  </si>
  <si>
    <t>CONTRATO MENOR SERVICIO LIMPIEZA INSTALACIONES GALERIAS VALLADOLID</t>
  </si>
  <si>
    <t>DAVID ANDRÉS MORO</t>
  </si>
  <si>
    <t>ERNESTO DOMENECH  CENTELLES</t>
  </si>
  <si>
    <t>EMMA GOMEZ  GOMEZ</t>
  </si>
  <si>
    <t>SOLIBRI OY</t>
  </si>
  <si>
    <t>HELSINKI</t>
  </si>
  <si>
    <t>FINLANDIA</t>
  </si>
  <si>
    <t>ESPASA CALPE, S.A.</t>
  </si>
  <si>
    <t>MARIA FELISA ALONSO ACUÑA</t>
  </si>
  <si>
    <t>HIJO DE CIRIACO SANCHEZ S.L.</t>
  </si>
  <si>
    <t>TECNOLOGIA INFORMATICA 2000</t>
  </si>
  <si>
    <t>PINTURAS BROCH S.L.</t>
  </si>
  <si>
    <t>SOLUCIONES METALICAS  CERRINOX, S.L.</t>
  </si>
  <si>
    <t>GRAFICAS 81 S.L.</t>
  </si>
  <si>
    <t>JESUS PUEBLA  SANZ</t>
  </si>
  <si>
    <t>ALDEA DE SAN MIGUEL</t>
  </si>
  <si>
    <t>SERVICIOS DE LIMPIEZA Y SERVICIOS DE ASISTENCIA, S.L.U.</t>
  </si>
  <si>
    <t>DAITONA MOTOS, S.L.</t>
  </si>
  <si>
    <t>METAFORA DE COMUNICACION SLL</t>
  </si>
  <si>
    <t>ASMAIN, S.L.</t>
  </si>
  <si>
    <t>UNIVERSAL PARTNER, S.L.U.</t>
  </si>
  <si>
    <t>SUMINISTRO MATERIAL AMPLIACIÓN ILUMINACION EXISTENTE DESPACHO ARCHIVO MUNICIPAL</t>
  </si>
  <si>
    <t>NURIA MARTIN  SANZ</t>
  </si>
  <si>
    <t>CABEZON DE PISUERGA</t>
  </si>
  <si>
    <t>BUREAU VERITAS INSPECCION Y TESTING, S.L.UNIPERSONAL</t>
  </si>
  <si>
    <t>SANT CUGAT DEL VALLES</t>
  </si>
  <si>
    <t>TRESBOLILLO TEATRO &amp; MAPPING</t>
  </si>
  <si>
    <t>PROCOMAR VALLADOLID ACOGE PROMOC.COLECT.</t>
  </si>
  <si>
    <t>OKARINO TRAPISONDA TEATRO TITERES, S.L.</t>
  </si>
  <si>
    <t>ASOCIACION CULTURAL KINUNA TEATRO Y TERAPIAS ALTERNATIVAS</t>
  </si>
  <si>
    <t>GRUPO DE TEATRO MUTIS</t>
  </si>
  <si>
    <t>CANTABRIA</t>
  </si>
  <si>
    <t>ESTUDIOS Y CONTROLES BIOLOGICOS, S.L. (BIECON)</t>
  </si>
  <si>
    <t>VILLANUBLA</t>
  </si>
  <si>
    <t>CLAIRE MARTINE STEWART</t>
  </si>
  <si>
    <t>ASOCIACIÓN TODO CUENTA</t>
  </si>
  <si>
    <t>ARRAYA DE OCA</t>
  </si>
  <si>
    <t>ENSAYOS DE CONTROL DE CALIDAD. LOTE 1.  PARA LA OBRA DE MEJORA DE VARIAS AULAS EN EL CEIP MARIA DE MOLINA</t>
  </si>
  <si>
    <t>CRISTALERIA ZARATAN, S.L.</t>
  </si>
  <si>
    <t>PAPELERIA DE LA OFICINA, S.L.</t>
  </si>
  <si>
    <t>RQR IMAGEN DE EMPRESA, S.L.</t>
  </si>
  <si>
    <t>NURIA MONTERO MARCOS</t>
  </si>
  <si>
    <t>COORDINACION SEGURIDAD Y SALUD, OBRA REMODELACION PARQUE ALAMEDA COMO ESPACIO VERDE MULTIFUNCIONAL.</t>
  </si>
  <si>
    <t>ACUERDO MARCO. SUMINISTRO MATERIALES PARA TALLER DE REPARACIÓN DE VEHÍCULOS DE POLICÍA.</t>
  </si>
  <si>
    <t>RECAMBIOS POMAUTO, S L</t>
  </si>
  <si>
    <t>TATARANA, S.L.</t>
  </si>
  <si>
    <t>REVISTA EMPRENDEDORES S.L.</t>
  </si>
  <si>
    <t>FRANCISCO MENDEZ HERMIDA</t>
  </si>
  <si>
    <t>SOCIEDAD MIXTA PARA PROMOCIÓN TURISMO S.L.</t>
  </si>
  <si>
    <t>BERZAL BRICOMADERAS, SOCIEDAD LIMITADA</t>
  </si>
  <si>
    <t>ACUERDO MARCO 2017/36, MATERIAL DE FERRETERÍA.</t>
  </si>
  <si>
    <t>MAPFRE ESPAÑA, COMPAÑIA DE SEGUROS Y REASEGUROS, S.A.</t>
  </si>
  <si>
    <t>Contrato basado en A.M. Control de Callidad para la obra del Corredo Verde- Proyecto URBAN GreenUP G.A. nº 730426</t>
  </si>
  <si>
    <t>BIZKAIA</t>
  </si>
  <si>
    <t>COORDINACION DE LAS OBRAS DE REFORMA DE VIVIENDAS PROG.ALOJ.PROV.C/OSA MENOR,4: 12,24 ¿ Y C/GUARDERIA,6:23,18</t>
  </si>
  <si>
    <t>COORDINACION Y SEGURIDAD SALUD OBRAS DE REFORMA DEL CENTRO MUNICIPAL DE PROTECCION ANIMAL</t>
  </si>
  <si>
    <t>UTE CTR VALLLADOLID</t>
  </si>
  <si>
    <t>Contrato de Conservación Vías Públicas. LOTE 1. Actuaciones de Presupuestos Participativos 2021.-</t>
  </si>
  <si>
    <t>OBRAS PAVIMENTOS E INSTALACIONES INDUSTRIALES</t>
  </si>
  <si>
    <t>SE-EIJI 21/2021. CONTRATO DE OBRAS EJECUCIÓN DE ESCUELA INFANTIL EN C/SEMINARIO C/V  A C/TIRSO DE MOLINA. 15/08 A 31/12</t>
  </si>
  <si>
    <t>LOTE 1 CONSERVACIÓN, REPARACIÓN Y REFORMA INSTALACIONES ALUMBRADO EXTERIOR. PRES. PARTICIP. EXP: SEMEU 8/2021</t>
  </si>
  <si>
    <t>PRÓRROGA LOTE 1 SEÑALIZACIÓN VERTICAL ""CONTRATO SEÑALIZACIÓN VIAL DE VALLADOLID""_ EXP 11/2018 (P.S Nº 1)_Agosto-Dic'2021</t>
  </si>
  <si>
    <t>IMESAPI, S.A.</t>
  </si>
  <si>
    <t>MANTENIMIENTO SOFTWARE PARA EL CONTROL DE SALUD LABORAL : WinMedtra/WinSehtra, LOTE 8</t>
  </si>
  <si>
    <t>ALMACENES GONZALEZ BOMBIN, SOCIEDAD LIMITADA</t>
  </si>
  <si>
    <t>CC PILARICA: ARREGLO INTEGRAL DEL TEJADO. LOTE 1</t>
  </si>
  <si>
    <t>AMALIA TORRES  SALGADO</t>
  </si>
  <si>
    <t>CONTRATO SUMINISTRO FUNDENTES VIALIDAD INVERNAL EN VIAS PUBLICAS LOTES 1 Y 2, Sº LIMPIEZA AYUNTAMIENTO DE VALLADOLID</t>
  </si>
  <si>
    <t>PRÓRROGA LOTE 2 SEÑALIZACIÓN HORIZONTAL ""CONTRATO SEÑALIZACIÓN VIAL EN VALLADOLID"" EXP 11/2018 (P.S.-1) Agosto-Dic'2021</t>
  </si>
  <si>
    <t>PRÓRROGA CONTRATO SUMINISTRO MATERIAL ORDINARIO NO INVENTARIABLE AYTO VALLADOLID, LOTE 6</t>
  </si>
  <si>
    <t>INSTITUTO CONSTRUCCION DE CASTILLA-LEON</t>
  </si>
  <si>
    <t>DATAINFO CONSULTORES Y ASESORES SL</t>
  </si>
  <si>
    <t>ASOCIACION PARA ORGANIZACION DE FERIAS Y CERTAMENES DISCOGRAFIC0S</t>
  </si>
  <si>
    <t>AVC DIGITAL MEDIA IBERIA, S.L.</t>
  </si>
  <si>
    <t>SISTEMA DE CITA PREVIA, LOTE 13</t>
  </si>
  <si>
    <t>PRORROGA MANTENIMIENTO WEB OBSERVATORIO URBANO 2021-2022. SERVICIO INFORMACION</t>
  </si>
  <si>
    <t>BARATZ SERVICIOS DE TELEDOCUMENTACION, S.A.</t>
  </si>
  <si>
    <t>CONTROL DE CALIDAD OBRAS REPARACIÓN VIV. CALLE GUARDERIA Y VIV. CALLE OSA MAYOR. 2021</t>
  </si>
  <si>
    <t>AT.y seguimiento mensual del Control Calidad de Obras municipales y ensayos de laboratorio para obras del SEPI.</t>
  </si>
  <si>
    <t>CONTROL DE CALIDAD MEJORA INSTALACIONES EN PARQUE DE LAS NORIAS.</t>
  </si>
  <si>
    <t>A.M. Control de Calidad Obras municipales EJECUCION DE CONTRATO DE OBRAS CORREDOR VERDE-(URBAN GreenUP G.A. nº 730426)</t>
  </si>
  <si>
    <t>A.T. CONTROL DALIDAD LOTE 2. ACERA Y CARRIL BICI EN CARRETERA DE RUEDA.-</t>
  </si>
  <si>
    <t>CONTROL DE CALIDAD, REMODELACION FUENTE EN CALLE ALCAPARRA.</t>
  </si>
  <si>
    <t>CONTROL DE CALIDAD, ADECUACION PASARELA PARQUE DE LOS ALMENDROS.</t>
  </si>
  <si>
    <t>A.M. 009/2020 CONTRATO LOTE 2 : ASISTENCIA TECNICA CONTROL CALIDAD  DE OBRAS REFORMA CMPA</t>
  </si>
  <si>
    <t>CONTROL DE CALIDAD CAMINO PAVIMENTADO JUNTO A PARQUE PATRICIA.</t>
  </si>
  <si>
    <t>CONTRATO  ASISTENC. TÉCNICA DEL CONTROL DE CALIDAD  (LOTE 2)  OBRA DE REPARACIÓN DE LAS ESCALERAS DE ACCESO  M. DELICIAS</t>
  </si>
  <si>
    <t>Estudio Control Calidad Contrato Obras infraestructura verde: Barreras Acústicas Vegetales(URBAN GreenUP G.A. nº 730426)</t>
  </si>
  <si>
    <t>SE-EIJI 21/2021. PS 1. ASISTENCIA TÉCNICA EN CONTROL DE CALIDAD CONSTRUCCIÓN NUEVA E.I.M. SEPT A DIC DE 2021.</t>
  </si>
  <si>
    <t>CONTROL DE CALIDAD EJECUCIÓN DE FIRME DE LOS CAMINOS DEL NUEVO BOSQUE URBANO DE SANTA ANA.    V.6/2020   LOTE 1 PS22.</t>
  </si>
  <si>
    <t>A.M. Control de calidad de las obras de adecuación de la Nave ubicada en la calle Valle de Arán nº 1 para Hub de Innovac</t>
  </si>
  <si>
    <t>CONTROL CALIDAD CONSTRUCCIÓN MÓDULO OFICINAS Y LAVANDERIA PARA TALLER DEL SERVICIO DE LIMPIEZA</t>
  </si>
  <si>
    <t>asist.tec. control calidad obras reparación e impermeab.aseos Centro Integrado para pers.sin hogar. COVID-19</t>
  </si>
  <si>
    <t>Direccion de Obras de "" Corredor Verde "" URBAN GreenUP (G.A. 730426 )</t>
  </si>
  <si>
    <t>BSJ MARKETING Y COMUNICACION S.L.</t>
  </si>
  <si>
    <t>PRÓRROGA CONTRATO SUMINISTRO MATERIAL ORDINARIO NO INVENTARIABLE AYTO. VALLADOLID, LOTE 4</t>
  </si>
  <si>
    <t>PRÓRROGA CONTRATO SUMINISTRO MATERIAL ORDINARIO NO INVENTARIABLE AYTO. VALLADOLID, LOTE 5</t>
  </si>
  <si>
    <t>PRÓRROGA CONTRATO SUMINISTRO MATERIAL ORDINARIO NO INVENTARIABLE AYTO. VALLADOLID, LOTE 2</t>
  </si>
  <si>
    <t>ACUERDO MARCO 3/2020, REPARACION VEHICULO 5833-BZK.</t>
  </si>
  <si>
    <t>LOTE A: Ensayos de laboratorio (materiales y unidades de obra) para control calidad en la ejecución del Lote 1 Conservac</t>
  </si>
  <si>
    <t>A.M. Servicio de Control de Calidad obras municipales CONTRATO DE OBRAS -CORREDOR VERDE (URBAN GreenUP G.A. nº 730426)</t>
  </si>
  <si>
    <t>A.T. CONTROL DE CALIDAD. LOTE 1. ACERA Y CARRIL BICI EN CARRETERA DE RUEDA.-</t>
  </si>
  <si>
    <t>A.M. 009/2020 CONTRATO LOTE 1 : ENSAYO CONTROL CALIDAD  DE OBRAS REFORMA CMPA</t>
  </si>
  <si>
    <t>LOTE 1 ENSAYOS DE CONTROL DE CALIDAD POR LAS OBRAS DE REFORMA DE SOLERAS EN PATIOS VICENTE ALEIXANDRE Y PONCE DE LEÓN</t>
  </si>
  <si>
    <t>LOTE 1 ENSAYOS DE CONTROL DE CALIDAD EN LA REFORMA ASEOS CASA NIÑOS/NIÑAS PAJARILLOS</t>
  </si>
  <si>
    <t>SE-EIJI 21/2021. PS 1. ENSAYOS CONTROL DE CALIDAD CONSTRUCCION NUEVA E.I.M. SEPTIEMBRE A DICIEMBRE DE 2021.</t>
  </si>
  <si>
    <t>ENSAYOS DE CONTROL DE CALIDAD PARA LA OBRA REFORMA SOLERA Y ZONA DE LA CUBIERTA EN EIM CAMPANILLA (LOTE 1)</t>
  </si>
  <si>
    <t>CONTROL DE CALIDAD OBRA CONSTRUCCIÓN MÓDULO OFICINAS Y LAVANDERIA PARA TALLER DEL SERVICIO DE LIMPIEZA</t>
  </si>
  <si>
    <t>ensayos control calidad obras reparación e impermeab. aseos Centro Integrado para pers.sin hogar. COVID-19</t>
  </si>
  <si>
    <t>CICLOS CUERVAS, C.B.</t>
  </si>
  <si>
    <t>CLECE SA-ONET IBERIA SOLUCIONES SA (UTE SAD AYUNTAMIENTO DE VALLADOLID. LOTE 1)</t>
  </si>
  <si>
    <t>ACUERDO MARCO 3/2020, REPARACION DE MAQUINARIA.</t>
  </si>
  <si>
    <t>CONSTRUCCIÓN, ARTE Y RESTAURACIÓN GARSAN, S.L.</t>
  </si>
  <si>
    <t>contratación obra: cubierta CPM LA VICTORIA- GARSAN</t>
  </si>
  <si>
    <t>CUMULUS CITY, S.L.</t>
  </si>
  <si>
    <t>VILA-REAL</t>
  </si>
  <si>
    <t>MOVICODERS, S.L.</t>
  </si>
  <si>
    <t>ACTUALIZACIÓN, SOPORTE DE VERSIONES DE LAS HERRAMIENTAS, REVISIÓN DE LOGS Y MANIMIENTO DE LA INFRAES.AWS.</t>
  </si>
  <si>
    <t>HUESCA</t>
  </si>
  <si>
    <t>Suministro de pinturas de todo tipo, disolventes, herramientas de pintor, etc. según necesidades.-</t>
  </si>
  <si>
    <t>DISPAL ASTUR SA (SOCIEDAD UNIPERSONAL)</t>
  </si>
  <si>
    <t>Trabajos de Coordinación de Seguridad y Salud para la obra ""Urbanización de la Calle Nueva del Carmen"".-</t>
  </si>
  <si>
    <t>FARAHDIVA, S.L.</t>
  </si>
  <si>
    <t>ACUERDO MARCO 3/2020, REPUESTOS PARA MAQUINARIA.</t>
  </si>
  <si>
    <t>SEGURIDAD Y SALUD CONTRATO SEÑALIZACIÓN VIAL LOTE 2</t>
  </si>
  <si>
    <t>GIL SOTO, S.L.</t>
  </si>
  <si>
    <t>COORDINACION SEGURIDAD Y SALUD ACTUACIONES EN LOS BOMBEOS DE LA CIUDAD DE VALLADOLID FASE II. V.6/2020 LOTE 1 PS21.</t>
  </si>
  <si>
    <t>PRORROGA LOTE 2_SEÑALIZACIÓN HORIZONTAL_SEGURIDAD Y SALUD_Contrato señalización vial en Valladolid_Agosto-Dic'2021</t>
  </si>
  <si>
    <t>LEADER MEDIA,S.L.</t>
  </si>
  <si>
    <t>LOTE B: Control Calidad en ejecución, asistencia técnica, inspecciones y vigilancia de obras Contrato Conserv.Vias Públi</t>
  </si>
  <si>
    <t>CONTROL DE CALIDAD ADECUACION CAMINOS EN VILLA DEL PRADO Y HUERTA DEL REY.</t>
  </si>
  <si>
    <t>CONTROL DE CALIDAD, AJARDINAMIENTO LATERAL CALLE LUGANO.</t>
  </si>
  <si>
    <t>CONTROL DE CALIDAD  ACTUACIONES EN LOS BOMBEOS DE LA CIUDAD DE VALLADOLID FASE II. V.6/2020 LOTE 1 PS21.</t>
  </si>
  <si>
    <t>INFO TECHNOLOGY SUPPLY LIMITED</t>
  </si>
  <si>
    <t>INFOPRODUCTS, S.L.</t>
  </si>
  <si>
    <t>AXEL SPRINGER ESPAÑA, S.A.</t>
  </si>
  <si>
    <t>COORDINACION SEGURIDAD Y SALUD, ADECUACION CAMINOS EN VILLA DEL PRADO Y HUERTA DEL REY.</t>
  </si>
  <si>
    <t>COORDINACION SEGURIDAD Y SALUD, MEJORA DE INSTALACIONES EN PARQUE DE LAS NORIAS.</t>
  </si>
  <si>
    <t>COORDINACION SEGURIDAD Y SALUD ADECUACION PASARELA PARQUE DE LOS ALMENDROS.</t>
  </si>
  <si>
    <t>COORDINACION SEGURIDAD Y SALUD REMODELACION FUENTE EN PARQUE CALLE ALCAPARRA.</t>
  </si>
  <si>
    <t>COORDINACION SEGURIDADY SALUD CAMINO PAVIMENTADO JUNTO A PARQUE PATRICIA.</t>
  </si>
  <si>
    <t>SEGURIDAD Y SALUD CONTRATRO SEÑALIZACIÓN VIAL LOTE 1_Vertical</t>
  </si>
  <si>
    <t>PRORROGA LOTE 1 _SEÑALIZACIÓN VERTICAL_SEGURIDAD Y SALUD_Contrato señalización vial Valladolid_Agosto-Dic'2021</t>
  </si>
  <si>
    <t>JAVIER NAVARRO  ORDOÑEZ</t>
  </si>
  <si>
    <t>JOSÉ MARÍA CEBRIÁN RUIZ</t>
  </si>
  <si>
    <t>DIRECCION FACULTATIVA Y DE EJECUCION OBRA DE ADECUACION DEL ESPACIO MARCELINA PONCELA COMO CENTRO RESTAURACION. AÑO 2021</t>
  </si>
  <si>
    <t>COORDINACION SEGURIDAD Y SALUD EJECUCIÓN FIRME DE LOS CAMINOS DEL NUEVO BOSQUE URBANO DE SANTA ANA V.6/2020 LOTE 1 PS22.</t>
  </si>
  <si>
    <t>JUAN CARLOS GOMEZ  POLA</t>
  </si>
  <si>
    <t>LIBNOVA, S.L.</t>
  </si>
  <si>
    <t>MARMOLERA VALLISOLETANA, S.A.</t>
  </si>
  <si>
    <t>META 4 SPAIN, S.A.</t>
  </si>
  <si>
    <t>SISTEMA DE GESTIÓN DE PERSONAL Y NÓMINA: LICENCIAS MET4MIND SECTOR PÚBLICO, LOTE 4</t>
  </si>
  <si>
    <t>redac.15,51 coord.seg.y salud 155,07 obras reparación e impermeab.aseos Centro Integrado para pers.sin hogar. COVID-19</t>
  </si>
  <si>
    <t>MULTIPRENSA DE CASTILLA Y LEÓN, S.L.</t>
  </si>
  <si>
    <t>NORTHMATIC INGENIERIA, S.L.U.</t>
  </si>
  <si>
    <t>CASTRO-URDIALES</t>
  </si>
  <si>
    <t>ACUERDO MARCO. SUMINISTRO DE MATERIAL PARA TALLER DE REPARACIÓN DE VEHÍCULOS DE POLICÍA MUNICIPAL.</t>
  </si>
  <si>
    <t>REHABILITACION CONSTRUCCION PROMOCION NUCLEO, S.A.</t>
  </si>
  <si>
    <t>CONTRATO DE OBRAS DE REFORMA DEL CENTRO MUNICIPAL DE PROTECCION ANIMAL</t>
  </si>
  <si>
    <t>RUBEN BORJAS ESCUDERO</t>
  </si>
  <si>
    <t>SERMANINT HISPANIA, S.L. (SERVICIOS DE MNTO INTEGRAL)</t>
  </si>
  <si>
    <t>SERVICIOS MICROINFORMATICA, S.A.  (SEMIC)</t>
  </si>
  <si>
    <t>SUSCRIPCIONES A AVID MEDIA COMPOSER, ADOBE:  CREATIVE CLOUD, PHOTOSHOP  Y A ACROBAT DC, LOTE 15</t>
  </si>
  <si>
    <t>LLEIDA</t>
  </si>
  <si>
    <t>SUMINISTRO BOMBAS ACHIQUE AGUA DESDE TERCER SÓTANO A CALLE EN ARCHIVO MUNICIPAL</t>
  </si>
  <si>
    <t>REMODELACIÓN FUENTE EN PARQUE CALLE ALCAPARRA.</t>
  </si>
  <si>
    <t>VIVE DISFRUTANDO, S.L.L.</t>
  </si>
  <si>
    <t>CONTRATO DE  OBRA  ADECUACION ESPACIO MARCELINA PONCELA COMO CENTRO ALMACENAMIENTO Y RESTAURACION PATRIMONIO MUEBLE</t>
  </si>
  <si>
    <t>INSIGNA UNIFORMES, S.L.</t>
  </si>
  <si>
    <t>SAGRES S.L.</t>
  </si>
  <si>
    <t>REDONDELA</t>
  </si>
  <si>
    <t>ADC TIEMPO LIBRE SL</t>
  </si>
  <si>
    <t>EPTISA SERVICIOS DE INGENIERIA SL</t>
  </si>
  <si>
    <t>ALFE SUMINISTROS A LA CONSTRUCCION E INDUSTRIA</t>
  </si>
  <si>
    <t>ALQUILER MODULO AISLADO PARA VESTUARIOS Y ASEO EN CENTRO MUNICIPAL DE PROTECCIÓN ANIMAL</t>
  </si>
  <si>
    <t>SANTOVENIA DE  PISUERGA</t>
  </si>
  <si>
    <t>BM NEIRA AUDITORES S.L.P.</t>
  </si>
  <si>
    <t>EDITORIAL CULTURA ACTIVA S.L.</t>
  </si>
  <si>
    <t>ACUERDO MARCO. SUMINISTRO DE MATERIALES PARA TALLER DE REPARACIÓN DE VEHÍCULOS DE POLICÍA MUNICIPAL.</t>
  </si>
  <si>
    <t>LA CANDELA TEATRO Y COMUNIDAD</t>
  </si>
  <si>
    <t>OCA INSPECCION CONTROL Y PREVENCION, S.A.U.</t>
  </si>
  <si>
    <t>OFI-SUTEMAN, S.L.</t>
  </si>
  <si>
    <t>DOCUMENTACION TECNICA Y DIRECCION FACULTATIVA EJECUCION DE INSTALAC ELECTR -PLAZA DE LA SOLIDARIDAD</t>
  </si>
  <si>
    <t>OBRA REHABILITACION ANTIGUO FRONTON DE LAS FLORES PARA CENTRO DOTACIONAL</t>
  </si>
  <si>
    <t>AUDECA S.L.U.</t>
  </si>
  <si>
    <t>Adjudicación EJECUCION DE CONTRATO DE OBRAS DEL CORREDOR VERDE  (URBAN GreenUP G.A. nº 730426)</t>
  </si>
  <si>
    <t>Adjudicación Contrato Obras de infraestructura verde: Barreras Acústicas Vegetales (URBAN GreenUP G.A. nº 730426)</t>
  </si>
  <si>
    <t>AdjudicaciónContrato Obras adecuación de nave Calle Valle de Aran,1 destinada a HUB INNOVACION. Proyecto 2021/2/4331/1/1</t>
  </si>
  <si>
    <t>INSTALACION DE JUEGOS INFANTILES EN EL CAMPO GRANDE, JUNTO A ACERA DE RECOLETOS.</t>
  </si>
  <si>
    <t>LAS PALMAS</t>
  </si>
  <si>
    <t>DOS MÁQUINAS DE SIEGA CON RECOGIDA Y GIRO CERO Y  MÁQUINA DE SIEGA DE RECICLAJE (MULCHING) Y GIRO CERO. LOTE 1. V.8-2021</t>
  </si>
  <si>
    <t>LA BAÑEZA</t>
  </si>
  <si>
    <t>SEGUNDA PRÓRROGA EXPTE: 23/2018;LOTE 1;MANTENIMIENTO PREVENTIVO DE EQUIPOS DE RESPIRACIÓN AUTÓNOMA Y ACCESORIOS; SEISYPC</t>
  </si>
  <si>
    <t>GRAU MAQUINARIA I SERVEI INTEGRAL, S.A.</t>
  </si>
  <si>
    <t>GRANOLLERS</t>
  </si>
  <si>
    <t>IMPERIAL DE EXPLOTACIONES HOTELERAS, S.L.</t>
  </si>
  <si>
    <t>SUMINISTRO DE MAQUINARIA DE SIEGA CON DESTINO AL SERVICIO DE PARQUES Y JARDINES.</t>
  </si>
  <si>
    <t>SUMINISTRO E INSTALACIÓN DE CALDERA DE CONDENSACIÓN DE GAS EN CM PUENTE DUERO</t>
  </si>
  <si>
    <t>IKEI RESEARCH &amp;CONSULTANCY, S.A.</t>
  </si>
  <si>
    <t>CONTRATACIÓN DEL SERVICIO DE ASESORAMIENTO Y DISEÑO DEL PLAN DE ACCIÓN COMERCIAL DEL MERCADO DE LAS DELICIAS</t>
  </si>
  <si>
    <t>SAN SEBASTIAN</t>
  </si>
  <si>
    <t>SUMINISTRO E INSTALACION DE JUEGOS INFANTILES EN PLAZA DEL DOCTOR BIOLOGO JOSE ANTONIO VALVERDE.</t>
  </si>
  <si>
    <t>COORDINACIÓN DE SEGURIDAD Y SALUD EN OBRA ARREGLO TEJADO Y FACHADA C.C. CASA CUNA</t>
  </si>
  <si>
    <t>JCDECAUX ESPAÑA SLU</t>
  </si>
  <si>
    <t>AMPLIACIÓN CONTRATO MOBILIARIO URBANO CON LA ADQUISICIÓN DE 6 ASEOS DE LÍNEA BUS</t>
  </si>
  <si>
    <t>ADJUDICACION EXPTE.  Obras de Urbanización Obra Traslado del Parque de Vías Públicas. FASE 2. LOTE 2. Expte.30/2021</t>
  </si>
  <si>
    <t>EXPTE.: SPSC 013_2021 Ejecución de la obra; Segunda fase reforma del Parque de Bomberos de Canterac; SEISYPC.</t>
  </si>
  <si>
    <t>ARECU INVERSIONES, S.L.</t>
  </si>
  <si>
    <t>BERNARDOS</t>
  </si>
  <si>
    <t>REIRES LOZANO CONSTRUCCIONES S.L.</t>
  </si>
  <si>
    <t>REFORMA E IMPERMEAB.ASEOS CENTRO INTEGRADO PERS.SIN HOGAR-OBRA. COVID-19</t>
  </si>
  <si>
    <t>EXPTE:SPSC_ 014_2021;Contrato Suministro EPIs;LOTE 2:EPI Rescate Técnico, Altura Incendios Forestales; SEISYPC.</t>
  </si>
  <si>
    <t>AISLAMIENTOS Y REVESTIMIENTOS ARTECOVA, S.L.</t>
  </si>
  <si>
    <t>ALACRAN S.L.</t>
  </si>
  <si>
    <t>AXATON, S.L.</t>
  </si>
  <si>
    <t>CARMONA</t>
  </si>
  <si>
    <t>A.M.Control de Calidad en obras LOTE 2  Obra Infraestructura Verde: Barreras Acústicas Vegetales (URBAN GreenUP)</t>
  </si>
  <si>
    <t>CONTROL DE CALIDAD OBRA PINTURA DE PAREDES Y TECHO DEL INTERIOR DE LA CUPULA DEL MILENIO   EXCMO. SR. ALCALDE:</t>
  </si>
  <si>
    <t>CONTROL DE CALIDAD INSTALACION JUEGOS INFANTILES EN CAMPO GRANDE, JUNTO ACERA DE RECOLETOS.</t>
  </si>
  <si>
    <t>CONTROL DE CALIDAD, ACTUALIZACION Y MEJORA ZONAS JUEGOS INFANTILES DE PARQUESOL.</t>
  </si>
  <si>
    <t>CONTROL DE CALIDAD SUMINISTRO E INSTALACION JUEGOS IN FANTILES EN PLAZA DOCTOR BIOLOGO JOSE ANTONIO VALVERDE.</t>
  </si>
  <si>
    <t>A.T. en el Control de Calidad de la obra ""Reparación de estructuras y mobiliario en la Plaza de la Solidaridad.-</t>
  </si>
  <si>
    <t>CONTROL CALIDAD EN OBRA INSTALACIÓN VENTANAS C.C. JOSÉ LUIS MOSQUERA</t>
  </si>
  <si>
    <t>CONTROL DE CALIDAD EN OBRA REPARACIÓN FILTRACIONES DE AGUA C.C. JOSÉ MARÍA LUELMO</t>
  </si>
  <si>
    <t>CONTROL DE CALIDAD EN LA OBRA INSTALACIÓN LÍNEA DE VIDA Y ESCALERAS EN C.C. ZONA ESTE Y C.C. ZONA SUR</t>
  </si>
  <si>
    <t>CONTROL DE CALIDAD OBRA ARREGLO TEJADO Y FACHADA C.C. CASA CUNA</t>
  </si>
  <si>
    <t>COORDINACION SEGURIDAD Y SALUD INSTALACION JUEGOS INFANTILES EN CAMPO GRANDE, JUNTO ACERA DE RECOLETOS.</t>
  </si>
  <si>
    <t>A.M.Ensayos de control de calidad de obras municipales del Lote 1,Obra de Infraestructura Verde: Barreras Acústicas Vege</t>
  </si>
  <si>
    <t>Ensayos Control Calidad. Lote 1 Obra C/ Nueva del Carmen, entre Pza. Rafael Cano y Pza.Gómez del Barco. Plazo 12 meses.</t>
  </si>
  <si>
    <t>ENSAYOS DE CONTROL DE CALIDAD (LOTE 1) REPARACIONES CUBIERTA ISABEL LA CATÓLICA</t>
  </si>
  <si>
    <t>Ensayos de Control  de Calidad en la obra Reparación de estructuras y mobiliario en la Plaza de la Solidaridad.-</t>
  </si>
  <si>
    <t>MEJORA DE LA VENTILACIÓN E ILUMINACIÓN DEL C.C. JOSÉ LUIS MOSQUERA</t>
  </si>
  <si>
    <t>INGENIERIA Y DESARROLLO SOSTENIBLE DEL SIGLO XXI, S.L.</t>
  </si>
  <si>
    <t>Redacción del Proyecto y A.T. a la Dirección de obra de Rehabilitación integral del Puente Colgante en Valladolid.</t>
  </si>
  <si>
    <t>ANKARA CITY TRES, SL</t>
  </si>
  <si>
    <t>VILLAVICIOSA DE ODON</t>
  </si>
  <si>
    <t>Servicios de asistencia técnica, mantenimiento y soporte del Comp 1 Sistema inteligente de Gestión de TSM. S2CITY</t>
  </si>
  <si>
    <t>ELECNOR SERVICIOS Y PROYECTOS,S.A.U</t>
  </si>
  <si>
    <t>CASTRONUEVO DE ESGUEVA</t>
  </si>
  <si>
    <t>DIARIO DE PRENSA DIGITAL, S.L.</t>
  </si>
  <si>
    <t>EQUIPOS DE RESPIRACIÓN DE SALVAMENTO Y RESCATE PARA INTERVENCIONES; SEISYPC.</t>
  </si>
  <si>
    <t>CONTRATO MENOR SERVICIO DE MANTENIMIENTO INTEGRAL DE INSTALACIONES DE LA CUPULA DEL MILENIO. 01-12-2021 AL 31-03-2022</t>
  </si>
  <si>
    <t>CONTRATACIÓN DE SERVICIOS TÉCNICOS REDACCIÓN DE PROYECTO DE ACONDICIONAMIENTO DE EL PERAL.</t>
  </si>
  <si>
    <t>EUROPEAN GREEN PROTECTION, S.L.</t>
  </si>
  <si>
    <t>CONTRATACION ADIESTRADOR CANINO CMPA</t>
  </si>
  <si>
    <t>MANTENIMIENTO PREVENTIVO Y CORRECTIVO DE INSTALACIONES FOTOVOLTAICAS.- EXP. VS 19/18. LOTE 2: DE AUTOCONSUMO</t>
  </si>
  <si>
    <t>FLUIDOS INDUST.Y CERRAMIENTOS S.L.</t>
  </si>
  <si>
    <t>REPARACIÓN FILTRACIONES DE AGUA C.C. JOSÉ MARÍA LUELMO</t>
  </si>
  <si>
    <t>CONTRATACIÓN DE ESTUDIO SOBRE VIOLENCIA VICARIA PARA LOS AÑOS 2021-2022</t>
  </si>
  <si>
    <t>GALERA PUBLICIDAD, S.L.</t>
  </si>
  <si>
    <t>GRUPO MANTENIMIENTO E INSTALACIONES GRUMAN, S.L.</t>
  </si>
  <si>
    <t>MEJORADA DEL CAMPO</t>
  </si>
  <si>
    <t>IMPRENTA MANOLETE SL</t>
  </si>
  <si>
    <t>Modificado del contrato de obras de infraestructura verde singular JARDIN BIO-FILTRO URBANO URBAN GreenUP (G.A.730426)</t>
  </si>
  <si>
    <t>A.T. CONTROL CALIDAD.LOTE 2 Obra C/ Nueva del Carmen, entre Pza.Rafael Cano y Pza. Gómez del Barco.</t>
  </si>
  <si>
    <t>SERVICIO DE COORDINACIÓN, SEGURIDAD Y SALUD OBRAS CORREDOR VERDE. PROYECTO URBAN GreenUP.</t>
  </si>
  <si>
    <t>JAVIER SACRISTAN PEREZ</t>
  </si>
  <si>
    <t>DIRECCIÓN DE OBRA INSTALACIÓN VENTANAS C.C. JOSÉ LUIS MOSQUERA</t>
  </si>
  <si>
    <t>DIRECCIÓN DE OBRA: REPARACIÓN FILTRACIONES DE AGUA C.C. JOSÉ MARÍA LUELMO</t>
  </si>
  <si>
    <t>DIRECCIÓN DE OBRA: INSTALACIÓN LÍNEA DE VIDA Y ESCALERAS EN C.C. ZONA ESTE Y C.C. ZONA SUR</t>
  </si>
  <si>
    <t>DIRECCIÓN DE OBRA: ARREGLO TEJADO Y FACHADA C.C. CASA CUNA</t>
  </si>
  <si>
    <t>KILLGERM, S.A.</t>
  </si>
  <si>
    <t>GAVA</t>
  </si>
  <si>
    <t>LABORATORIO DE CALIDAD DE MATERIALES, S.L.L.</t>
  </si>
  <si>
    <t>CASTELLANOS DE MORISCOS</t>
  </si>
  <si>
    <t>INSTALACIÓN LÍNEA DE VIDA Y ESCALERAS EN C.C. ZONA ESTE Y C.C. ZONA SUR</t>
  </si>
  <si>
    <t>SEGURIDAD Y SALUD EN OBRAS DE INSTALACIÓN DE ELEVADORES MECÁNICOS EN LA LADERA NORTE DE PARQUESOL. EXP: 42/2021 SEMEU</t>
  </si>
  <si>
    <t>COORDINACION SEGURIDAD Y SALUD, ACTUALIZACION Y MEJORA ZONAS JUEGOS INFANTILES PARQUESOL.</t>
  </si>
  <si>
    <t>COORDINACION SEGURIDAD Y SALUD SUMINISTRO E INSTALACION JUEGOS INFANTILES EN PLAZA DOCTOR BIOLOGO JOSE ANTONIO VALVERDE.</t>
  </si>
  <si>
    <t>MARIA DEL ROSARIO JAULAR MARTÍN</t>
  </si>
  <si>
    <t>MEDIA MARKT VALLADOLID VIDEO-TV-HIFI-ELEKTRO-COMPUTER-FOTO, S.A.</t>
  </si>
  <si>
    <t>Compra de frigorífico para proyectos socio-educativos CEAS Delicias. 27/10/2021</t>
  </si>
  <si>
    <t>CUELLAR</t>
  </si>
  <si>
    <t>DOS SOPORTES DE PROYECTOR DE BANDEJA DE TECHO PARA CC PILARICA</t>
  </si>
  <si>
    <t>MOTORPRESS IBERICA, S.A. SOC.UNIPERSONAL</t>
  </si>
  <si>
    <t>NATALIA DIEZ WIRTON</t>
  </si>
  <si>
    <t>NEUMATICOS ESGUEVA, S.L.</t>
  </si>
  <si>
    <t>NEXT MOTORBIKE, SL</t>
  </si>
  <si>
    <t>ADQUISICIÓN DE VEHÍCULOS PARA POLICÍA MUNICIPAL POR RENOVACIÓN DE FLOTA. LOTE Nº 2.</t>
  </si>
  <si>
    <t>SANT FRUITOS DE BAGES</t>
  </si>
  <si>
    <t>ADQUISICIÓN DE VEHÍCULOS PARA POLICÍA MUNICIPAL POR RENOVACIÓN DE FLOTA. LOTE Nº 1.</t>
  </si>
  <si>
    <t>OBRAS HERGON, S.A.</t>
  </si>
  <si>
    <t>OPT&amp;AUDIO LUIS E HIJOS SOCIEDAD LIMITADA</t>
  </si>
  <si>
    <t>OSCARESCALANTE S.L.U.</t>
  </si>
  <si>
    <t>SARDON DE DUERO</t>
  </si>
  <si>
    <t>PABLO  NUÑEZ IZARD</t>
  </si>
  <si>
    <t>Equipos y materiales para intervención en rescates a diferente altura; SEISYPC.</t>
  </si>
  <si>
    <t>BEJAR</t>
  </si>
  <si>
    <t>OBRA DE INSTALACION DE UN SISTEMA DE RECOGIDA Y TRASVASE DE ACEITE USADO DE VEHÍCULOS EN TALLER DEL Sº DE LIMPIEZA</t>
  </si>
  <si>
    <t>PERFECT PROJECT, S.L.</t>
  </si>
  <si>
    <t>FUTBOLÍN SIN MONEDERO PARA CIC SEGUNDO MONTES</t>
  </si>
  <si>
    <t>HUMANES DE MADRID</t>
  </si>
  <si>
    <t>PERSIANAS MONJA SC</t>
  </si>
  <si>
    <t>PIEDRAS HERNANDO, S.L.</t>
  </si>
  <si>
    <t>PRODUCCIONES CAVE CANEN S.L.</t>
  </si>
  <si>
    <t>SERVICIO DE CELADURIA DEL CENTRO GALERIAS VALLADOLID</t>
  </si>
  <si>
    <t>ARAPILES</t>
  </si>
  <si>
    <t>SISTEMAS METÁLICOS Y CURVADOS, S.L.</t>
  </si>
  <si>
    <t>TALLERES SERCOIN, S.L.</t>
  </si>
  <si>
    <t>PARACUELLOS DE JARAMA (MADRID)</t>
  </si>
  <si>
    <t>THE FREAK CABARET CIRCUS, S.L.</t>
  </si>
  <si>
    <t>CHR EUROPA GESTION Y CONSTRUCCION, SL</t>
  </si>
  <si>
    <t>ADJUDICACIÓN EXPTE.- TRASLADO DEL PARQUE VIAS PÚBLICAS (FASE 2.LOTE 1). Expte. 30/2021  SEMEU.-</t>
  </si>
  <si>
    <t>ARANDA DE DUERO</t>
  </si>
  <si>
    <t>GREDOS OBRAS Y SERVICIOS, SL</t>
  </si>
  <si>
    <t>Acondicionamiento Plaza grupo Aramburu-Las Viudas, entorno del Centro Municipal Segundo Montes.</t>
  </si>
  <si>
    <t>OBRAS PARA ACTUALIZACION Y MEJORA DE LAS ZONAS INFANTILES DE PARQUESOL.</t>
  </si>
  <si>
    <t>UTE ELEVADORES PARQUESOL NORTE</t>
  </si>
  <si>
    <t>CONTRATO DE OBRAS PARA LA INSTALACIÓN DE ELEVADORES MECÁNICOS EN LA LADERA NORTE DE PARQUESOL. EXP: 42/2021 SEMEU</t>
  </si>
  <si>
    <t>NARON</t>
  </si>
  <si>
    <t>MOI INTERIORISMO Y EQUIPAMIENTO SOCIEDAD LIMITADA</t>
  </si>
  <si>
    <t>Adjudicación Compra de mobiliario para ampliación del edificio municipal de Calle Vega Sicilia, 2 -Agencia de Innovación</t>
  </si>
  <si>
    <t>ACONDICIONAMIENTO PLAZA C/ JARDINES DE LA GRANJA DE S. ILDEFONSO (P.P. LOS VIVEROS)</t>
  </si>
  <si>
    <t>PERIS TAMARIT, SL</t>
  </si>
  <si>
    <t>ADJ.EXPTE. CAMIÓN DE 7200 KG.P.M.A. CON PLUMA Y CAJA BASCULANTE CON DESTINO AL C. DE MANTENIMIENTO</t>
  </si>
  <si>
    <t>RAFELBUÑOL</t>
  </si>
  <si>
    <t>Compra quipamiento para ampliación del edificio municipal de Calle Vega Sicilia, 2 - Agencia de Innovación. LOTE Nº 2.</t>
  </si>
  <si>
    <t>ADARO TECNOLOGIA , S.A</t>
  </si>
  <si>
    <t>ASOC CULTURAL LA FLOR DE ROMERO</t>
  </si>
  <si>
    <t>CONTROL DE CALIDAD, ACONDICIONAM. PLAZA C/ JARDINES DE LA GRANJA (P.P. LOS VIVEROS)</t>
  </si>
  <si>
    <t>CONTROL CALIDAD OBRA ADECUACION ESPACIO MARCELINO PONCELA COMO CENTRO ALMACENAMIENTO Y RESTAURACION P. MUEBLE. LOTE 2</t>
  </si>
  <si>
    <t>AT.CONTROL CALIDAD en Plaza grupo Aramburu-Las Viudas, entorno del Centro Municipal Segundo Montes</t>
  </si>
  <si>
    <t>CONTROL DE CALIDAD OBRAS DE INSTALACIÓN DE ELEVADORES MECÁNICOS EN LA LADERA NORTE DE PARQUESOL. (LOTE 2) EXP: 42/2021</t>
  </si>
  <si>
    <t>TEIRLOG INGENIERIA SL</t>
  </si>
  <si>
    <t>Consultoría para el desarrollo de Plataforma Logística Intermodal en la ciudad de Valladolid</t>
  </si>
  <si>
    <t>BIOLID INDUSTRIAS GRÁFICAS, S.L.</t>
  </si>
  <si>
    <t>ZAMUDIO</t>
  </si>
  <si>
    <t>CENTRO DE ESTUDIOS DE MATERIALES Y CONTROL DE OBRAS, S.A. (CEMOSA)</t>
  </si>
  <si>
    <t>CONTROL DE CALIDAD LOTE 1: ENSAYOS// OBRA REHABILITACION ANTIGUO FRONTON DE LAS FLORES PARA CENTRO DOTACIONAL</t>
  </si>
  <si>
    <t>CONTROL CALIDAD OBRA ADECUACION ESPACIO MARCELINO PONCELA COMO CENTRO ALMACENAMIENTO Y RESTAURACION P. MUEBLE. LOTE 1</t>
  </si>
  <si>
    <t>Ensayos Control Calidad enAcondicionamiento Plaza grupo Aramburu-Las Viudas, entorno del Centro Municipal Segundo Montes</t>
  </si>
  <si>
    <t>ACUERDO MARCO. REPARACIÓN DE MOTOCICLETAS DE POLICÍA MUNICIPAL.</t>
  </si>
  <si>
    <t>Gasto complementario obras reforma vivienda c/ Guardería nº 6, bajo D,  por realizar trabajos a mayores.</t>
  </si>
  <si>
    <t>FUNDACIÓN CARTIF</t>
  </si>
  <si>
    <t>Preparación y entrega de propuesta de participación en proyecto de Distrito de Energía Positiva Limpia -Horizonte Europa</t>
  </si>
  <si>
    <t>Alquiler y retirada de contenedores de obra, a demanda según necesidades.-</t>
  </si>
  <si>
    <t>Adquisición de 47 equipos de protección individual craneal ligeros; SEISYPC</t>
  </si>
  <si>
    <t>DANIEL CEJUDO FERNANDEZ</t>
  </si>
  <si>
    <t>CIGALES</t>
  </si>
  <si>
    <t>DE DIEGO LOZANO,CB</t>
  </si>
  <si>
    <t>DISTROMEL, S.A.</t>
  </si>
  <si>
    <t>SAN ESTEBAN DE LITERA</t>
  </si>
  <si>
    <t>COORDINACIÓN DE SEGURIDAD Y SALUD OBRA REHABILITACION ANTIGUO FRONTON DE LAS FLORES PARA CENTRO DOTACIONAL</t>
  </si>
  <si>
    <t>CONTRATO MANTENIMIENTO DEL MOBILIARIO URBANO.</t>
  </si>
  <si>
    <t>ESTRELLA RESCO LOPEZ</t>
  </si>
  <si>
    <t>ESPINOSA DE LOS MONTEROS</t>
  </si>
  <si>
    <t>FORTUNATO GUTIERREZ CEA</t>
  </si>
  <si>
    <t>FUND.TUTELAR CASTE-LEONESA PERSONAS DISCAP.INTEL.O DESARROLLO - FUTUDIS</t>
  </si>
  <si>
    <t>GRÁFICAS MALPICA, S.L.</t>
  </si>
  <si>
    <t>ESTUDIO PATOLOGÍAS Y ANÁLISIS ESTRUCTURAL EN AZUCARERA SANTA VICTORIA</t>
  </si>
  <si>
    <t>TALWAR TECHNOLOGIES, S.L.L.</t>
  </si>
  <si>
    <t>VALMOJADO 105</t>
  </si>
  <si>
    <t>CONTRATO COORDINACIÒN, SEGURIDAD Y SALUD OBRAS INFRAESTRUCTURA VERDE ""BARRERAS ACÚSTICAS VEGETALES"". PROY. URAN GreenUP.</t>
  </si>
  <si>
    <t>COORDINACION SEGURIDAD Y SALUD, ACONDICIONAM. PLAZA C/ JARDINES DE LA GRANJA (P.P. LOS VIVEROS)</t>
  </si>
  <si>
    <t>COORDINACION SEGURIDAD Y SALUD, EJECUCION ROCKGARDEN EN CERRO DE LAS CONTIENDAS.</t>
  </si>
  <si>
    <t>APROBACION EXPTE.-Control Seguridad y Salud Obra Traslado del Parque Vías Públicas Fase 2. Lote 1. Expte.30/2021 SEMEU.-</t>
  </si>
  <si>
    <t>APROBACION EXPTE.-Control Seg y Salud Obra Urbaniz Traslado Parque Vías Públicas.FASE 2.LOTE 2. Expte 30/2021 SEMEU.-</t>
  </si>
  <si>
    <t>JESUS MARIA SAN JOSE PEREZ</t>
  </si>
  <si>
    <t>JOSE DANIEL MARTINEZ RUIZ</t>
  </si>
  <si>
    <t>CONTROL DE CALIDAD OBRAS DE INSTALACIÓN DE ELEVADORES MECÁNICOS EN LA LADERA NORTE DE PARQUESOL.  (LOTE 1) EXP. 42/2021</t>
  </si>
  <si>
    <t>OBRA PARA INSTALACION EN TALLER DE UNA ESTACION DE SUMINISTRO DE UREA PARA VEHICULOS DEL SERVICIO DE LIMPIEZA</t>
  </si>
  <si>
    <t>RED PRODUCCIONES, S.L.</t>
  </si>
  <si>
    <t>SERVICIO DE ACCESO A INTERNET SIMÉTRICO Y GARANTIZADO DEL EXCMO. AYUNTAMIENTO DE VALLADOLID</t>
  </si>
  <si>
    <t>MULTIPARK ESPECTACULOS, SOCIEDAD LIMITADA</t>
  </si>
  <si>
    <t>RUBEN PEREZ DELGADO</t>
  </si>
  <si>
    <t>SARA BURGOS PANERO</t>
  </si>
  <si>
    <t>MARIA JOSE LARENA  GOROSTIAGA</t>
  </si>
  <si>
    <t>RADHANIL</t>
  </si>
  <si>
    <t>SAMYL FACILITY SERVICES, S.L.</t>
  </si>
  <si>
    <t>CONTRATO MANTENIMIENTO AREAS DE JUEGOS INFANTILES.</t>
  </si>
  <si>
    <t>MERCK LIFE SCIENCE SLU</t>
  </si>
  <si>
    <t>CONTRATO MANTENIMIENTO FUENTES PUBLICAS ORNAMENTALES Y CENTROS DE BOMBEO.</t>
  </si>
  <si>
    <t>ADQUISICIÓN MÁQUINA ELÉCTRICA CON TRACCIÓN, CABEZAL 2 CEPILLOS, BATERÍAS Y CARGADOR BATERÍAS</t>
  </si>
  <si>
    <t>EJECUCION DE ROCKGARDEN EN CERRO DE LAS CONTIENDAS.</t>
  </si>
  <si>
    <t>ADJ.EXPTE.ADQUISICIÓN DE TRES VEHÍCULOS CENTRO DE MANTENIMIENTO EXPTE. 21/2021</t>
  </si>
  <si>
    <t>2022 10 2311 22799</t>
  </si>
  <si>
    <t>2022 08 1341 609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</si>
  <si>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</si>
  <si>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</si>
  <si>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</si>
  <si>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</si>
  <si>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2022 08 1341 22799</t>
  </si>
  <si>
    <t>2022 08 1532 619</t>
  </si>
  <si>
    <t>SEGUNDA PRÓRROGA LOTE 1 CONTRATO CONSERVACIÓN. PRESUPUESTO ORDINARIO. EXP: 11/2018</t>
  </si>
  <si>
    <t>2022 08 1651 22100</t>
  </si>
  <si>
    <t>Contrato de energía eléctrica para alumbrado público</t>
  </si>
  <si>
    <t>2ª AMPLIACION CONTRATO SERVICIO AYUDA A DOMICILIO-LOTE 1- MAYOR DEMANDA E INCREMENTO FINANCIACION-AÑO2022 Y ENE-AG 2023.</t>
  </si>
  <si>
    <t>2022 06 3232 22700</t>
  </si>
  <si>
    <t>2022 08 1651 619</t>
  </si>
  <si>
    <t>LOTE 1 conservación, reparación y reforma de instalaciones de alumbrado exterior del municipio de Valladolid EXP: 8/2021</t>
  </si>
  <si>
    <t>2022 0550 4312 632</t>
  </si>
  <si>
    <t>ADJUDICACIÓN CONTRATO OBRAS REMODELACIÓN MERCADO RONDILLA STA TERESA</t>
  </si>
  <si>
    <t>SEGUNDA PRORROGA Contrato Conservación de Vías Públicas. LOTE 2. AGLOMERADO.-</t>
  </si>
  <si>
    <t>2022 07 1711 610</t>
  </si>
  <si>
    <t>PRORROGA CONTRATO MANTENIMIENTO JARDINES ZONAS SUR Y ESTE-LOTE 1, HASTA 30/9/2022.</t>
  </si>
  <si>
    <t>2022 08 1532 622</t>
  </si>
  <si>
    <t>Ejercicio 2022. Traslado Parque Vías Públicas (Fase 2. Lote 1). Expte 30/2021   SEMEU.</t>
  </si>
  <si>
    <t>2022 08 1341 619</t>
  </si>
  <si>
    <t>CONTRATO GESTIÓN INTEGRAL SISTEMA CENTRALIZADO CONTROL DE TRÁFICO (2022/2023/1 enero a 31 agosto'2024)</t>
  </si>
  <si>
    <t>SEGUNDA PRORROGA Contrato de Conservación Vías Públicas. Lote 1. Actuaciones de Presupuestos Participativos 2022.-</t>
  </si>
  <si>
    <t>2022 04 9231 22201</t>
  </si>
  <si>
    <t>CONTRATO SERVICIOS POSTALES AYTO. VALLADOLID - AÑOS 2022 - LOTE 1</t>
  </si>
  <si>
    <t>2022 08 1532 609</t>
  </si>
  <si>
    <t>Ejercicio 2022. Obras Urbanización Traslado Parque Vías Públicas (Fase 2. Lote 2). Expte. 30/2021  SEMEU.</t>
  </si>
  <si>
    <t>2022 10 2312 622</t>
  </si>
  <si>
    <t>CONTRATO MANTENIMIENTO JARDINES ZONA CENTRO, HASTA 13/5/22.</t>
  </si>
  <si>
    <t>2022 11 1621 22103</t>
  </si>
  <si>
    <t>2022 11 1321 22701</t>
  </si>
  <si>
    <t>1ª PRÓRROGA CONTRATO DE VIGILANCIA DEPENDENCIAS AYUNTAMIENTO DEL 1 DE ENERO AL 31 DE DICIEMBRE DE 2022.</t>
  </si>
  <si>
    <t>2022 06 3231 622</t>
  </si>
  <si>
    <t>SE-EIJI 21/2021. CONTRATO DE OBRAS EJECUCIÓN DE ESCUELA INFANTIL EN C/SEMINARIO  C/V A C/TIRSO DE MOLINA. 01/01 A 15/08.</t>
  </si>
  <si>
    <t>2022 10 2312 22799</t>
  </si>
  <si>
    <t>CONTRATO SERV. GESTION ALBERGUE MUNICIPAL  PARA ATENCIÓN A PERSONAS SIN HOGAR DE 1 ENERO 2022 A 31 MARZO 2024. COVID-19</t>
  </si>
  <si>
    <t>2022 02 1511 609</t>
  </si>
  <si>
    <t>2022 06 3232 22102</t>
  </si>
  <si>
    <t>PR-SE 10/2021.(PS 3 EXPTE SE 10/2019). PRORROGA SUMINISTRO DE GAS EN COLEGIOS PUBLICOS. 01/01/2022 A 31/09/2022.</t>
  </si>
  <si>
    <t>CONTRATO MANTENIMIENTO JARDINES ZONA NORTE, HASTA 31/5/22.</t>
  </si>
  <si>
    <t>CONTRATO CONTROL DE CALIDAD OBRA DE ADAPTACION P29 DEL MERCADO LAS DELICIAS PARA PUNTO LIMPIO DE PROXIMIDAD</t>
  </si>
  <si>
    <t>2022 03 9241 22100</t>
  </si>
  <si>
    <t>ENERGÍA ELÉCTRICA SERVICIO DE PARTICIPACIÓN CIUDADANA</t>
  </si>
  <si>
    <t>2022 06 3232 22100</t>
  </si>
  <si>
    <t>PR-SE 13/2021. NUEVO CONTRATO SUMINISTRO DE ENERGÍA ELÉCTRICA AYUNTAMIENTO DE VALLADOLID. COLEGIOS PÚBLICOS.</t>
  </si>
  <si>
    <t>2022 04 9204 216</t>
  </si>
  <si>
    <t>ASISTENCIA TÉCNICA OPERACIÓN, CAU, Y MTO  DEL SOFTWARE DE BASE Y COMUNICACIONES LOTE 2, DEL 8/2/22  AL 7/2/23</t>
  </si>
  <si>
    <t>2022 03 9241 632</t>
  </si>
  <si>
    <t>CONTRATO CONTROL DE CALIDAD OBRAS REMODELACIÓN GALERIAS MUNICIPALES DE ALIMENTACIÓN RONDILLA STA.. TERESA (LOTE 1)</t>
  </si>
  <si>
    <t>2022 11 1321 22799</t>
  </si>
  <si>
    <t>CONTRATACIÓN DEL MANTENIMIENTO DEL SERVICIO DE TELECOMUNICACIONES DE  POLICÍA Y SEISPC EJERCICIO 2022.</t>
  </si>
  <si>
    <t>CONTRATO CONTROL DE CALIDAD OBRAS REMODELACIÓN GALERIAS MUNICIPALES DE ALIMENTACIÓN RONDILLA STA. TERESA (LOTE 2)</t>
  </si>
  <si>
    <t>2022 06 3261 22799</t>
  </si>
  <si>
    <t>SE-EIJI 1/2019 PS 2. PRORROGA CONTRATO DE SERVICIO DEL PROGRAMA ""APRENDIZAJE A LO LARGO DE LA VIDA"" HASTA EL 31/07/2023.</t>
  </si>
  <si>
    <t>2022 11 1621 22700</t>
  </si>
  <si>
    <t>PRORROGA CONTRATO SERVICIO MANTENIMIENTO Y LAVADO CONTENEDORES DEL Sº LIMPIEZA DEL 1-1 AL 30-9-2022</t>
  </si>
  <si>
    <t>Obras de Urbanización de la calle NUEVA DEL CARMEN.-</t>
  </si>
  <si>
    <t>2022 11 1621 634</t>
  </si>
  <si>
    <t>2022 03 9241 22700</t>
  </si>
  <si>
    <t>2022 02 1501 619</t>
  </si>
  <si>
    <t>ADJ.CONTRATO SEGURIDAD Y SALUD LOTE 1 OBRAS EN EDIFICACIONES DEL (2.01. A 15.10.2022)</t>
  </si>
  <si>
    <t>2022 06 3321 622</t>
  </si>
  <si>
    <t>2022 04 9204 22200</t>
  </si>
  <si>
    <t>TELEFONÍA FIJA , MÓVIL Y DATOS, LOTE 1</t>
  </si>
  <si>
    <t>2022 07 1711 22100</t>
  </si>
  <si>
    <t>CONTRATO SUMINISTRO ENERGIA ELECTRICA, SERVICIO DE PARQUES Y JARDINES.</t>
  </si>
  <si>
    <t>2022 06 3231 22799</t>
  </si>
  <si>
    <t>Control de Seguridad y Salud - Obra de acondicionamiento de Mercado Rondilla de Santa Teresa</t>
  </si>
  <si>
    <t>2022 07 1721 633</t>
  </si>
  <si>
    <t>VS 3/17 PRÓRROGA DEL CONTRATO RELATIVO AL MANTENIMIENTO INTEGRAL DE LA RCCAVA. SERVICIO MEDIO AMBIENTE.</t>
  </si>
  <si>
    <t>PRORROGA CONTRATO SERVICIO MANTENIMIENTO PLATAFORMAS SOTERRADAS AYUNTAMIENTO DE VALLADOLID, 1-1 AL 31-8-2022</t>
  </si>
  <si>
    <t>2022 11 1631 214</t>
  </si>
  <si>
    <t>AC MARCO EXP SPSC 23/2020: REPARACION DE FURGON 1277-KMD: MANO DE OBRA Y MATERIALES // TERMOSTATO, VEHÍCULO 1307-KMD</t>
  </si>
  <si>
    <t>2022 03 9241 22609</t>
  </si>
  <si>
    <t>Concierto de Paco Díez en el CC Bailarín Vicente Escudero el día 20/03/2022. MFS</t>
  </si>
  <si>
    <t>PRÓRROGA LOTE 2 SEÑALIZACIÓN HORIZONTAL ""CONTRATO SEÑALIZACIÓN VIAL EN VALLADOLID"" EXP. 11/2018 (PS 1) enero-jul 2022</t>
  </si>
  <si>
    <t>2022 03 9241 203</t>
  </si>
  <si>
    <t>2022 01 9312 213</t>
  </si>
  <si>
    <t>PRORROGA CONTRATO COPIAS MAQUINA KYOCERA 4053 SERIE RFC9Y20562 INTERVENCION HASTA EL 7 DE FEBRERO DE 2022</t>
  </si>
  <si>
    <t>2022 01 9312 203</t>
  </si>
  <si>
    <t>PRORROGA CONTRATO ALQUILER KYOCERA 4053 RFC9Y20464 DEPARTAMENTO DE CONTABILIDAD HASTA 7 DE FEBRERO DE 2022</t>
  </si>
  <si>
    <t>2022 08 1301 203</t>
  </si>
  <si>
    <t>2022 08 1301 213</t>
  </si>
  <si>
    <t>2022 04 9341 213</t>
  </si>
  <si>
    <t>PRORROGA CONTRATO ALQUILER KYOCERA 4053 SERIE RFC9Y20567 INTERVENCION GENERAL HASTA EL 7 DE FEBRERO DE 2022</t>
  </si>
  <si>
    <t>PRORROGA CONTRATO COPIAS KYOCERA 4053 SERIE RFC9Y20464 DEPARTAMENTO DE CONTABILIDAD HASTA EL 7 DE FEBRERO DE 2022</t>
  </si>
  <si>
    <t>2022 04 9311 203</t>
  </si>
  <si>
    <t>ESTIMACION COPIAS FOTOCOPIADORA (TIPO 6) DE LA OFICINA PRESUPUESTARIA DEL 1 ENERO AL 7 DE FEBRERO DE 2022</t>
  </si>
  <si>
    <t>ALQUILER FOTOCOPIADORA (TIPO 6) DE LA OFICINA PRESUPUESTARIA DEL 1 DE ENERO AL 7 DE FEBRERO DE 2022</t>
  </si>
  <si>
    <t>2022 01 9206 213</t>
  </si>
  <si>
    <t>COPIAS 2 FOTOCOPIADORAS KYOCERA (B&amp;N Y COLOR) PARA EL ARCHIVO, DEL 1 DE ENERO DE 2022 AL 7 DE FEBRERO DE 2022</t>
  </si>
  <si>
    <t>2022 01 9206 203</t>
  </si>
  <si>
    <t>ALQUILER DE DOS FOTOCOPIADORAS KYOCERA (TIPOS 5 Y 6) PARA EL ARCHIVO, DEL 1 DE ENERO DE 2022 AL 7 DE FEBRERO DE 2022</t>
  </si>
  <si>
    <t>2022 05 4331 203</t>
  </si>
  <si>
    <t>PRORROGA CONTRATO CENTRALIZADO ALQUILER Y COPIASM FOTOCOPIADORAS AGENCIA INNOVACION (3 máquinas)</t>
  </si>
  <si>
    <t>2022 04 9204 213</t>
  </si>
  <si>
    <t>2022 02 1501 203</t>
  </si>
  <si>
    <t>PRORROGA CONTRATO IMPRESION CORPORATIVA, (FOTOCOPIADORAS), SE 53-2019. DE 01-01 A 08-02-2022</t>
  </si>
  <si>
    <t>2022 11 1621 213</t>
  </si>
  <si>
    <t>PRORROGA CONTRATO SISTEMAS DE IMPRESIÓN Y FOTOCOPIADO (SERVICIO DE LIMPIEZA)</t>
  </si>
  <si>
    <t>2022 02 9331 203</t>
  </si>
  <si>
    <t>PRÓRROGA  CONTRATO ALQUILER FOTOCOPIADORA DEPARTAMENTO DE PATRIMONIO ENERO-FEBRERO 2022 (EXPTE SE 53/2019)</t>
  </si>
  <si>
    <t>2022 02 9331 213</t>
  </si>
  <si>
    <t>PRÓRROGA CONTRATO FOTOCOPIADORA DPTO DE PATRIMONIO ESTIMACIÓN COPIAS ENERO-FEBRERO 2022 (EXP. SE 53/2019)</t>
  </si>
  <si>
    <t>2022 09 3341 22609</t>
  </si>
  <si>
    <t>AA.VV. VICENTE ESCUDERO</t>
  </si>
  <si>
    <t>COLABORACION PROYECCION PELICULA POR LA IGUALDAD DE LA MUJER. ACCION RED CIUDADES CREATIVAS UNESCO, VA CITY OF FILM</t>
  </si>
  <si>
    <t>2022 04 9209 203</t>
  </si>
  <si>
    <t>2022 11 1321 213</t>
  </si>
  <si>
    <t>IMPORTE DEL SERVICIO DE IMPRESIÓN CORPORATIVA DEL 1 DE ENERO AL 7 DE FEBRERO DE 2022 POLICIA.</t>
  </si>
  <si>
    <t>2022 06 2315 213</t>
  </si>
  <si>
    <t>PRORROGA CONTRATO DE IMPRESION CORPORATIVA SERVICIO DE IGUALDAD 2 MAQUINAS 01/01/2022 AL 7/02/2022 SE74/2020</t>
  </si>
  <si>
    <t>2022 06 3232 213</t>
  </si>
  <si>
    <t>PRORROGA CONTRATO DE IMPRESION CORPORATIVA. SERVICIO DE EDUCACION. 2 MAQUINAS. 01/01/2022 A 07/02/2022. EXPTE SE 74/2020</t>
  </si>
  <si>
    <t>2022 05 4301 203</t>
  </si>
  <si>
    <t>PRORROGA CONTRATO DE IMPRESIÓN CORPORATIVA DESDE 1 DE ENERO DE 2022 HASTA EL 7 DE FEBRERO DE 2022</t>
  </si>
  <si>
    <t>2022 04 9321 203</t>
  </si>
  <si>
    <t>EQUIPOS: FC11372, FC011304, FC011305 y FC011306. Servicios: GESTIÓN DE INGRESOS-INSPECCIÓN. De 1/1 a 7/2/2022</t>
  </si>
  <si>
    <t>2022 01 9201 203</t>
  </si>
  <si>
    <t>Alquiler fotocopiadoras Secretaría General, 1 enero a 8 febrero 2022.</t>
  </si>
  <si>
    <t>2022 01 9201 213</t>
  </si>
  <si>
    <t>Gastos fotocopias Secretaría General (1enero a 8 febrero 2022).</t>
  </si>
  <si>
    <t>2022 11 3111 203</t>
  </si>
  <si>
    <t>PRORROGA CONTRATO IMPRESION CORPORATIVA SERVICIO SALUD 1 ENERO 2022 A 7 FEBRERO 2022</t>
  </si>
  <si>
    <t>2022 07 1721 203</t>
  </si>
  <si>
    <t>2022 10 2312 213</t>
  </si>
  <si>
    <t>CONTRATO MANTEN. COPIADORAS E IMPRESION  CPMS NO TRANSFERIDOS  Y SERVICIOS CENTRALES DEL  01/01/22 AL 07/02/22</t>
  </si>
  <si>
    <t>CONTRATO MANTEN. COPIADORAS E IMPRESION  CPMS TRANSFERIDOS  DEL  01/01/22 AL 07/02/22</t>
  </si>
  <si>
    <t>2022 09 3301 213</t>
  </si>
  <si>
    <t>2022 11 1361 213</t>
  </si>
  <si>
    <t>Contrato Impresión Corporativa Expte.:SE53/2019; Del 1/Enero/2022 al 7/Febrero/2022;SEISYPC.</t>
  </si>
  <si>
    <t>2022 10 2313 213</t>
  </si>
  <si>
    <t>CONTRATO MANT.FOTOCOP-IMPRESION CONCEJALIA-DIREC.AREA Y SECRET.EJEC.AREA SERV.SOC.Y MEDIACION COMUN DEL 1/1/ A 7/2/22</t>
  </si>
  <si>
    <t>2022 10 2311 213</t>
  </si>
  <si>
    <t>ALQUILER Y MANTENIMIENTO DE EQUIPOS IMPRESION Y FOTOCOP.COMEDOR SOCIAL (PROY.FIN.AF) DE 1-1 A 7-2-22</t>
  </si>
  <si>
    <t>ALQUILER Y MANTENIMIENTO DE EQUIPOS IMPRESION Y FOTOCOP.CEAS Y SERVICIOS CENTRALES DE 1 ENE A 7 FEB 2022</t>
  </si>
  <si>
    <t>2022 10 2316 213</t>
  </si>
  <si>
    <t>CONTRATO MANTENIMIENTO COPIADORA E IMPRESION DEL CENTRO DE ATENCION AL INMIGRANTE- DE 1 ENE A 7 FEB 2022</t>
  </si>
  <si>
    <t>ALQUILER Y MANTENIMIENTOS DE EQUIPOS IMPRESION Y FOTOCOP. VARIOS CEAS. DEL 1 ENERO AL 7 FEBRERO DE 2022</t>
  </si>
  <si>
    <t>2022 10 2412 213</t>
  </si>
  <si>
    <t>CONTRATO MANTENIMIENTO COPIADORAS E IMPRESION CENTRO DE FORMACION PARA EL EMPLEO DEL 01/01/2022 AL 07/02/2022</t>
  </si>
  <si>
    <t>SUSTITUCION IMPRESORA TIPO 4 POR TIPO 6 - Dº AREA SALUD PUBLICA Y SEGURIDAD CIUDADANA DE 1 ENERO A 7 FEBRERO 2022</t>
  </si>
  <si>
    <t>ADJUDICAR CONTRATO SUMINISTRO DE IMPRESIÓN CORPORATIVA DEL 8.02 A 31.12.22; 1.01.A 31.12.23; 1.01 A 7.02.24.</t>
  </si>
  <si>
    <t>2022 01 9205 203</t>
  </si>
  <si>
    <t>ADJUDICA --&gt; EXPED PR-SE-40/2021 CONTRATO IMPRESIÓN CORPORATIVA 08/02/2022 a 31/12/2022 IMPRENTA máquina tipo IN4</t>
  </si>
  <si>
    <t>2022 01 9205 213</t>
  </si>
  <si>
    <t>ADJUDICA EXPED PR-SE-40/2021 COPIAS CONTRATO IMPRESIÓN CORPORATIVA 08/02/2022 a 31/12/2022 ---&gt; IMPRENTA</t>
  </si>
  <si>
    <t>2022 01 9207 213</t>
  </si>
  <si>
    <t>ADJUDICA  EXPED PR-SE-40/2021 COPIAS IMPRESIÓN CORPORATIVA 08/02/2022 a 31/12/2022 GOBIERNO Y RELACIONES 5 MÁQUINAS</t>
  </si>
  <si>
    <t>2022 01 9207 203</t>
  </si>
  <si>
    <t>ADJUDICA EXPED PR-SE-40/2021 ALQUILER IMPRESIÓN CORPORATIVA 08/02/2022 a 31/12/2022 GOBIERNO Y RELACIONES: 5 MÁQUINAS</t>
  </si>
  <si>
    <t>ALQUILER/COPIAS IMPRESION Sº SALUD Y Dº Aª SALUD P. SEGURIDAD C./8 FB A 31 DC. 2022/1 EN A 31 DC.2023/1 EN A 7 FB 2024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</si>
  <si>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</si>
  <si>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</si>
  <si>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CONTRATO SUMINISTRO IMPRESIÓN CORPORATIVA (EQUIPOS MULTIFUNCIÓN CONCEJALÍA/DIRECCIÓN Y SECR. EJECUTIVA PLANIF. Y REC.).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</si>
  <si>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</si>
  <si>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</si>
  <si>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</si>
  <si>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</si>
  <si>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</si>
  <si>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PREVISIONES DE GASTO EQUIPOS DE IMPRESIÓN TESORERÍA Y RECAUDACIÓN</t>
  </si>
  <si>
    <t>Adjudicación. Contrato centralizado de Suministro de Impresión Corporativa (dos años).</t>
  </si>
  <si>
    <t>2022 08 1341 203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</si>
  <si>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</si>
  <si>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</si>
  <si>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2022 08 1341 213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</si>
  <si>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</si>
  <si>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</si>
  <si>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</si>
  <si>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2022 05 4312 203</t>
  </si>
  <si>
    <t>CONTRATO DEL SUMINISTRO DE IMPRESION CORPORATIVA PARA LAS DEPENDENCIAS DEL EXCMO . AYTO. DE VALLADOLID</t>
  </si>
  <si>
    <t>Consumos fotocopiadoras Área Mov. y Espacio Urbano (SEMEU-CONCEJ pta. 38, LIC pta. 19, SCIE pta 18 bis, INF. URB. pta 9)</t>
  </si>
  <si>
    <t>2022 04 9231 213</t>
  </si>
  <si>
    <t>CONTRATO IMPRESION CORPORATIVA - SERV. INFORMACION Y ADMON. ELECTRONICA 2022-2024</t>
  </si>
  <si>
    <t>Alquiler fotocopiadoras Área Mov. y Espacio Urbano (SEMEU-CONCEJ pta. 38, LIC pta 19, SCIE pta 18 bis, INF. URB. pta 19)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</si>
  <si>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</si>
  <si>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</si>
  <si>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ALQUILER FOTOCOPIADORA DEPARTAMENTO DE CONTABILIDAD DESDE 8-2-2022 A 7-2-2024</t>
  </si>
  <si>
    <t>ALQUILER FOTOCOPIADORA PARA INTERVENCION GENERAL DESDE 8-2-2022 A 7-2-2024.</t>
  </si>
  <si>
    <t>ESTIMACION COPIAS MAQUINA FOTOCOPIADORA INTERVENCION GENERAL DESDE 8-2-2022 A 7-2-2024</t>
  </si>
  <si>
    <t>2022 04 9204 636</t>
  </si>
  <si>
    <t>SERVICIO DE MANTENIMIENTO Y REPARACIÓN DE LOS EQUIPOS DE TRATAMIENTO DE LA INFORMACIÓN. (S. I. CRÍTICOS)  LOTE 2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</si>
  <si>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</si>
  <si>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</si>
  <si>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</si>
  <si>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</si>
  <si>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2022 08 1532 203</t>
  </si>
  <si>
    <t>Contrato de ALQUILER DE FOTOCOPIADORAS  del S.E.P.I. entre el 8 de febrero y el 31 de diciembre de 2022.-</t>
  </si>
  <si>
    <t>2022 08 1532 213</t>
  </si>
  <si>
    <t>Contrato de COPIAS PARA FOTOCOPIADORAS del S.E.P.I. entre el 8 de febrero y el 31 de diciembre de 2022.-</t>
  </si>
  <si>
    <t>CONTRATO IMPRESIÓN CORPORATIVA (DEL 8-02-2022 AL 7-02-2024)</t>
  </si>
  <si>
    <t>CONTRATO SUMINISTRO DE IMPRESION CORPORATIVA. 08/02/2022 A 07/02/2024. EDUCACIÓN.</t>
  </si>
  <si>
    <t>2022 06 3321 213</t>
  </si>
  <si>
    <t>CONTRATO SUMINISTRO DE IMPRESIÓN CORPORATIVO. 08/02/2022 A 07/02/2024. BIBLIOTECAS PÚBLICAS.</t>
  </si>
  <si>
    <t>CONTRATO SUMINISTRO DE IMPRESIÓN CORPORATIVA. 08/02/2022 A 07/02/2024. IGUALDAD</t>
  </si>
  <si>
    <t>Equipos para los Servicios de Gestión de Ingresos e Inspección Tributaria, de 8 de febrero a 31 de diciembre 2022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</si>
  <si>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</si>
  <si>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</si>
  <si>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Contrato de alquiler fotocopiadoras de Secretaría General 2022-2024.</t>
  </si>
  <si>
    <t>Previsión gastos copias Secretaría General contrato de impresión 2022-2024.</t>
  </si>
  <si>
    <t>2022 04 3121 213</t>
  </si>
  <si>
    <t>Alquiler y copias fotocopiadoras de 8-2-2022 a 7-2-2024. Servicio de Prevención y Salud Laboral</t>
  </si>
  <si>
    <t>CONTRATO PARA EL ALQUILER DE IMPRESORAS Y FOTOCOPIADORAS. SERVICIO DE MEDIO AMBIENTE</t>
  </si>
  <si>
    <t>CONTRATO IMPRESIÓN CORPORATIVA DEL 8 DE FEBRERO AL 31 DE DICIEMBRE DE 2022; SEISYPC.</t>
  </si>
  <si>
    <t>COPIAS 01/10/2021 - 29/12/2021 //  N. SERIE RFC9Y20741 - FC011343 // CC DELICIAS</t>
  </si>
  <si>
    <t>COPIAS 01/10/2021 - 29/12/2021 // N. SERIE RFC9Y2085 - FC011387 // SANTA ANA, SERV. DE PROCEDIMIENTO, 2º PLTA DCHA</t>
  </si>
  <si>
    <t>AJUSTE PRESUPUESTARIO DEMANTENIMIENTO COPIADORAS E IMPRESION C. DE FORMACION PARA EL EMPLEO DEL 01/01/2022 AL 07/02/2022</t>
  </si>
  <si>
    <t>AJUSTE PRESUP. CONTRATO MANTENIMIENTO COPIADORAS E IMPRESION C. DE FORMACION PARA EL EMPLEO DEL 08/02/2022 AL 31/12/2022</t>
  </si>
  <si>
    <t>2022 11 3111 213</t>
  </si>
  <si>
    <t>2022 03 9241 22102</t>
  </si>
  <si>
    <t>PRÓRROGA CONTRATO SUMINISTRO DE GAS (DEL 01/01 AL 30/09 DE 2022) SERVICIO DE PARTICIPACIÓN CIUDADANA</t>
  </si>
  <si>
    <t>UTE ESTE BARRIO</t>
  </si>
  <si>
    <t>lucha contra la exclusión en barriadas vulnerables de zona este-serv.y activ.-contrato 13 meses-inicio febrero 2022</t>
  </si>
  <si>
    <t>2022 01 9203 213</t>
  </si>
  <si>
    <t>MANTENIMIENTO APLICACION INFORMATICA CONTROL HORARIO WCRONOS AÑO 2022</t>
  </si>
  <si>
    <t>2022 11 1621 22799</t>
  </si>
  <si>
    <t>2022 10 2412 22199</t>
  </si>
  <si>
    <t>KG. DE MARMOLINA BLANCA / KG. MARMOLINA VERDE / SACA PUZOLANA VOLCÁNICA // PROG. MIXTO PARQUES Y JARDINES III</t>
  </si>
  <si>
    <t>2022 07 1711 22199</t>
  </si>
  <si>
    <t>SUMINISTRO DE  TIERRA MANTILLO (8 UNIDADES) // PROGR. MIXTO PARQUES Y JARDINES III DEL C. DE F.EMPLEO /DURACION 1 DIA</t>
  </si>
  <si>
    <t>2022 02 9332 22100</t>
  </si>
  <si>
    <t>ADJUDICAR LOTE 1 EXPTE. SUMINISTRO ENERGÍA ELÉCTRICA PARA ÁREA PLANEAMIENTO URBANÍSTICO Y VIVIENDA</t>
  </si>
  <si>
    <t>SUMINISTRO DE M3 TIERRA VEGETAL CRIBADA (7) /// CURSO: PROG MIXTO PARQUES Y JARDINES III Nº 47/0002/2021-DURACION 1 DIA</t>
  </si>
  <si>
    <t>SUMINISTRO DE PV SACO PUZOLANA  VOLCÁNICA/ SACO MARMOLINA/ SACA CORTEZA DECORATIVA // PROG. MIXTO PARQUES Y JARDINES III</t>
  </si>
  <si>
    <t>2022 07 1711 22799</t>
  </si>
  <si>
    <t>SUMINISTRO DE SACA PUZOLANA VOLCANICA,SACO MARMOLINA BLANCA (10) CURSO PARQUES Y JARDINES III (EXPT 47/0002/2021)-D1 DIA</t>
  </si>
  <si>
    <t>ACCEM</t>
  </si>
  <si>
    <t>Provisión de plazas habitacionales de carácter integral con atención psicosocial para personas/familias sin hogar 2022</t>
  </si>
  <si>
    <t>2022 08 1341 22100</t>
  </si>
  <si>
    <t>ENERGÍA ELÉCTRICA 2022-2023 _ CENTRO DE MOVILIDAD URBANA</t>
  </si>
  <si>
    <t>2022 07 1711 619</t>
  </si>
  <si>
    <t>2022 07 1623 22700</t>
  </si>
  <si>
    <t>TONELADAS RECOGIDA ENSERES/ PODAS Y SIEGAS/ FRACCIÓN SECA/ FORM./ R.S.U. // SERVICIO TTO DE RESIDUOS // MES ENERO</t>
  </si>
  <si>
    <t>250</t>
  </si>
  <si>
    <t>2022 11 1621 203</t>
  </si>
  <si>
    <t>MANTENIMIENTO FUENTE DE AGUA CONECTADA A RED (EQUIPO POU) DEL SERVICIO DE LIMPIEZA</t>
  </si>
  <si>
    <t>2022 01 9312 22699</t>
  </si>
  <si>
    <t>CONTRATO MANTENIMIENTO MAQUINA Y SUMINISTRO BOTELLAS DE AGUA PARA INTERVENCION 2022</t>
  </si>
  <si>
    <t>Mixto - Mixto</t>
  </si>
  <si>
    <t>2022 05 4331 609</t>
  </si>
  <si>
    <t>2022 06 3321 22799</t>
  </si>
  <si>
    <t>SERRAL ORGANIZACION Y GESTION DE ARCHIVOS Y BIBLIOTECAS, SL</t>
  </si>
  <si>
    <t>SE 20/21  LOTE 1 CTTO DE APOYO EN LA GESTIÓN DE LOS SERVICIOS EN LA RED DE BIBLIOTECAS MUNICIPALES.</t>
  </si>
  <si>
    <t>2022 11 1361 22199</t>
  </si>
  <si>
    <t>12 LINTERNAS DE INTERVENCION MOD. L-30 Y 100 CINTAS DE ACOPLE A CASCOS INTEGRALES///SERVICIO DE EXTINCION DE INCENDIOS</t>
  </si>
  <si>
    <t>2022 11 1321 214</t>
  </si>
  <si>
    <t>ACUERDO MARCO. Sustituir Distribucion y Reten Cigueñal / Filtro Aceite / Tapon Carter / Correa. Vehículo de POLICIA MPAL</t>
  </si>
  <si>
    <t>ACUERDO MARCO. PARACHOQUES TRASERO / PINTAR PARTES AFECTADAS AFECTADAS / MATERIALES PINTURA // POLICIA MPAL</t>
  </si>
  <si>
    <t>2022 01 9207 22001</t>
  </si>
  <si>
    <t>ACCESO AÑO 2022 AL SERVICIO DE NOTICIAS Y FOTOGRAFÍAS DE LA AGENCIA - GOBIERNO Y RELACIONES</t>
  </si>
  <si>
    <t>ACCESO AL SERVICIO DE NOTICIAS TEXTO CASTILLA Y LEÓN AÑO 2022 - GOBIERNO Y RELACIONES</t>
  </si>
  <si>
    <t>2022 07 1721 22199</t>
  </si>
  <si>
    <t>MATERIAL FUNGIBLE ESPECÍFICO DEL LABORATORIO DE MASAS. SERVICIO MEDIO AMBIENTE</t>
  </si>
  <si>
    <t>2022 04 9204 626</t>
  </si>
  <si>
    <t>SUMINISTRO, INST., CONF. Y PUESTA EN MARCHA DE ORDENADORES PERSONALES Y MONITORES, LOTE 1 , ENERO 22 A JUNIO 23</t>
  </si>
  <si>
    <t>SUMINISTRO DE SEMILLAS  PARA EL CURSO DE PARQUES Y JARDINES III DEL C. DE F. PARA EL EMPLEO- DURACION 1 DIA</t>
  </si>
  <si>
    <t>2022 11 1631 22110</t>
  </si>
  <si>
    <t>SUMINISTRO DE DECAPANTES PARA LA ELIMACIÓN DE PINTADAS POR EL SERVICIO DE LIMPIEZA VIARIA</t>
  </si>
  <si>
    <t>ALQUILER Y MANTENIMIENTO DE FUENTE DE AGUA AGENCIA DE INNOVACIÓN C/ VEGA SICILIA 2. AÑO 2022</t>
  </si>
  <si>
    <t>ALQUILER MENSUAL DE FUENTE DE AGUA EN C/ VEGA SICILIA, 2 (A.I.D.E.) // PERIODO: 05/08/2021 - 04/09/2021</t>
  </si>
  <si>
    <t>CarAdEsp - De caracter administrativo especial</t>
  </si>
  <si>
    <t>Alquiler Mensual de Fuente de Agua //// C/ Vega Sicilia 2 ///   PERIODO: DE 05/12/2021  AL 04/01/2022 /// AGENCIA DE INN</t>
  </si>
  <si>
    <t>2022 04 9202 16205</t>
  </si>
  <si>
    <t>GASTO DE SEGURO DE RESPONSABILIDAD DE AUTORIDADES Y PERSONA EXP.71/2021, LOTE 5  1/04/2022 AL 30/09/2022.</t>
  </si>
  <si>
    <t>2022 07 1721 22799</t>
  </si>
  <si>
    <t>TRATAMIENTO PROTECCIÓN CONTRA CORROSIÓN EN LA CABINA DE VALLADOLID SUR DE LA RCCAVA. PLAZO EJECUCION UN MES.</t>
  </si>
  <si>
    <t>2022 06 2315 22611</t>
  </si>
  <si>
    <t>REALIZACIÓN DE 4 CONFERENCIAS SOBRE MUJER, IGUALDAD Y VIOLENCIA DE GENERO</t>
  </si>
  <si>
    <t>LA CISTERNIGA (VALLADOLID)</t>
  </si>
  <si>
    <t>2022 02 9332 22700</t>
  </si>
  <si>
    <t>2ª PRÓRROGA CONTRATO RETIRADA DE VEHÍCULOS DE LA VÍA PÚBLICA DEL 1 DE ENERO AL 24 DE SEPTIEMBRE DE 2022.</t>
  </si>
  <si>
    <t>Adjudicación contrato obras de ensanche plataforma y firme, creación acera y carril bici Cañada Real (exp. 9/2021)</t>
  </si>
  <si>
    <t>2022 03 9241 212</t>
  </si>
  <si>
    <t>RECAMBIO MONTURA CISTERNA / UNIFILL ALIMENTACION LAT. GEBERIT / DESCARGADOR CISTERNA / CC PARQUESOL-TEATRO</t>
  </si>
  <si>
    <t>2022 06 2314 22799</t>
  </si>
  <si>
    <t>SE-EIJI 6/2020 P.S. 4. CONTRATO DINAMIZACIÓN ESPACIO JOVEN NORTE LOTE 1. REAJUSTE ANUALIDADES 2022</t>
  </si>
  <si>
    <t>2022 03 9241 22799</t>
  </si>
  <si>
    <t>SERVICIO DE GESTIÓN INTEGRAL DE UNA PARTE DE LAS ACTIVIDADES DEL PROGRAMA VALLANOCHE/VALLATARDE</t>
  </si>
  <si>
    <t>Actuación en el CC Pilarica el día 9/4/2022 y en el CC Bailarín Vicente Escudero el día 15/05/2022. MFS</t>
  </si>
  <si>
    <t>ALJOBAR S.L.</t>
  </si>
  <si>
    <t>LAVADO EXTERIOR DE VEHÍCULOS DE LA POLICÍA MUNICIPAL.</t>
  </si>
  <si>
    <t>2022 11 1621 214</t>
  </si>
  <si>
    <t>AC MARCO EXP V36-2017: SUMINISTRO DE REPUESTOS /// VEHICULOS Sº LIMPIEZA</t>
  </si>
  <si>
    <t>AC MARCO EXP V36/2017: RECAMBIOS PARA REPARACIOÓN VEHÍCULOS DEL Sº DE LIMPIEZA</t>
  </si>
  <si>
    <t>RECAMBIOS PARA VEHÍCULOS (1520DZM / 0755 DWR / E3812BDK / 6976DHV), TALLER Y ALMACÉN // SERVICIO DE LIMPIEZA.</t>
  </si>
  <si>
    <t>AC MARCO EXP V36-2017: REPUESTOS PARA REPARACIONES VEHICULOS DEL Sº LIMPIEZA</t>
  </si>
  <si>
    <t>2022 05 4312 22199</t>
  </si>
  <si>
    <t>Compra de suministros de cuatro spray de pintura para el pavimento de los mercadillos de Valladolid.</t>
  </si>
  <si>
    <t>SUMINISTRO DE CORTINAS DE OSCURECIMIENTO PARA CC PARQUESOL</t>
  </si>
  <si>
    <t>2022 09 3341 632</t>
  </si>
  <si>
    <t>2022 10 2311 212</t>
  </si>
  <si>
    <t>Compra de persiana veneciana Bandalux lama de 25mm para Ceas Juan de Austria en enero 2022</t>
  </si>
  <si>
    <t>2022 08 1532 22199</t>
  </si>
  <si>
    <t>Adquisición de agua mineral en garrafas para el Parque de Vías Públicas, durante el ejercicio 2022.-</t>
  </si>
  <si>
    <t>2022 04 9231 22799</t>
  </si>
  <si>
    <t>SEGUNDA PRORROGA SERVICIO ATENCION TELEFONICA 010, CENTRALITA Y ATENCION PRESENCIAL - INFORMACION 2022</t>
  </si>
  <si>
    <t>2022 05 4331 22799</t>
  </si>
  <si>
    <t>ALTEN SOLUCIONES,PRODUCTOS,AUDITORIA E INGENIERIA S.A.U</t>
  </si>
  <si>
    <t>ASISTENCIA TÉCNICA EN MATERIA DE VALIDACIÓN Y VERIFICACIÓN FUNCIONAL DE LAS SOLUCIONES DESPLEGADAS INICIATIVAS S2CITY.</t>
  </si>
  <si>
    <t>HISPAPOST S.A</t>
  </si>
  <si>
    <t>CONTRATO SERVICIOS POSTALES AYTO. VALLADOLID - AÑOS 2022 - LOTE 2</t>
  </si>
  <si>
    <t>MANTENIMIENTO PROGRAMA INFORMÁTICO DE GESTIÓN SISTEMA DE CALIDAD DE POLICÍA MUNICIPAL. EJERCICIO 2022</t>
  </si>
  <si>
    <t>2022 02 9332 632</t>
  </si>
  <si>
    <t>CONTRATO REDAC. PROYECTO Y DIREC.FACULTATIVA DE LAS OBRAS CONSOLIDAC.EDIFICIO CONVENTO STA.CATALINA DE SIENA</t>
  </si>
  <si>
    <t>ACUERDO MARCO. REPRACIÓN VEHÍCULO MATRÍCULA: 7005-LJX .</t>
  </si>
  <si>
    <t>2022 02 9332 214</t>
  </si>
  <si>
    <t>REVISIONES OFICIALES PARA GARANTÍA DE LOS ÚLTIMOS VEHÍCULOS ADQUIRIDOS POR EL CMEI</t>
  </si>
  <si>
    <t>REVISION DE VEHICULO MATRICULA 5901LFX (M.O.) // MATERIALES: ESCOBILL/ ACEITE/ MANUAL/ JUNTA TAPÓN VACÍA/ FILTRO ACEITE</t>
  </si>
  <si>
    <t>Actuación de Jaime Lafuente en CIC Natividad Álvarez Chacón, día 08/05/2022. MFS</t>
  </si>
  <si>
    <t>Alquier maquinaria sin conductor (rodillos compactadores varios tamaños, carretillas elevadoras, barredoras..) a demada.</t>
  </si>
  <si>
    <t>2022 06 2315 22799</t>
  </si>
  <si>
    <t>CONTRATACIÓN DE LA INTEGRACIÓN DEL CENTRO M. DE LA IGUALDAD EN LA RED MUNICIPAL DE VOZ Y DATOS DEL AYTO VALL EN 2022</t>
  </si>
  <si>
    <t>TONELADAS DE RESIDUOS RECOGIDAS DE FORM./ ENSERES/ PODAS Y SIEGAS/ RSU // MES FEBRERO</t>
  </si>
  <si>
    <t>2022 04 9204 641</t>
  </si>
  <si>
    <t>IMPLANTACIÓN, EVOLUCIÓN Y MTO. DE LA PLATAFORMA DE ADMÓN ELECTRÓNICA  BASADA EN MOAD, LOTE 1 (68/2020)</t>
  </si>
  <si>
    <t>ASISTENCIA TÉCNICA OPERACIÓN, CAU, Y MANTENIMIENTO  DEL SOFTWARE DE BASE Y COMUNICACIONES LOTE 3, 1/1 AL 30/10/22</t>
  </si>
  <si>
    <t>ANEK S-3, S.L.</t>
  </si>
  <si>
    <t>BATERIA Y PARCHES PARA EL DESFIBRILADOR DEL CPM ZONA ESTE- DURACION 1 DIA</t>
  </si>
  <si>
    <t>Altavoz para sirenas del vehículo de rescate acuático FSA 16, matr. 0012 KJV; SEISYPC.</t>
  </si>
  <si>
    <t>TALLERES PRACTICOS DE DESARROLLO, FOMENTO Y CONCIENCIACION DE LA IGUALDAD 2022</t>
  </si>
  <si>
    <t>2022 06 3231 22700</t>
  </si>
  <si>
    <t>2022 01 9205 22199</t>
  </si>
  <si>
    <t>ADJUDICA SUMINISTRO RESMAS PAPELES ESTUCADOS DISTINTOS TIPOS Y GRAMAJES PARA TRABAJOS IMPRENTA AÑO 2022</t>
  </si>
  <si>
    <t>2022 10 2312 22100</t>
  </si>
  <si>
    <t>CONTRATO SUMINISTRO ENERGIA ELECTRICA EN LOS CPM MUNICIPALES ,  NO TRANSFERIDOS, EN 2022 Y 2023</t>
  </si>
  <si>
    <t>2022 11 1321 22100</t>
  </si>
  <si>
    <t>NUEVO CONTRATO DE ENERGÍA ELÉCTRICA PARA POLICIA MUNICIPAL  EJERCICIOS 2022 Y 2023</t>
  </si>
  <si>
    <t>EJECUCION OBRA ADECUACION ESPACIO MARCELINA PONCELA COMO CENTRO ALMACENAMIENTO Y RESTAURACION PATRIMONIO MUEBLE AYTO</t>
  </si>
  <si>
    <t>2022 11 1631 22103</t>
  </si>
  <si>
    <t>2022 04 9204 22100</t>
  </si>
  <si>
    <t>SUMINISTRO ENERGÍA ELÉCTRICA, EDIFICIO ENRIQUE IV,  1/01/2022 A 31/12/2023</t>
  </si>
  <si>
    <t>2022 05 4314 22706</t>
  </si>
  <si>
    <t>SUMINISTRO DE 1,050 TM DE UREA PARA ESPARCIDO EN ZONAS Y VÍAS PÚBLICAS SENSIBLES A LA SAL CON MOTIVO DE HELADAS</t>
  </si>
  <si>
    <t>2022 09 3341 22100</t>
  </si>
  <si>
    <t>SUMINISTRO ENERGÍA ELÉCTRICA CÚPULA DEL MILENIO, ROSA CHACEL Y GALERIAS VALLADOLID</t>
  </si>
  <si>
    <t>2022 04 9202 641</t>
  </si>
  <si>
    <t>ARION GRUPO BAS SOFTWARE FACTORY S.L.</t>
  </si>
  <si>
    <t>EXPEDIENTE DE APLICACION DE GESTION INTEGRAL DE RECURSOS HUMANOS 2021/2024- AÑOS 22/24.</t>
  </si>
  <si>
    <t>2022 11 1621 212</t>
  </si>
  <si>
    <t>OBRA DE REPINTADO DE MARCAS VIALES EN NAVE PÀRKING VEHICULOS Y APARCAMIENTO PERSONAL DEL Sº DE LIMPIEZA</t>
  </si>
  <si>
    <t>PRORROGA CONTRATO MANTENIMIENTO JARDINES ZONAS SUR Y ESTE-LOTE 2, HASTA 30/9/22.</t>
  </si>
  <si>
    <t>2022 11 1321 22706</t>
  </si>
  <si>
    <t>APLICACIONES Y PROYECTOS TIC, S.L.</t>
  </si>
  <si>
    <t>CONTRATACIÓN DEL SERV. DE CONSULTORÍA PARA LICITACIÓN DE LA IMPLANTACIÓN DE LA RED DE COMUNICACIONES DE POLICIA Y SEISPC</t>
  </si>
  <si>
    <t>2022 10 2312 22700</t>
  </si>
  <si>
    <t>2022 01 9206 22706</t>
  </si>
  <si>
    <t>DIVERSOS SERVICIOS PRESTADOS POR ARCAL GESTIÓN DOCUMENTAL AL ARCHIVO MUNICIPAL, DURANTE EL AÑO 2022.</t>
  </si>
  <si>
    <t>2022 10 2312 215</t>
  </si>
  <si>
    <t>TAPIZADO DE DOS MESA DE BILLAR Y SUSTITUCION DE GOMAS DEL CPM DELICIAS-DURACION 1 DIA</t>
  </si>
  <si>
    <t>2022 01 9203 22000</t>
  </si>
  <si>
    <t>2022 11 3111 632</t>
  </si>
  <si>
    <t>2022 06 3231 213</t>
  </si>
  <si>
    <t>ARIDOS GONZAL SL</t>
  </si>
  <si>
    <t>REPARACIÓN FUGA TUBERÍAS EN ZONA DE JARDÍN EN LA EIM CABALLITO BLANCO. MAQUINARIA ESPECÍFICA.</t>
  </si>
  <si>
    <t>2022 11 3111 22699</t>
  </si>
  <si>
    <t>AVERIA RED ABASTECIMIENTO CASA BARCO: RETRO PARA CMEI</t>
  </si>
  <si>
    <t>2022 06 3231 212</t>
  </si>
  <si>
    <t>REPARACIÓN RED SANEAMIENTO EN LA EIM EL PRINCIPITO. PLAZO EJECUCION 1 DIA</t>
  </si>
  <si>
    <t>REP. VEHÍCULO 9107JCH: FUGA DE GASOIL / SIST. ELÉCTRICOS (M.O.+ MATERIALES) / AM SPSC 23/2020 / SERVICIO DE LIMPIEZA.</t>
  </si>
  <si>
    <t>obra del proyecto modificado de CPM Parquesol debido a cimentación del terreno-2022</t>
  </si>
  <si>
    <t>ARKIPOLIS ARQUITECTURA Y URBANISMO, S.L.P.</t>
  </si>
  <si>
    <t>REDACCIÓN PROYECTO TÉCNICO  ACONDICIONAMIENTO LOCAL PARA COMISARÍA P. MUNICIPAL C/ ALONSO PESQUERA, 9, 11, 13, 15.</t>
  </si>
  <si>
    <t>CONTRATO SUMINISTRO ENERGIA ELECTRICA DE LOS CPM TRANSFERISOS EN 2022 Y 2023</t>
  </si>
  <si>
    <t>2022 06 2314 22100</t>
  </si>
  <si>
    <t>PR-SE 13/2021. NUEVO CONTRATO SUMINISTRO DE ENERGÍA ELÉCTRICA AYUNTAMIENTO DE VALLADOLID. ESPACIOS JOVENES.</t>
  </si>
  <si>
    <t>2022 11 1631 22100</t>
  </si>
  <si>
    <t>SUMINISTRO ENERGIA ELECTRICA S. LIMPIEZA VIARIA AÑOS 2022 Y 2023</t>
  </si>
  <si>
    <t>2022 03 9241 22701</t>
  </si>
  <si>
    <t>2022 02 9331 224</t>
  </si>
  <si>
    <t>ASAMBLEA DE COOPERACION POR LA PAZ</t>
  </si>
  <si>
    <t>Monólogo ""No sólo duelen los golpes"" representado por Pamela Palenciano. Proyecto sensibilización igualdad género 19/03</t>
  </si>
  <si>
    <t>2022 08 1532 625</t>
  </si>
  <si>
    <t>MANTENIMIENTO DE DOS ASCENSORES EN EDIFICIO DE JEFATURA DE POLICÍA AVDA. DE BURGOS. EJERCICIO 2022.</t>
  </si>
  <si>
    <t>2022 07 1701 213</t>
  </si>
  <si>
    <t>MANTENIMIENTO ASCENSORES EN CASA DEL BARCO Y EDIFICIO ANEXO 2022. PERIODO: 01.01.2022 AL 31.12.2022</t>
  </si>
  <si>
    <t>prorroga contrato gestión centro ocupacional de 15 enero 22 a 14 febrero 23 (anualidad 2022: 15/1 a 31/12)</t>
  </si>
  <si>
    <t>MIGRACIÓN DEL SISTEMA DEL CORREO ELECTRÓNICO DEL AYTO. DE VALLADOLID A EXCHANGE ON-LINE, LOTE 3 (58/2021)</t>
  </si>
  <si>
    <t>2022 06 3231 22100</t>
  </si>
  <si>
    <t>PR-SE 13/2021. NUEVO CONTRATO SUMINISTRO DE ENERGÍA ELÉCTRICA AYUNTAMIENTO DE VALLADOLID. ESCUELAS INFANTILES.</t>
  </si>
  <si>
    <t>2022 03 9241 213</t>
  </si>
  <si>
    <t>SUMINISTRO E INSTALACIÓN DE CONTACTOR GENERAL DE VELOCIDAD EN ASCENSOR CC ZONA ESTE</t>
  </si>
  <si>
    <t>2022 08 1513 83100</t>
  </si>
  <si>
    <t>Expediente 33_2019_SEMEU.- Actuaciones actuaciones obligatoriias de carácter subsidiarias/urgente  LOTE 2.</t>
  </si>
  <si>
    <t>Instalación de pulsador con llaves en las entradas del ascensor/Kit de reprogramación. Comedor Social 2022</t>
  </si>
  <si>
    <t>AC MARCO EXP SPSC 23/2020: REPARACION BALLESTAS VEHICULO 0892BHG // SERVICIO DE LIMPIEZA</t>
  </si>
  <si>
    <t>REPARACION BALLESTAS (1) / AM SPSC 23/2020 / SERVICIO DE LIMPIEZA.</t>
  </si>
  <si>
    <t>2022 11 1321 22104</t>
  </si>
  <si>
    <t>SUMINISTRO DE ROPA POLICIAL EJERCICIO 2022, EXP. SPSC -02/2021. LOTE Nº 2.</t>
  </si>
  <si>
    <t>Inspección periódica obligatoria ascensores albergue municipal 2022.</t>
  </si>
  <si>
    <t>Arreglo del cable de arrastre de puertas del ascensor del Centro Integrado. Marzo 2022.COVID-19</t>
  </si>
  <si>
    <t>2022 05 4331 22100</t>
  </si>
  <si>
    <t>2021-13 Contrato de suministro de energia eléctica Instalaciones Municipales Calle Vega Sicilia,2 (Agencia Innovación) .</t>
  </si>
  <si>
    <t>2022 05 4331 622</t>
  </si>
  <si>
    <t>Adjudicación Obra adecuación de la nave sita en la calle Valle de Arán ,1 . Proyecto 2021/2/4331/1 Obras LUC</t>
  </si>
  <si>
    <t>ASELF (ASOCIACION ESPAÑOLA DE LUCHA CONTRA EL FUEGO)</t>
  </si>
  <si>
    <t>Cuota anual 2022 como socios de la Asoc Española de lucha contra el fuego (ASELF); SEISYPC.</t>
  </si>
  <si>
    <t>2022 02 9332 213</t>
  </si>
  <si>
    <t>REPARACIÓN DE EQUIPOS TERMOCONVECTORES CON REPUESTOS, SEGÚN PPTO DEL AÑO 2021</t>
  </si>
  <si>
    <t>Rect. Emit-015-2021 2 // ACTUACIÓN DE VILLANCICOS FLAMENCOS, EN EL CIC CONDE ANSÚREZ. MFS NAVIDAD</t>
  </si>
  <si>
    <t>2022 06 3321 22001</t>
  </si>
  <si>
    <t>SUSCRIPCIÓN A LA REVISTA ""PEONZA"" DURANTE EL AÑO 2022 PARA LAS BIBLIOTECAS MUNICIPALES.</t>
  </si>
  <si>
    <t>Representación teatral en CC Parquesol y en CC Rondilla los días 9 y 23 de abril 2022, respectivamente. MFS</t>
  </si>
  <si>
    <t>2022 11 1321 22699</t>
  </si>
  <si>
    <t>ASOCIACION DEPORTIVA LA VICTORIA CLUB DE FUTBOL</t>
  </si>
  <si>
    <t>APERITIVO CON MOTIVO DE ENCUENTRO DEPORTIVO ORGANIZADO POR LA POLICÍA MUNICIPAL.</t>
  </si>
  <si>
    <t>2022 10 2312 22618</t>
  </si>
  <si>
    <t>ASOCIACION PARA EL DESARROLLO DE LA MUSICOTERAPIA EN VALLADOLID</t>
  </si>
  <si>
    <t>MUSICOTERAPIA PARA LAS E. DIURNAS DEL CPM ZONA SUR DEL 1 DE MARZO AL 31 DE DICIEMBRE DE 2022</t>
  </si>
  <si>
    <t>2022 05 4331 22699</t>
  </si>
  <si>
    <t>CUOTA ASOCIADO PROTECTOR ASOCIACION PARA EL PROGRESO DE LA DIRECCION (APD) AÑO 2022</t>
  </si>
  <si>
    <t>2022 06 2314 22613</t>
  </si>
  <si>
    <t>COLABORACIÓN Y STAND EN EL XVI SALÓN DEL COMIC Y MANGA DE CASTILLA Y LEON</t>
  </si>
  <si>
    <t>TALLER PALEOCAPERUTICA EN ATAPUERCA EN EL CENTRO MUNICIPAL DE LA IGUALDAD 2022</t>
  </si>
  <si>
    <t>2022 11 1631 22700</t>
  </si>
  <si>
    <t>DESRATIZACIONES DE LAS INSTALACIONES DEL SERVICIO DE LIMPIEZA.</t>
  </si>
  <si>
    <t>ASIST. TÉCNICA OPERACIÓN, CAU, Y MTO.  DEL SOFTWARE DE BASE Y COMUNICACIONES LOTE 1, DEL 8/2/22 AL 7/2/23</t>
  </si>
  <si>
    <t>OBRA DEL  PROYECTO MODIFICADO BIBLIOTECA PARQUESOL DEBIDO A CIMENTACIÓN DEL TERRENO 2022</t>
  </si>
  <si>
    <t>2022 10 2316 22799</t>
  </si>
  <si>
    <t>PRÓRROGA CONTRATO SERV.MEDIACION Y CONVIVENCIA INTERCULTURAL DE 16 MARZO A 31 DIC 2022</t>
  </si>
  <si>
    <t>2022 11 1321 624</t>
  </si>
  <si>
    <t>2022 10 2311 22100</t>
  </si>
  <si>
    <t>CONTRATO SUMINISTRO ENERGÍA ELÉCTRICA PARA CENTROS DE ACCIÓN SOCIAL Y ALBERGUE MUNICIPAL - 2022 Y 2023 - LOTE 1</t>
  </si>
  <si>
    <t>2022 11 1321 22700</t>
  </si>
  <si>
    <t>SUMINISTRO DE OBJETOS DIVULGATIVOS CAMPAÑA PREVENCIÓN DE ADICCIONES Y VISITAS A POLICÍA MUNICIPAL</t>
  </si>
  <si>
    <t>MANTENIMIENTO Y REPARACIÓN DE LOS EQUIPOS DE TRATAMIENTO DE LA INFORMACIÓN, (SISTEMAS INFORMÁTICOS NO CRÍTICOS), LOTE 1</t>
  </si>
  <si>
    <t>2022 05 4312 632</t>
  </si>
  <si>
    <t>2022 10 2311 632</t>
  </si>
  <si>
    <t>SE-EIJI 21/2021. PS 1. ASISTENCIA TÉCNICA EN CONTROL DE CALIDAD CONSTRUCCIÓN NUEVA E.I.M. ENE A AGOS DE 2022.</t>
  </si>
  <si>
    <t>2022 11 1631 632</t>
  </si>
  <si>
    <t>CONTROL CALIDAD OBRAS INSTALACIÓN DE ELEVADORES EN LA LADERA NORTE DE PARQUESOL. (LOTE 2) EXP: 42/2021 SEMEU</t>
  </si>
  <si>
    <t>CONTROL CALIDAD OBRA ADECUACION ESPACIO MARCELINA PONCELA COMO CENTRO ALMACENAMIENTO Y RESTAURACION P. MUEBLE. LOTE 2</t>
  </si>
  <si>
    <t>2022 01 9203 203</t>
  </si>
  <si>
    <t>1ª PRORROGA CONTRATO CENTRALIZADO ALQUILER MAQ. FOTOCOP. KYOCERA 4053, REPROGRAFIA ENERO 2022, R.I.</t>
  </si>
  <si>
    <t>1ª PRORROGA CONTRATO CENTRALIZADO COPIAS MAQ. FOTOCOP. KYOCERA 4053, REPROGRAFIA, ENERO 2022 R.I.</t>
  </si>
  <si>
    <t>CONTROL CALIDAD_ lote 2 CDC obras Mfto tejados Sta Catalina</t>
  </si>
  <si>
    <t>2022 04 9202 203</t>
  </si>
  <si>
    <t>ALQUILER FOTOCOPIADORAS ALPA COPIADORAS, SL, DPTO. RR.HH. Y FORMACIÓN DEL 1 DE ENERO AL 7 DE FEBRERO DE 2022</t>
  </si>
  <si>
    <t>2022 04 9202 213</t>
  </si>
  <si>
    <t>COPIAS BLANCONEGRO Y COLOR FOTOCOPIADORAS ALPA COPIADORAS, SL DPTO. RR.HH. Y FORMACION  DEL 1 DE ENE. A 7 FEB. DE 2022</t>
  </si>
  <si>
    <t>CONTRATO BASADO EN ACUERDO MARCO CONTROL DE CALIDAD ELEVADORES URBANOS LADERA ESTE PARQUESOL (LOTE 2). EXP: 50/2021</t>
  </si>
  <si>
    <t>EXPED. SE 7/2020 PRÓRROGA CONTRATO IMPRESIÓN CORPORATIVA 01/012022 al 07/02/2022 - GOBIERNO Y RELACIONES</t>
  </si>
  <si>
    <t>PRÓRROGA FOTOCOPIADORA DEPARTAMENTO DE PREVENCIÓN Y SALUD LABORAL</t>
  </si>
  <si>
    <t>ALQUILER FOTOCOPIADORA_CENTRO MOVILIDAD URBANA_01/01/2022 A 07/02/2022</t>
  </si>
  <si>
    <t>COPIAS_FOTOCOPIADORA_CENTRO MOVILIDAD URBANA_01/01/2022 A 07/02/2022</t>
  </si>
  <si>
    <t>ALQUILER_FOTOCOPIADORA_SERVICIO OCUPACIÓN VÍA PÚBLICA_01/01/2022 A 07/02/2022</t>
  </si>
  <si>
    <t>COPIAS_FOTOCOPIADORA ALPA_SERVICIO OCUPACIÓN VÍA PÚBLICA_01/01/2022 A 07/02/2022</t>
  </si>
  <si>
    <t>Adjudicación Control Calidad obras Remodelación Alumbrado Público varias zonas Barrio Pajarillos, Lote 1 y Lote 2.</t>
  </si>
  <si>
    <t>C.CALIDAD CONST.NUEVA RED ENERGÍA ELECT.(MEDIA Y B.TESIÓN) EN C/ VILLABAÑEZ Y ZORZAL(ARU 29 DE OCTUBRE-FAS.II) C. MENOR</t>
  </si>
  <si>
    <t>CONTROL DE CALIDAD DE LAS OBRAS DE ACCESO A LAS OFICINAS DE CALLE BATUECAS 24</t>
  </si>
  <si>
    <t>Redacción de planes de control de calidad en las actuaciones de carácter subsidiario y/o urgentes por encargo del Ayto</t>
  </si>
  <si>
    <t>2022 09 3341 22200</t>
  </si>
  <si>
    <t>CONTRATO DEL SERVICIO DE MANTENIMIENTO  DEL SISTEMA DE CONEXIÓN A INTERNET MEDIANTE WIFI EN GALERÍAS VA 1/4/22 AL 1/4/23</t>
  </si>
  <si>
    <t>PRORROGA CONTRATO IMPRESION CORPORATIVA OMIC DE 1 ENERO A 7 FEBRERO 2022</t>
  </si>
  <si>
    <t>2022 11 1361 22100</t>
  </si>
  <si>
    <t>CONTRATO DE SUMINISTRO DE ENERGÍA ELÉCTRICA PARA LOS AÑOS 2022 Y 2023; EXPTE: PR_SE 13_2021; SEISYPC</t>
  </si>
  <si>
    <t>2022 11 1621 22100</t>
  </si>
  <si>
    <t>CONTRATO SUMINISTRO ENERGIA ELECTRICA SERVICIO DE LIMPIEZA AÑOS 2022 Y 2023</t>
  </si>
  <si>
    <t>2022 11 1631 204</t>
  </si>
  <si>
    <t>SERVICIOS DE GRUAS PARA TRASLADO DE VEHÍCULOS AVERIADOS DE LIMPIEZA VIARIA</t>
  </si>
  <si>
    <t>ADQUISICION DE DOS BATERIAS PARA CAMARA TERMICA ISG SERIE X380//SERVICIO DE EXTINCIÓN DE INCENDIOS</t>
  </si>
  <si>
    <t>Seguridad y Salud en Traslado del Parque de Vías Públicas, sito en C/ Títulos 51. Fase 2. Lote 1. Expte. SEMEU 30/2021.-</t>
  </si>
  <si>
    <t>EXPTE SE-EIJI 21/2021 PS 2. COORDINACIÓN DE SEGURIDAD Y SALUD PARA LA CONSTRUCCIÓN DE LA NUEVA EIM. AÑO 2022</t>
  </si>
  <si>
    <t>MTO DEL SISTEMA DE INFORMACIÓN PRESUPUESTARIA, CONTABLE Y FINANCIERA (SICALWIN), 2ª PRÓRROGA, (96/2021)</t>
  </si>
  <si>
    <t>2022 04 9321 641</t>
  </si>
  <si>
    <t>2022 11 1361 214</t>
  </si>
  <si>
    <t>EXPTE.: SPSC 043_2021; Contrato del Servicio de reparación del camión autobomba BUP_1; SEISYPC</t>
  </si>
  <si>
    <t>2022 04 3121 22106</t>
  </si>
  <si>
    <t>Material sanitario desechable, material curas, tiras reactivas e instrumental quirúrgico SERV. PREVENCION Y S.L.</t>
  </si>
  <si>
    <t>COORDINACION, SEG. Y SALUD OBRA ADECUACION ESPACIO MARCELINA PONCELA COMO CENTRO ALMACEN. RESTAURACION PATRIMONIO MUEBLE</t>
  </si>
  <si>
    <t>2022 03 9241 22199</t>
  </si>
  <si>
    <t>BEATRIZ COELLO CAMPOS</t>
  </si>
  <si>
    <t>TROFEOS CONCURSO DE DISFRACES CARNAVAL 2022 EN CIC EMPECINADO</t>
  </si>
  <si>
    <t>COPIAS MÁQUINAS CONTRATO IMPRESION CORPORATIVA-: ALCALDÍA/ GOBIERNO Y RELACIONES / CONSEJO ECON. 01/01/2022 a 07/02/2022</t>
  </si>
  <si>
    <t>2022 05 4331 625</t>
  </si>
  <si>
    <t>CONTRATO DE SUMINISTROS E INSTALACION DE MOBILIARIO OFICINA EMISION DE TARJETA SERVICIOS M. MERCADO DEL VAL PUESTO Nº 5</t>
  </si>
  <si>
    <t>REVISIONES Y ACCIONES CORRECTIVAS DE PUERTAS MANUALES Y AUTOMÁTICAS POLICÍA MUNICIPAL. EJERCICIO 2022.</t>
  </si>
  <si>
    <t>SUMINISTRO TABLERO PARA RODAPIES CIC CONDE ANSÚREZ</t>
  </si>
  <si>
    <t>Coordinación de SyS Obra adecuación de la nave sita en la calle Valle de Arán ,1 . Proyecto 2021/2/4331/1 Obras LUC</t>
  </si>
  <si>
    <t>2022 03 9241 22602</t>
  </si>
  <si>
    <t>DISEÑO GRÁFICO E IMAGEN MFS MARZO Y PRIMAVERA 2022</t>
  </si>
  <si>
    <t>Estudio SyS y Servicios de Coordinación en materia de Segu y Salud - REPARACION CUBIERTA SUROESTE SAN BENITO</t>
  </si>
  <si>
    <t>2022 06 3261 632</t>
  </si>
  <si>
    <t>EBSS Y COORD. SEGURIDAD Y SALUD OBRA ACONDICIONAMIENTO VARIAS AULAS COLEGIO MARIA DE MOLINA PARA ESCUELA DE MUSICA. 40 D</t>
  </si>
  <si>
    <t>ACTUALIZACIÓN PRIMAS DE SEGUROS FLOTA DE VEHÍCULOS (LOTE 3). PERIODO DEL 05/02/2022 AL 05/02/2023. Expte.15/2020. PS 1.</t>
  </si>
  <si>
    <t>ACTUALIZACIÓN DE PRIMAS DE SEGUROS DE DAÑOS MATERIALES (LOTE 2). PERIODO: 05/02/2022 AL 05/02/2023. Expte.15/2020. PS 1.</t>
  </si>
  <si>
    <t>SUMINISTRO DE PRECINTOS DE PLACAS DE MATRICULA PARA LOCALES DE HOSTELERIA EN LAS INSPECCIONES DE LA SECCIÓN CONTROL AMB.</t>
  </si>
  <si>
    <t>TRATAMIENTO DE LOS RESIDUOS GENERADOS EN EL LABORATORIO DE CONTAMINACION DEL AIRE DEL RCCVA. SERVICIO MEDIO AMBIENTE</t>
  </si>
  <si>
    <t>ESTUDIO SyS Y SERVICIO COORDINACION SyS -OBRA MANTENIMIENTO DE TEJADOS DEL MONASTERIO STA CATALINA DE SIENA</t>
  </si>
  <si>
    <t>SUMINISTRO E INSTALACION DE PULSADOR AUTOMATICO PARA UNA VENTANA DEL CPN ZONA SUR</t>
  </si>
  <si>
    <t>ALQUILER VALLAS CC CAMPILLO (ENE-DIC 2022)</t>
  </si>
  <si>
    <t>2022 07 1711 213</t>
  </si>
  <si>
    <t>MANTENIMIENTO DE DUMPERS.</t>
  </si>
  <si>
    <t>SERVICIO DE COORDINACION EN MATERIA DE SEGURIDAD Y SALUD (EXPTE. 12/2018) PUNTO LIMPIO MERCADO LAS DELICIAS</t>
  </si>
  <si>
    <t>Coor.seg. y salud rampa de acceso y distrib. interior de dos despachos de las instalaciones municipales de calle Pato 3</t>
  </si>
  <si>
    <t>Coordinación se seguridad y salud en las actuaciones subsidiarias derivas de ruina inminente en calle Calera 16</t>
  </si>
  <si>
    <t>Coordinación seguridad y salud obras de acceso de a las oficinas de C/Batuecas 24</t>
  </si>
  <si>
    <t>2022 10 2312 22706</t>
  </si>
  <si>
    <t>CONTRATACION PROYECTODE DECORACION,AMUEBLAMIENTO  Y EQUIPACION DEL NUEVO  CPM PARQUESOL</t>
  </si>
  <si>
    <t>DISEÑO, MONTAJE Y DESMONTAJE DE LONAS EN LAS FACHADAS DE SAN BENITO Y AYUNTAMIENTO DURANTE 2022</t>
  </si>
  <si>
    <t>DISEÑO, PRODUCCIÓN E INSTALACIÓN DE CARTELES INFORMATIVOS DE LAS INTERVENCIONES DEL PROYECTO URBAN GreenUP.</t>
  </si>
  <si>
    <t>AD COMPL. INSTALACIÓN DE 2 INFORMATIVOS EN LOS COMPOSTADORES COMUNITARIOS DE DOS HUERTOS MUNICIPALES. PRY. URBAN GREENUP</t>
  </si>
  <si>
    <t>2022 04 9202 22607</t>
  </si>
  <si>
    <t>CRONOMETRADORES CUATRO CANTONES PRUEBAS FÍSICAS 19 PLAZAS BOMBEROS DEL SEIS Y PC.</t>
  </si>
  <si>
    <t>2022 09 4321 22100</t>
  </si>
  <si>
    <t>CONTRATO CENTRALIZADO SUMINISTRO ENERGIA ELECTRICA ALBERGUE PEREGRINOS PUENTE DUERO, PANTALLA ALBERTO FDEZ Y LA HIPICA</t>
  </si>
  <si>
    <t>2022 10 2311 22699</t>
  </si>
  <si>
    <t>Coordinación de seguridad y salud en actuaciones subsidiarias derivadas de ejecución sub. Marina Escobar 4 OE17_2016</t>
  </si>
  <si>
    <t>CONTROL DE CALIDAD DE LAS OBRAS DE ACCESO Y DISTRIBUCIÓN DE LAS INSTALACIONES MUNICIPALES DE CALLE PATO 3</t>
  </si>
  <si>
    <t>CONTROL CALIDAD OBRA REHABILITACIÓN ANTIGUO FRONTÓN LAS FLORES (CONTRATO BASADO ACUERDO MARCO CALIDAD EXP:SEMEU 09/2020)</t>
  </si>
  <si>
    <t>2022 10 2312 632</t>
  </si>
  <si>
    <t>CONTROL CALIDAD DE LA CUBIERTA DEL CPM LA VICTORIA</t>
  </si>
  <si>
    <t>ESTUDIO SEGURIDAD DE LA SUSTITUCION DE  CARPINTERIA DEL CPM PUENTE COLGANTE- DURACION  1 DIA</t>
  </si>
  <si>
    <t>SUMINISTRO DE DOS LICENCIAS TEMPORALES DE ORACLE ENTERPRISE EDITION, LOTE 2, (REAJUSTE DE ANUALIDADES) (58/2021)</t>
  </si>
  <si>
    <t>PANEL ECO/ TASA ECORAEE/ INTERRUPTOR/ MARCO 2E/ REGLETA OBO // PARQUE DE BOMBEROS</t>
  </si>
  <si>
    <t>ACLAD ASOC DE AYUDA AL DROGODEPENDIENTE</t>
  </si>
  <si>
    <t>PROGRAMA YOUNG ZONE DE PREVENCION DE CONSUMO DE ALCOHOL, TABACO Y CANNABIS DE VALLADOLID DURANTE 2022</t>
  </si>
  <si>
    <t>ADJUDICA RENOVACIÓN LUMINARIAS EN LABORATORIO IMPRENTA MUNICIPAL</t>
  </si>
  <si>
    <t>PREVENCION DROGAS- LOTE 3 REDUCCION RIESGOS CON COLECTIVOS VULNERABLES- 2 PROGRAMAS EN 2022 1.600 ¿/PROG)-0 PROG EN 2023</t>
  </si>
  <si>
    <t>2022 08 1301 22699</t>
  </si>
  <si>
    <t>2022 01 9206 22199</t>
  </si>
  <si>
    <t>MATERIAL DE ELECTRICIDAD REQUERIDO POR EL SERVICIO DE MANTENIMIENTO DEL AYTO. DE VALLADOLID PARA MANTENIMIENTO ARCHIVO.</t>
  </si>
  <si>
    <t>SUMINISTRO COMPLEMENTOS POLICIALES. EJERCICIO 2022. EXPTE. SPSC -02/2021 LOTE Nº 7</t>
  </si>
  <si>
    <t>2022 09 3301 22706</t>
  </si>
  <si>
    <t>2022 09 3341 22799</t>
  </si>
  <si>
    <t>PRORROGA 1 AÑO DEL CONTRATO SERVICIO MANTENIMIENTO PORTALES WEB DE CULTURA Y TURISMO LOTE 2. (01-05-2022 AL 30-04-2023)</t>
  </si>
  <si>
    <t>AD COMPLEMENTARIO POR REAJUSTE DE ANUALIDADES CONTRATO DE SERVICIOS DE MANTENIMIENTO DE LOS PORTALES WEB CULTU. TURISMO</t>
  </si>
  <si>
    <t>CONTRATO DE SERVICIOS DE MANTENIMIENTO DE LOS PORTALES WEB DE CULTURA Y TURISMO-LOTE 2</t>
  </si>
  <si>
    <t>2022 02 9332 212</t>
  </si>
  <si>
    <t>SUMINISTRO DE PERSIANAS Y STORES NECESARIOS PARA OFICINAS DEL EDIFCIO DE SAN BENITO</t>
  </si>
  <si>
    <t>SUMINISTRO DE PERSIANA VENECIANA BANDALUX - EDIF PLZA SANTA ANA</t>
  </si>
  <si>
    <t>2022 07 1701 22100</t>
  </si>
  <si>
    <t>CONTRATO SUMINISTRO ENERGIA ELECTRICA CASA DEL BARCO Y ANEXO, Y GRUPO PRESION XXV AÑOS DE PAZ.</t>
  </si>
  <si>
    <t>2022 11 1321 204</t>
  </si>
  <si>
    <t>SUSCRIPCIÓN ANUAL A LA REVISTA ALTERNATIVAS ECONÓMICAS PARA LAS BIBLIOTECAS MUNICIPALES. AÑO 2022</t>
  </si>
  <si>
    <t>SUMINISTRO DE BATERIAS Y   PARCHES (3 UNI)PARA EL  DESFIBRILADOR  CPM HUERTA DEL REY, PUENTE COLGANTE E INEA-DURA 1 DIA</t>
  </si>
  <si>
    <t>adDirec - Adjudicación Directa</t>
  </si>
  <si>
    <t>AC MARCO EXP SPSC 23/2020: REPUESTOS PARA REPARACIONES VEHCULOS Sº LIMPIEZA</t>
  </si>
  <si>
    <t>AC MARCO EXP SPSC 23/2020: REPARACION EMBRAGUE VEHÍCULO 2568FZB DEL SERVICIO DE LIMPIEZA</t>
  </si>
  <si>
    <t>2022 07 1721 22100</t>
  </si>
  <si>
    <t>CONTRATO DE SUMINISTRO DE ENERGÍA ELÉCTRICA.  SERVICIO DE MEDIO AMBIENTE</t>
  </si>
  <si>
    <t>2022 11 1361 22104</t>
  </si>
  <si>
    <t>SPSC 013_2021;Contratación del Suministro de Prendas de Vestuario; LOTE 5: EQUIPAMIENTO DEPORTIVO; SEISYPC.</t>
  </si>
  <si>
    <t>2022 10 2311 22700</t>
  </si>
  <si>
    <t>F-253. ANTON C.ESPECIAL DE EMPLEO. LIMPIEZA DE MANTENIMIENTO CENTROS CEAS/ CAI/COMEDOR. MES DICIEMBRE 2021</t>
  </si>
  <si>
    <t>2022 11 3111 22106</t>
  </si>
  <si>
    <t>LOTE 3: MANTENIMIENTO ASCENSORES EDIFICIOS DEPENDIENTES SERVICIO PARTICIPACIÓN CIUDADANA</t>
  </si>
  <si>
    <t>MANTENIMIENTO DEL ASCENSOR Y PLATAFORMA ELEVADORA INDUSTRIAL, LOTE 3</t>
  </si>
  <si>
    <t>2022 06 3261 213</t>
  </si>
  <si>
    <t>2022 06 2314 213</t>
  </si>
  <si>
    <t>CONTRATO DE MANTENIMIENTO DE ELEVADORES PARA LOS CPM TRANSFERIDOS.</t>
  </si>
  <si>
    <t>INTERRUP NIESSEN 2201-BA (10 UDS) // SERVICIO DE EXTINCION DE INCENDIOS</t>
  </si>
  <si>
    <t>CONTRATO DE MANTENIMIENTO DE ELEVADORES PARA LOS CPM NO TRANSFERIDOS.</t>
  </si>
  <si>
    <t>CONTRATO DE MANTENIMIENTO DE ELEVADORES DEL CENTRO INTEGRADO.</t>
  </si>
  <si>
    <t>CONTRATO DE MANTENIMIENTO DE ELEVADORES DEL COMEDOR SOCIAL.</t>
  </si>
  <si>
    <t>CONTRATO DE MANTENIMIENTO DE ELEVADOR DEL CFE ""JACINTO BENAVENTE"", PROG. VALLADOLID CUIDA.</t>
  </si>
  <si>
    <t>CONTRATO DE MANTENIMIENTO DEL ELEVADOR DEL CFE ""JACINTO BENAVENTE"", PROG. PINTURA DECORATIVA.</t>
  </si>
  <si>
    <t>CONTRATO DE MANTENIMIENTO DE ELEVADOR DEL CFE ""JACINTO BENAVENTE"", PROG. PARQUES Y JARDINES.</t>
  </si>
  <si>
    <t>CONTRATO DE MANTENIMIENTO DEL ELEVADOR DEL CFE ""JACINTO BENAVENTE"".</t>
  </si>
  <si>
    <t>2022 04 9311 22799</t>
  </si>
  <si>
    <t>2022 07 1711 214</t>
  </si>
  <si>
    <t>ACUERDO MARCO 3/2020, TRABAJOS EN VEHÍCULOS JARDINES.</t>
  </si>
  <si>
    <t>ACUERDO MARCO REPARACION VEHICULO: 5343-BVH DE POLICÍA.</t>
  </si>
  <si>
    <t>AC MARCO EXP SPSC23/2020: REPARACION DE VEHÍCULO 3383-GJN: ENDEREZAR BASTIDOR DEL ELEVADOR LATERAL EN BANCADA</t>
  </si>
  <si>
    <t>ACUERDO MARCO 3/2020, TRABAJOS EN VEHICULOS, JARDINES.</t>
  </si>
  <si>
    <t>2022 08 1532 214</t>
  </si>
  <si>
    <t>REPARACION 4746-FZF // FALLA ELEVALUNAS IZQ., PANEL IZQ.PARA SUSTITUIRLO (M.O.+ MATERIALES)</t>
  </si>
  <si>
    <t>REPARACION 5689-CFT // PANEL DE PUERTA IZQ.PARA CAMBIAR ELEVALUNAS ROTO (M.O.+ MATERIALES)</t>
  </si>
  <si>
    <t>REPARACION 5667-CFT // ACCESORIOS PARA ACCEDER A CAJA DE CAMBIOS / SUSTITUIR EMBRAGUE Y VOLANTE MOTOR (M.O.+MATERIALES)</t>
  </si>
  <si>
    <t>REPARACION 5689-CFT: REVISIÓN FALLO DE INTERMITENCIAS / REPARAR (M.O. + MATERIALES)</t>
  </si>
  <si>
    <t>REPARACION VA-8042-T: APROXIMAR FRENOS/ METER EN FRENÓMETRO (MATERIALES + M.O.)</t>
  </si>
  <si>
    <t>REPARACION VEHICULO MATRÍCULA: 5667-CFT // Cº ACEITE MOTOR Y FILTROS - Cº VALVULINAS C/G REV.NIVELES, LUCES</t>
  </si>
  <si>
    <t>REPARACION 6006-CCM // CAMBIAR ACEITE DE MOTOR, FILTRO ACEITE Y CAMBIAR CORREAS (M.O.+ MATERIALES)</t>
  </si>
  <si>
    <t>REPARACION VEHICULO: 1791-CRZ // TAMBORES Y ZAPATAS, LIJAR ZAPATAS, APROXIMAR FRENOS Y METER EN FRENOMETRO//SEISPC</t>
  </si>
  <si>
    <t>ACUERDO MARCO 3/2020, REPARACION VEHICULO 5729-KJK.</t>
  </si>
  <si>
    <t>REPARACION VEHICULO: 0701-DKW ////// Cº ACEITE Y FILTRO - Cº FILTROS DE GASOIL Y DE AIRE - ACCESORIOS</t>
  </si>
  <si>
    <t>REPARAR TUBERIA DE VACIO DE FRENO MANO</t>
  </si>
  <si>
    <t>ACUERDO MARCO 3/2020 TRABAJOS EN VEHÍCULOS.</t>
  </si>
  <si>
    <t>REPARACION 7425-FKM / MONTAR TOMAS DE AIRE ITV A 3 EJES/ REVISIÓN DE AMORTIGUADORES (M.O.+ MATERIALES)/SEISPC</t>
  </si>
  <si>
    <t>ALBARAN: 22 179 500025218L ////  LITRO AD BLUE (20) ///  DESTINO: SEIS Y PC</t>
  </si>
  <si>
    <t>2022 03 9241 22699</t>
  </si>
  <si>
    <t>2022 10 2312 22699</t>
  </si>
  <si>
    <t>MIGRACIÓN DEL SISTEMA DE CORREO ELECTRÓNICO DEL AYTO. DE VALLADOLID A EXCHANGE ON-LINE, LOTE 3 (REAJUSTE) (58/2021)</t>
  </si>
  <si>
    <t>SUMINISTRO, INSTALACIÓN, CONFIGURACIÓN Y PUESTA EN MARCHA DE UN SISTEMA DE COPIAS DE SEGURIDAD, LOTE 1 (58/2021)</t>
  </si>
  <si>
    <t>2022 06 3232 632</t>
  </si>
  <si>
    <t>2022 06 3231 632</t>
  </si>
  <si>
    <t>ADJUD.EXPT. ASIST.TÉCN.A LA DIREC.OBRA CONSTRUC.PASO INFERIOR CONEX. ENTRE C/PANADEROS Y LABRADORES CON AVDA.SEGOVIA.</t>
  </si>
  <si>
    <t>LOTE 1 ACUERDO MARCO CONTROL DE CALIDAD ALUMBRADO. EXP: 8/2021 SEMEU</t>
  </si>
  <si>
    <t>Ensayos Control Calidad.Lote 1. Obra C/ Nueva del Carmen, entre Pza.Rafael Cano y Pza. Gómez del Barco.</t>
  </si>
  <si>
    <t>SE-EIJI 21/2021. PS 1. ENSAYOS CONTROL DE CALIDAD CONSTRUCCION NUEVA E.I.M. ENERO A AGOSTO DE 2022.</t>
  </si>
  <si>
    <t>CONTRATO BASADO EN ACUERDO MARCO CONTROL DE CALIDAD ELEVADORES URBANOS LADERA ESTE PARQUESOL (LOTE 1). EXP: 50/2021</t>
  </si>
  <si>
    <t>2022 03 9241 22706</t>
  </si>
  <si>
    <t>Ensayos de materiales utilizados en las obras de las cubiertas de los Centros Delicias y Conde Ansúrez</t>
  </si>
  <si>
    <t>2022 07 1721 22112</t>
  </si>
  <si>
    <t>INTERRUP NIESSEN 8101 (2) / TECLA I  NIESSEN (2) / MARCO 2E NIESSEN (1) /// DESTINO: MEDIO AMBIENTE</t>
  </si>
  <si>
    <t>SUMINISTRO, INSTALACIÓN, CONFIGURACIÓN Y PUESTA EN MARCHA DE UN SISTEMA DE COPIAS DE SEGURIDAD, LOTE 1 (REAJ) (58/2021</t>
  </si>
  <si>
    <t>INTERRUPT LEGRAND/ TECLA/ MARCO // MEDIO AMBIENTE</t>
  </si>
  <si>
    <t>CONEXION FONESTAR/ PROLONGA/ CLAVIJA FENOPLÁSTICA // BOMBEROS, C/ ERAS///SERVICIO DE EXTINCION DE INCENDIOS</t>
  </si>
  <si>
    <t>SPSC 013_2021;Contratación del Suministro de Prendas de Vestuario; LOTE 4: BOTAS Y ZAPATOS; SEISYPC.</t>
  </si>
  <si>
    <t>SUSCRIPCIÓN VARIAS REVISTAS PARA LAS BIBLIOTECAS MUNICIPALES, PLAZO DE EJECUCIÓN AÑO 2022</t>
  </si>
  <si>
    <t>Prorroga del contrato del Observatorio Urbano para los año 2021-2022. Agencia de Innovación.</t>
  </si>
  <si>
    <t>2022 09 3301 22799</t>
  </si>
  <si>
    <t>PRORROGA CONTRATO PUBLICACIÓN DATOS DEL OBSERVATORIO CULTURAL Y TURISTICO EN OBSERVATORIO URBANO HASTA 24/10/2022</t>
  </si>
  <si>
    <t>MATERIAL DE MANTENIMIENTO PARA EL ARCHIVO MUNICIPAL, FEBRERO 2022.</t>
  </si>
  <si>
    <t>2022 11 3111 22100</t>
  </si>
  <si>
    <t>SUMINISTRO ENERGIA ELECTRICA 2022 Y 2023 . SERVICIO SALUD PUBLICA. EXPTE. PR-SE 13/2021</t>
  </si>
  <si>
    <t>2022 04 9341 22000</t>
  </si>
  <si>
    <t>CIRCUITO DE CODIFICACION DE ENTIDADES FINANCIERAS (MODALIDAD CD-ROM): CD-ROM + APLICATIVO SEMESTRAL (2) // AÑO 2022</t>
  </si>
  <si>
    <t>2022 08 1532 22699</t>
  </si>
  <si>
    <t>Suministro y montaje válvula y puesta en marcha de bomba para circuito de agua caliente sanitaria en instalaciones SEPI</t>
  </si>
  <si>
    <t>BABEL AG DIGITAL S.L.U.</t>
  </si>
  <si>
    <t>SISTEMA DE INFORMACIÓN AL CIUDADANO Y GESTIÓN DE SUGERENCIAS Y QUEJAS: DOGMA, LOTE 14</t>
  </si>
  <si>
    <t>MANTENIMIENTO GESTIÓN DE BIBLIOTECAS DEL ARCHIVO MUNICIPAL AbsysNET, LOTE 1</t>
  </si>
  <si>
    <t>2022 08 1532 210</t>
  </si>
  <si>
    <t>Suministro hormigones y morteros para uso directo por los equipos del S.E.P.I. en las condiciones solicitadas para 2022.</t>
  </si>
  <si>
    <t>DISEÑO Y MAQUETACIÓN PARA LAS BIBLIOTECAS MUNICIPALES DURANTE EL AÑO 2022</t>
  </si>
  <si>
    <t>MANTENIMIENTO PUERTAS AUTOMATICAS DEL CPM  SAN JUAN, RONDILLA, VICTORIA Y ZONA SUR  PARA EL AÑO 2022</t>
  </si>
  <si>
    <t>sinC - Sin Criterio</t>
  </si>
  <si>
    <t>Alquiler carretillas elevadoras 4x4, incluido portes, para movimiento de palets y otros materiales</t>
  </si>
  <si>
    <t>2022 01 9312 22706</t>
  </si>
  <si>
    <t>ADJUDICACION CONTRATO Y REAJUSTE ANUALIDADES CONTROL FINANCIERO DE SUBVENCIONES (LOTE 1)</t>
  </si>
  <si>
    <t>ADJUDICACION CONTRATO Y REAJUSTE ANUALIDADES CONTROL FINANCERO DE SUBVENCIONES (LOTE 3)</t>
  </si>
  <si>
    <t>MANTENIMIENTO DE TEJADOS EN EL ANTIGUO MONASTERIO DE SANTA CATALINA DE SIENA</t>
  </si>
  <si>
    <t>MATERIAL ELÉCTRICO // AA.VV. SAN NICOLÁS / CC CASA CUNA / C.M SANTIAGO LÓPEZ / C.M. SEGUNDO MONTES</t>
  </si>
  <si>
    <t>CAPITAN QUIMERA S.L.</t>
  </si>
  <si>
    <t>TRABAJOS DE MAQUETACIÓN DE LA ESTRATEGIA CLIMÁTICA DE VALLADOLID.</t>
  </si>
  <si>
    <t>2022 10 2412 22100</t>
  </si>
  <si>
    <t>CONTRATO SUMINISTRO ENERGIA ELECTRICA DEL CENTRO DE FORMACION PARA EL  EMPLEO- JACINTO BENAVENTE EN 2022 Y 2023</t>
  </si>
  <si>
    <t>2022 08 1532 22100</t>
  </si>
  <si>
    <t>ENERGÍA ELÉCTRICA PARQUE VÍAS PÚBLICAS.-</t>
  </si>
  <si>
    <t>RELE SE LV481001 DIFER. 240V SIN COMUNIC. (4 UNIDADES) /// DESTINO: CASA CONSISTORIAL</t>
  </si>
  <si>
    <t>ENGRASAR PERSIANA METÁLICA ENTRADA C/ MARTIN LUTHER KING, CIC DELICIAS</t>
  </si>
  <si>
    <t>PRÓRROGA CONTRATO SUMINISTRO ORDINARIO NO INVENTARIABLE AYTO. VALLADOLID, LOTE 1</t>
  </si>
  <si>
    <t>2022 03 9241 22104</t>
  </si>
  <si>
    <t>SUMINISTRO DE VESTUARIO PARA PRESONAL CENTROS DEL SPC</t>
  </si>
  <si>
    <t>REPARACION Y TRABAJOS EN PLATAFORMAS ELEVADORAS.</t>
  </si>
  <si>
    <t>MATERIALES DE ELECTRICIDAD PARA EL CENTRO DE MANTENIMIENTO/ CASA CONSISTORIAL/ ACOPIOS/ VIAS Y OBRAS</t>
  </si>
  <si>
    <t>2022 10 2412 203</t>
  </si>
  <si>
    <t>ALQUILER BRAZO ELEVADOR PARA EL CURSO DE PARQUES Y JARDINES III  DEL C. DE FORMACION PARA EL EMPLEO - DURACION 1 DIA</t>
  </si>
  <si>
    <t>ALQUILER DE PLATAFORMA DE TIJERA PARA REPARACIONES ELÉCTRICAS EN DEPENDENCIAS DE POLIC.IA.</t>
  </si>
  <si>
    <t>2022 07 1711 623</t>
  </si>
  <si>
    <t>ACUERDO MARCO 3/2020, ACCESORIOS PARA MAQUINARIA.</t>
  </si>
  <si>
    <t>ALQUILER TIJERA TODO TERRENO PARA LA REPARACIÓN DE ALUMBRADO EN NAVE PARKING VEHÍCULOS Sº DE LIMPIEZA</t>
  </si>
  <si>
    <t>PRÓRROGA CONTRATO SUMINISTRO MATERIAL ORDINARIO NO INVENTARIBLE AYTO. VALLADOLID, LOTE 3</t>
  </si>
  <si>
    <t>ADJUDICA SUMINISTRO TÓNER DIVERSOS COLORES Y OTRO MATERIAL PARA TRABAJOS IMPRENTA AÑO 2022</t>
  </si>
  <si>
    <t>2022 11 1621 22199</t>
  </si>
  <si>
    <t>CARPETAS, CORRECTORES Y PAPEL. SERVICIO DE LIMPIEZA.</t>
  </si>
  <si>
    <t>AGENDAS Y DIETARIOS PARA EL PERSONAL DE PARTICIPACIÓN CIUDADANA (NO SUMINISTRADOS POR EL ALMACÉN DE ACOPIOS)</t>
  </si>
  <si>
    <t>2022 05 4314 22100</t>
  </si>
  <si>
    <t>NUEVO CONTRATO DE SUMINISTRO ENERGIA ELECTRICA PARA LAS DEPENDENCIAS DEL EXCMO. AYUNTAMIENTO DE  VALLADOLID</t>
  </si>
  <si>
    <t>2022 11 1321 22199</t>
  </si>
  <si>
    <t>SUMINISTRO DE LIBRO DE REGISTRO PARA SERVICIO DE POLICÍA MUNICIPAL EN PUENTE DUERO.</t>
  </si>
  <si>
    <t>REPARACIÓN DE EMISORAS DE VEHÍCULOS DEL SERVICIO DE LIMPIEZA</t>
  </si>
  <si>
    <t>2022 11 1631 213</t>
  </si>
  <si>
    <t>CONTRATO MANTENIMIENTO Y UBICACIÓN REPETIDOR PARA LA TRANSMISIÓN DE COMUNICACIONES INTERNAS DEL Sº DE LIMPIEZA</t>
  </si>
  <si>
    <t>SUMINISTRO DE DIFERENTE MATERIAL PARA CENTROS CIVICOS Y MPALES</t>
  </si>
  <si>
    <t>2022 11 1631 22199</t>
  </si>
  <si>
    <t>AC MARCO EXP V36-2017: SUMINSITROS PARA VESTUARIO ZONA VALLE ARÁN DE LIMPIEZA VIARIA</t>
  </si>
  <si>
    <t>2022 10 2312 212</t>
  </si>
  <si>
    <t>MANT. SUMINISTRO DE MATERIAL DE ELECTRICIDAD // CPM DELICIAS 413.96 Y  CPM J.L. MOSQUERA 39.2- DURACION 1 DIA</t>
  </si>
  <si>
    <t>DOS SECADORES SECAMANOS SYP SL-2002 AUTOMATIC - PARA BAÑOS SAN BENITO</t>
  </si>
  <si>
    <t>SUMINISTRO DE DIFERENTES PLANTAS Y SEMILLAS ///  DESTINO:  CURSO PARQUES Y JARDINES III, EXP.47/0002/2021</t>
  </si>
  <si>
    <t>SUMINISTRO DE PLANTAS // CURSO: PARQUES Y JARDINES III Nº 47/0002/2021 -DURACION 1 DIA</t>
  </si>
  <si>
    <t>SUMINISTRO DE DIFERENTES PLANTAS /// DESTINO: CURSO PARQUES Y JARDINES Nº 47/0002/2021 - DURACION 1 DIA</t>
  </si>
  <si>
    <t>SUMINISTRO DE PLANTAS / SEMILLAS (PROGRAMA MIXTO PARQUES Y JARDINES III - EXP 47/002/2021)- DURACION 1 DIA</t>
  </si>
  <si>
    <t>SUMINISTRO DE SCHLUMBERGEN MIX/ CACTURA VARIADOS/ CACTUS  CURSO PARQUES Y JARDINES III, EXPT 47/0002/2021 )DUR 1 DIA</t>
  </si>
  <si>
    <t>ACUERDO MARCO. SUMINISTRO DE MATERIAL PARA EL SERVICIO DE POLICÍA MPAL</t>
  </si>
  <si>
    <t>AC MARCO EXP V36/2017: SUMINISTRO DE MATERIAL ELECTRICO PARA EL SERVICIO DE LIMPIEZA DE C/ TOPACIO 63</t>
  </si>
  <si>
    <t>CONTRATO DE SERVICIOS DE ASISTENCIA TECNICA PARA LA EJECUCION DE PRUEBAS DE SOFTWARE DEL COMPONENTE 2 (GAME) - S2CITY.</t>
  </si>
  <si>
    <t>CERTIFICADO DE VERIFICACIÓN PERIÓDICA ANUAL DE ETILÓMETRO DE POLICÍA.</t>
  </si>
  <si>
    <t>SUMINISTRO DE ELECTRODOS PARA LOS DESFIBRILADORES DE LOS CENTROS DE PARTICIPACIÓN CIUDADANA</t>
  </si>
  <si>
    <t>ACUERDO MARCO. SUMINISTRO DE MATERIAL DE MANTENIMIENTO PARA DEPENDENCIAS DE POLICÍA.</t>
  </si>
  <si>
    <t>2022 06 3232 212</t>
  </si>
  <si>
    <t>ARENA-N / ESPUMA POLIURETANA / BEIGE MATE CERAMICA // C.P. ISABEL LA CATOLICA // MES DE DICIEMBRE 2021</t>
  </si>
  <si>
    <t>2022 11 3111 22199</t>
  </si>
  <si>
    <t>AM V.36/2017 MATERIAL CONSTRUCCION: ALBAR. Nº 2200369 - 20/01/22 / ALBAR. Nº 2200590 - 28/01/22 // CASA BARCO.FUGA AGUA</t>
  </si>
  <si>
    <t>F-946. CERAMICAS SANCHEZ, S L. GRES ANTIDESLIZ. CRUCETA JUNTAS. DESTINO: CEAS ARGALES. 1 DIA</t>
  </si>
  <si>
    <t>SUMINISTRO DE MATERIAL PARA OBRA EN C.P. DEL PARQUE ALAMEDA /// MES FEBRERO DE 2022</t>
  </si>
  <si>
    <t>ALBARANES: 2200102 - 2200475 (ENERO) // CEMENTO GRIS (TOTAL 13) - SACO RAFIA  (100 UD) // DESTINO: COLEGIOS</t>
  </si>
  <si>
    <t>MATERIAL DE CONSTRUCCIÓN / CASETA DE C/ FCO GARCÍA LORCA / AM EXP 36-2017 / LIMPIEZA VIARIA.</t>
  </si>
  <si>
    <t>MATERIAL DE CONSTRUCCIÓN // ALB. DE 21/02/22: CEMENTO GRIS 25KG / ARENA+PIÑON SACO // E.I.M. MAFALDA Y GUILLE</t>
  </si>
  <si>
    <t>ALB. 2201179 de 18-02-22 // GEOTEXTIL - CEMENTO GRIS - ARENA LAVADA - ARENA PIÑÓN  ///  DESTINO: MANTENIMIENTO</t>
  </si>
  <si>
    <t>CONTRATO SUMINISTRO ENERGÍA ELÉCTRICA PARA COMEDOR SOCIAL -  2022 Y 2023 - LOTE 1</t>
  </si>
  <si>
    <t>2022 10 2412 212</t>
  </si>
  <si>
    <t>SUMINISTRO DE BAENA BEIGE C2 GRES PARA EL CENTRO DE FORMACION PARA EL EMPLEO, JACINTO BENAVENTE- DURACION 1 DIA- A. MARC</t>
  </si>
  <si>
    <t>MATERIAL DE CONSTRUCCIÓN // ALB. DE 28/02/2022:  ROJO MATE PRENSADO BALDOSIN / CEMENTO RAPIDO VICAT // CC ESGUEVA</t>
  </si>
  <si>
    <t>ALBARAN Nº 2200523 DE 26/01/2022: ESPUMA POLIURETANO / LIMPIADOR ESPUMA // CASA CONSISTORIAL - CUARTO DE CALDERAS</t>
  </si>
  <si>
    <t>F-255. CERAMICAS SANCHEZ. ESPUMA POLIURETANO/ LIMPIADOR. VIVIENDA: C/ CARMELO, 21, 3º C. 1 DIA</t>
  </si>
  <si>
    <t>AUDITORÍA DE SEGUIMIENTO DE CERTIFICACIÓN DE CALIDAD 9001 EN EL SERVICIO DE POLICÍA MUNICIPAL.</t>
  </si>
  <si>
    <t>LAMPARA LED / TASA ECORAEE / ARO EMP YLD / INT.HORA / TASA ECORAEE // DESTINOS: PARQUESOL -  C.SANTIAGO LÓPEZ</t>
  </si>
  <si>
    <t>EQUIPAMIENTO DE DOS NUEVOS AGENTES DE LA UNIDAD CICLISTA Y MATERIALES REPARACIÓN BICICLETAS DEL P. INFANTIL DE TRÁFICO.</t>
  </si>
  <si>
    <t>RECITAL DE TEATRO FORO A CARGO DE TEATRO CORSARIO ""MUJERES DEL SIGLO DE ORO"" EN EL CENTRO CÍVICO JOSÉ MOSQUERA 7 MARZO</t>
  </si>
  <si>
    <t>Cristina Urdiales: representación obra ""Titiricorp"" en CC José María Luelmo el  día 04/01/2022. MFS NAVIDAD</t>
  </si>
  <si>
    <t>REPRESENTACIÓN DE LA OBRA ""TITIRICORP"" DE CRISTINA URDIALES (M.F.S) // EL DÍA 07/11/2021 EN EL CIC NATIVIDAD CHACÓN</t>
  </si>
  <si>
    <t>MARCO COMPACTO BLANCO/ BASE 2P+T / CLAVIJA (P. DE ANTEQUERA) // TUBO LED/ TASA ECORAEE/ CLAVIJA/ SECADOR (CC. BAILARIN)</t>
  </si>
  <si>
    <t>MANIPULA SE XD4-PA22 (2) / SELECTOR  VERDE / CUERPO. VERDE //// VEHICULO: 8612-RRG ///  DESTINO: SERVICIO DE LIMPIEZA</t>
  </si>
  <si>
    <t>2022 05 4312 22100</t>
  </si>
  <si>
    <t>NUEVO CONTRATO DE SUMINISTRO DE ENERGIA ELECTRICA PARA LAS DEPENDENCIAS DEL EXCMO. AYUNTAMIENTO DE VALLADOLID</t>
  </si>
  <si>
    <t>SUMIN. CAJA SUP / D.BASE CIMA,PLACA 1CT CIMA,CONECTOR, MTR CANAL, MTS TUBO,BRIDA UNEX DE CPM FRAY LUIS DE LEON-DUR 1 DIA</t>
  </si>
  <si>
    <t>SUMINISTRO DE SECADOR SECAMANOS PARA BAÑO SAN BENITO</t>
  </si>
  <si>
    <t>MANT. SUMINISTRO DE SECADOR  DE PARED  PARA BAÑO SYP SL-2002 AUTOMATIC (CPM ZONA SUR)- DUR 1 DIA</t>
  </si>
  <si>
    <t>2022 01 9206 22001</t>
  </si>
  <si>
    <t>SUSCRIPCIONES ANUALES A COSITAL NETWORK Y A REVISTA DE ESTUDIOS LOCALES CUNAL, AÑO 2022.</t>
  </si>
  <si>
    <t>ADQUISICION DE DOCUMENTACION OFICIAL: MICROCHIP, CERTIFICADOS Y CARTILLAS PARA LOS ANIMALES DEL CMPA</t>
  </si>
  <si>
    <t>AC MARCO EXP V36-2017: CEPILLOS PARA REPARACION Y MANTENIMIENTO BARREDORAS DE LIMPIEZA VIARIA</t>
  </si>
  <si>
    <t>RAVO CEPILLO LATERAL NYLON-ACERO TRENZADO (24) // ELGIN PELICAN ARO DE FIBRA (60) / AM EXP 36-2017. LIMPIEZA VIARIA.</t>
  </si>
  <si>
    <t>AC MARCO EXP V36/2017: CEPILLOS PARA REPARACION Y MANTENIMIENTO DE BARREDORAS PARA LIMPIEZA VIARA</t>
  </si>
  <si>
    <t>AC MARCO EXP V36/2017: RECAMBIOS PARA REPRACIONES VEHÍCULOS Sº LIMPIEZA</t>
  </si>
  <si>
    <t>AC MARCO EXP V36/2017: REPUESTOS PARA REPARACIONES DE VEHCIULOS DEL Sº DE LIMPIEZA</t>
  </si>
  <si>
    <t>SUMINISTRO DE DIVERSOS REPUESTOS PARA VEHICULOS / AM EXP V36-2017 / SERVICIO DE LIMPIEZA.</t>
  </si>
  <si>
    <t>ALQUILER 2 FOTOCOPIADORAS COLOR Y B/N PARA EL ARCHIVO MUNICIPAL, DEL 8 DE FEBRERO AL 31 DE DICIEMBRE 2022.</t>
  </si>
  <si>
    <t>COPIAS COLOR Y B/N 2 FOTOCOPIADORAS ARCHIVO MUNICIPAL, DEL 8 DE FEBRERO AL 31 DE DICIEMBRE DE 2022.</t>
  </si>
  <si>
    <t>AC MRACO EXP V36-2017: REPUESTOS PARA REPARACIONES VEHICULOS DEL SERVICIO DE LIMPIEZA</t>
  </si>
  <si>
    <t>SUMINISTRO DE REPUESTOS PARA VEHICULOS / AM EXP V36-2017 / SERVICIO DE LIMPIEZA</t>
  </si>
  <si>
    <t>AC MARCO EXP V36/2017: RECAMBIOS PARA VEHÍCULOS SERVICIO DE LIMPIEZA</t>
  </si>
  <si>
    <t>aAC MARCO EXP V36/2017: REPUESTOS PARA REPARACIONES VEHÍCULOS DE LIMPIEZA</t>
  </si>
  <si>
    <t>SUMINISTRO DE RECAMBIOS PARA VEHICULOS 0774-DWR - 3241-FNW- TALLER / AM EXP V36-2017. SERVICIO DE LIMPIEZA.</t>
  </si>
  <si>
    <t>REPUESTOS (E3813BDK / 8875KMN / 4069KXH / 2568FZB / E3465BGW / 4459KLP) Y ALMACEN / AM EXP V36-2017 SERVICIO DE LIMPIEZA</t>
  </si>
  <si>
    <t>2022 04 9321 22799</t>
  </si>
  <si>
    <t>Fabricación de placas de vado (permanente y horario) destinadas a la renovaión-sustitución por deterioro.</t>
  </si>
  <si>
    <t>SPSC 013_2021;Contratación del Suministro de Prendas de Vestuario; LOTE 2: COMPLEMENTOS TÉCNICOS ; SEISYPC.</t>
  </si>
  <si>
    <t>SUMINISTRO ROPA DE TRABAJO LABORAL PERSONAL POLICÍA.  EJERCICIO 2022. EXPTE. SPSC -02/2021. LOTE Nº 9.</t>
  </si>
  <si>
    <t>2022 10 2312 22199</t>
  </si>
  <si>
    <t>BOLSAS EMBOLSADORAS PARA MAQUINA DE EMBOLSAR PARAGUAS PARA TODOS LOS CPM( 12 CAJAS DE 2000 UNIDADES) DURANTE 2022</t>
  </si>
  <si>
    <t>ACUERDO MARCO. ESCALERA CASTELLANA MAXI CATM8 (1) . ALMACÉN POLICÍA MPAL.</t>
  </si>
  <si>
    <t>ACUERDO MARCO. SUMINISTRO MANTA EMBALAJE AZUL 140X200   ( 105 UNIDADES ) /// POLICIA MPAL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</si>
  <si>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</si>
  <si>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</si>
  <si>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SUMINISTRO DE MAQUINA EMBOLSADORAS DE PARAGUAS PARA EL CPM PUENTE COLGANTE- DURA 1 DIA</t>
  </si>
  <si>
    <t>GRANULADO IGNIFUGO VERMICULITA 40L SACO//SERVICIO DE EXTINCION DE INCENDIOS</t>
  </si>
  <si>
    <t>ACUERDO MARCO. ESCALERA VARITREX PLUS 4X3 PARA TALLER DE REPARACIONES DE VEHÍCULOS.</t>
  </si>
  <si>
    <t>A.M. V. 36/2017: BOTA PU PRADO VERDE (1) / ZAPATO RUN LOW (1) / RABBORA TRAIL MID (1) // SALUD PÚBLICA</t>
  </si>
  <si>
    <t>A.M. V.36/2017: ZAPATO SMESTAD BOA MARINO 78214 599 Nº 40 (1 UD.) ////// ZAPATO MONTI S3 SRC Nº37 (1 UD.)</t>
  </si>
  <si>
    <t>CHAQUETA SHERMAN LANA POLAR T-L (1) ///// CINTA AISLANTE AMARILLA 20X19MM Y BLANCA 20X19MM (TOTAL 7)//SEISPC</t>
  </si>
  <si>
    <t>TORNILLO SOBREMESA 65MM ALYCO///SERVICIO DE EXTINCION DE INCENDIOSL</t>
  </si>
  <si>
    <t>2022 08 1341 22699</t>
  </si>
  <si>
    <t>PILA PARA BALIZA SINEX (15)</t>
  </si>
  <si>
    <t>2022 11 1621 22104</t>
  </si>
  <si>
    <t>ZAPATO CASTAÑO S2 SRC Nº 49 // SERVICIO DE LIMPIEZA.</t>
  </si>
  <si>
    <t>AC MARCO EXP V36/2017: BOTA HAYA S2+CI+SRC (1) PERSONAL DEL Sº  LIMPIEZA</t>
  </si>
  <si>
    <t>TORNILLO BANCO SOBREMESA 125MM//SERVICIO DE EXTINCIÓN DE INCENDIOS</t>
  </si>
  <si>
    <t>AC MARCO EXP V36/2017: SEÑAL ADESIVA OBLIGATORIO CERRAR PUERTAS 150X200 (6 UDS)</t>
  </si>
  <si>
    <t>AJUSTE PRESUPUESTARIO DEL SUMINISTRO DE  ENERGIA ELECTRICA DEL C. DE FORMACION PARA ELEMPLEO EN 2022</t>
  </si>
  <si>
    <t>SUSCRIPCIÓN ANUAL A BASE DE DATOS PROYECTO CSP 2, AÑO 2022.</t>
  </si>
  <si>
    <t>ADJUDICA ALQUILER/MANTENIMIENTO EQUIPO PRODUCCIÓN DIGITAL BIZHUB PRO C-6500 IMPRENTA: MARZO a DICIEMBRE 2022</t>
  </si>
  <si>
    <t>CONTRATO DE ALQUILER MAQUINAS FOTOCOPIADORAS PERSONAL Y FORMACION</t>
  </si>
  <si>
    <t>ABONO DE COPIAS DE FOTOCOPIADORAS PERSONAL Y FORMACION AÑOS 2022-2024</t>
  </si>
  <si>
    <t>2022 01 9205 22100</t>
  </si>
  <si>
    <t>ADJUDICA EXPTE PR-SE 13/2021 NUEVO CONTRATO SUMINISTRO ENERGÍA ELÉCTRICA A IMPRENTA AÑOS 2022 y 2023</t>
  </si>
  <si>
    <t>ARRENDAMIENTO y MANTENIMIENTO EQUIPO PRODUCCIÓN DIGITAL BIZHUB C-6500 PARA IMPRENTA: ENERO Y FEBRERO 2022</t>
  </si>
  <si>
    <t>CUOTA 10/12 (DICIEMBRE 2021) MANTENIMIENTO Y COPIAS EQUIPO BIZHUB C-6500 / N A03U020002212.1 / IMPRENTA</t>
  </si>
  <si>
    <t>COMPRESORES ACEBES, S.L.</t>
  </si>
  <si>
    <t>INSPECCIÓN NIVEL B DE LOS COMPRESORES DEL TALLER DEL SERVICIO DE LIMPIEZA.</t>
  </si>
  <si>
    <t>VEHÍCULO E3465BGW // PARABRISAS VERDE / MONTAR PARABRISAS. LIMPIEZA VIARIA</t>
  </si>
  <si>
    <t>2022 06 3321 212</t>
  </si>
  <si>
    <t>MATERIALES DE ELECTRICIDAD // BIBLIOTECAS PÚBLICAS</t>
  </si>
  <si>
    <t>ACUERDO MARCO SUMINISTRO DE DIVERSO MATERIAL DE ELECTRICIDAD PARA DEPENDENCIAS DE POLICIA MUNICIPAL</t>
  </si>
  <si>
    <t>INTERRUPTOR/ TECLA/ MARCO/ LÁMPARA/ TASA ECORAEE/ BALASTO // CASA CONSISTORIAL</t>
  </si>
  <si>
    <t>MATERIALES DE FERRETERIA // PARQUE DE BOMBEROS - SEIS Y PC</t>
  </si>
  <si>
    <t>SUMINITRO, DETECTOR LEGRAND (CPM LA VICTORIA)/ LÁMPARA (CPM ESGUEVA)/ MT CANAL/ BASE SCH/ ZÓCALO (CPM Z.SUR)-DUR 1 DIA-</t>
  </si>
  <si>
    <t>MT CANAL UNEX SUELO ANTRAC./ CONMUTADOR LEGRAND (P.M. LA VICTORIA) // EMP IRELUZ/ TASA ECORAEE (P.M. PARQUESOL)</t>
  </si>
  <si>
    <t>ACUERDO MARCO 3/2020, REPARACION DE MOTO.</t>
  </si>
  <si>
    <t>ACUERDO MARCO 3/2020, REPARACION MOTO JARDINES.</t>
  </si>
  <si>
    <t>ACUERDO MARCO 3/2020, REPARACIÓN MOTOS JARDINES.</t>
  </si>
  <si>
    <t>ACUERDO MARCO. REPARACIÓN MOTOCICLETAS POLICÍA.</t>
  </si>
  <si>
    <t>ACUERDO MARCO. REPARACIÓN DE MOTROCICLETAS DE POLICÍA.</t>
  </si>
  <si>
    <t>ACUERDO MARCO 3/2020, REPARACION MOTOS.</t>
  </si>
  <si>
    <t>F-989. CADIELSA. MATERIALES PARA EL MANTENIMIENTO DE LA JEFATURA ZONA SAN AGUSTÍN. 1 DIA</t>
  </si>
  <si>
    <t>SUMINISTRO DE DIFERENTES MATERIALES  /////  DESTINO: C.C BAILARIN VICENTE ESCUDERO - CC DELICIAS</t>
  </si>
  <si>
    <t>CONTRATACIÓN DEL SUMINISTRO DE LICENCIAS UIPATH PARA EL DESPLIEGUE DE UNA PLATAFORMA RPA</t>
  </si>
  <si>
    <t>F-2342. CADIELSA VALLADOLID, S.L.U. TUBO / MANGUITO / CURVA / PROYECTOR / TASA / CAJA / ABRAZADERA. COMEDOR SOCIAL.1DIA</t>
  </si>
  <si>
    <t>ACUERDO MARCO. SUMINISTRO DE MATERIAL DE ELECTRICIDAD PARA DEPENDENCIAS DE POLICÍA MUNICIPAL.</t>
  </si>
  <si>
    <t>F-488. CADIELSA. INTERRUPTOR BL /MARCO 1E /BASTIDOR 1E /FLUORESCENTE /CEBADOR. CEAS CENTRO. 1 DIA</t>
  </si>
  <si>
    <t>SUMINISTRO TUBO LED (4) ,TASA ECORAE (CPM DELICIAS) Y DETECTOR LEGRAND (1) + DETECTOR ORBIS (1) (CPM Z. ESTE-DUR 1 DIA</t>
  </si>
  <si>
    <t>CONTROL CALIDAD OBRA ADECUACION ESPACIO MARCELINA PONCELA COMO CENTRO ALMACENAMIENTO Y RESTAURACION P. MUEBLE. LOTE 1</t>
  </si>
  <si>
    <t>CTTO DE OBRAS PARA EL ACONDICIONAMIENTO DE LA VIVIENDA DEL CONSERJE EN EL CEIP ALLUE MORER. PLAZO EJECUCIÓN: 2 MESES</t>
  </si>
  <si>
    <t>Reparación de anomalías instalación del gas en viv. mpal. sita en c/ Guardería nº 6, bajo D. Marzo 2022</t>
  </si>
  <si>
    <t>SUMINISTRO DE BALASTO ELT 4X18W (1 UD)-  (CPM JOSE LUIS MOSQ.) /// DETECTOR ORBIS (2 UD) - (CPM ZONA ESTE)-DUR 1 DIA</t>
  </si>
  <si>
    <t>ANALOG.ENCHU/ TAPA/ MT CANAL/ ANGULO LEGRAND/ ANGULO P LEGRAND/ CAJA SOLERA // SAN BENITO, C. CONSISTORIAL (MNTO)</t>
  </si>
  <si>
    <t>SUMINISTRO DE CONTENEDORES, ÁRIDOS Y RETIRADA DE ESCOMBROS POR LAS OBRAS EN LAS ESCUELAS INFANTILES MUNICIPALES. 2022</t>
  </si>
  <si>
    <t>CONTENEDORES/ARENA REPARACION FUGA AGUA CASA BARCO</t>
  </si>
  <si>
    <t>ALQUILER DE CONTENEDOR PARA ESCOMBROS REPARACIÓN DE FACHADA EDIFICIO DE JEFATURA C/ VICTORIA S/N.</t>
  </si>
  <si>
    <t>2022 11 1621 219</t>
  </si>
  <si>
    <t>SUMINISTRO REPUESTOS REPARACIÓN CONTENEDORES DEL SERVICIO DE LIMPIEZA</t>
  </si>
  <si>
    <t>F-1622. CADIELSA. MARCO ARTS 71PANAC-MARESC32 ESCAY (2 UNIDADES). CEAS ARGALES-DELICIAS. 1 DIA</t>
  </si>
  <si>
    <t>AC MARCO EXP V36-2017: DETECTOR LEGRAND 48941  EMP. 360º  IP41 // SERVICIO DE LIMPIEZA VIARIA</t>
  </si>
  <si>
    <t>REGLETA AIRFAL/ TASA ECORAEE/ TUBO LDV/ TASA ECORAEE // DEPÓSITO ARCHIVO MUNICIPAL</t>
  </si>
  <si>
    <t>AC MARCO EXP V36-2017; SUMINISTRO MATERIAL ELECTRICO SERVICIO DE LIMPIEZA</t>
  </si>
  <si>
    <t>2022 09 3341 213</t>
  </si>
  <si>
    <t>SUMINISTRO MATERIALES ELECTRICIDAD, TIMBRE, PULSADOR,  PARA GALERIAS VALLADOLID</t>
  </si>
  <si>
    <t>ACUERDO MARCO 2017/36, MATERIAL ELÉCTRICO.</t>
  </si>
  <si>
    <t>2022 10 2312 22612</t>
  </si>
  <si>
    <t>COORDINADORA O.N.G.D. CASTILLA Y</t>
  </si>
  <si>
    <t>ACCIÓN DEL PLAN MPAL. DE SOLIDARIDAD DIRIGIDO A LA FORMACIÓN DEL PERSONAL MUNICIPAL EN ESTA MATERIA</t>
  </si>
  <si>
    <t>CRECIMIENTO ENERGÉTICO SL</t>
  </si>
  <si>
    <t>REPARACION BOMBA DE CALEFACCIÓN EN EL CP JOSE ZORRILLA. PLZ EJECUCIÓN: 15 DÍAS</t>
  </si>
  <si>
    <t>F-559. CADIELSA. LÁMPARA PH/ TASA ECORAEE/ LAMPARA LED. CENTRO DE INDOMICILIADOS. 1 DIA. COVID-19</t>
  </si>
  <si>
    <t>AC MARCO EXP V36/2017: MATERIAL ELÉCTRICO (NTERRUPTOR/ PULSADOR/ BASTIDOR/ MARCO) // VESTUARIOS SERV. DE LIMPIEZA</t>
  </si>
  <si>
    <t>REVISIÓN, RETIMBRADO Y RELLENADO DE EXTINTORES DE DEPENDENCIAS Y VEHÍCULOS DE POLICÍA.</t>
  </si>
  <si>
    <t>DOWN.EMP IRELUZ / TASA ECORAEE / ARMARIO IDE METAL 400X300 IP // DESTINOS: PZA STA ANA Y MUESTRAS</t>
  </si>
  <si>
    <t>2022 09 3341 22701</t>
  </si>
  <si>
    <t>CONTRATO MENOR MANTENIMIENTO SISTEMA CONTRA INCENDIOS DEL EDIFICIO CUPULA DEL MILENIO. 15-01-2022 AL 14-07-2022</t>
  </si>
  <si>
    <t>LAMPARA PH LEDSPOTMV ND / TASA ECORAEE // SALUD PÚBLICA</t>
  </si>
  <si>
    <t>Extintores de prácticas de agua y CO2, y precintos de plástico para formación en extinción de incendios; SEISYPC.</t>
  </si>
  <si>
    <t>F-484. CADIELSA. INTERRUP GAVE A-5500000 12A CAL.0 (1 UNID.) JEFATURA DE ZONA. 1DIA</t>
  </si>
  <si>
    <t>AC MARCO EXP SPSC 23/2020: MATRICULA 1375LMR: MANTENIMIENTO / KIT REPARACION / ACEITE / SIGAUS</t>
  </si>
  <si>
    <t>AC MARCO EXP SPSC 23/2020: CAMBIAR SENSOR NOX ( 34 ) ///  VEHICULO MATRICULA: 8875-KMN</t>
  </si>
  <si>
    <t>AC MARCO EXP SPSC 23/2020:  SENSOR NOX ( 2294291 -2294290 ) 2 UNIDADES REPARACIÓN VEHICULO MATRICULA: 8776-KMN</t>
  </si>
  <si>
    <t>CAMBIAR VALVULA LIMITADORA  / REGULADOR GAS  / VEHICULO MATRICULA: 1895-LFR / AM SPSC 23/2020 / SERVICIO DE LIMPIEZA.</t>
  </si>
  <si>
    <t>AC MARCO EXP SPSC 23/2020: CAMBAIR FARO PARA VEHÍCULO DE MATRICULA: 1895LFR</t>
  </si>
  <si>
    <t>AC MARCO EXP SPSC 23/2020: MANTENIMIENTO 30.000 KM VEHÍCULO MATRÍICULA 1375LMR</t>
  </si>
  <si>
    <t>AC MARCO EXP SPSC 23/2020: CAMBIAR PASTILLAS DE FRENO VEHÍCULO MATRÍCULA 0375LDD Sº LIMPIEZA</t>
  </si>
  <si>
    <t>AC MARCO EXP V36/2017: SUMINISTRO MATERIAL ELECTRICO PARA EL SERVICIO DE LIMPIEZA</t>
  </si>
  <si>
    <t>AC MARCO EXP V36-2017: MATERIAL ELÉCTRICO PARA EL Sº LIMPIEZA</t>
  </si>
  <si>
    <t>CONMUTADOR ZENIT BLANCO/ BASTIDOR ZENIT 2MODUL/ MARCO 2E // BIBLIOTECA SAN JUAN</t>
  </si>
  <si>
    <t>ARMADO / LUNA 4MM / DESMONTAJE / CLIMALIT / SEGURIDAD 3+3 //////  DESTINO: DIFERENTES COLEGIOS PUBLICOS</t>
  </si>
  <si>
    <t>SEGURIDAD 12+12 CANTOS PULIDOS // PASARELA ANTIGUO MATADERO</t>
  </si>
  <si>
    <t>ACUERDO MARCO. SUMINISTRO ESPEJO 5MM C/P (2130X1150)   2 UNIDADES ---  POLICIA MUNICIPAL</t>
  </si>
  <si>
    <t>CLIMALIT PLANITHERM 6/16 LUNA 4MM / SEGURIDAD 6+6 / ESPEJO DE 3 MM /// DESTINO: EDIF. SEGUNDO MONTES</t>
  </si>
  <si>
    <t>SEGURIDAD 3+3 (P.G.BOSQUE) / LUNA 4MM (ALLUE MOER) / LUNA 4MM (CRISTOBAL COLÓN) / LUNA 4MM (MARTÍN BARÓ)</t>
  </si>
  <si>
    <t>CLIMALIT 5+5/12/3+3 (1385X975) // CENTRO SANTIAGO LOPEZ</t>
  </si>
  <si>
    <t>MANT. SUMINISTRO DE CLIMALIT /6/MATE4 (1095 X 695) // C.P.M. LAS DELICIAS- DURACION 1 DIA</t>
  </si>
  <si>
    <t>F-249. CRISTALERIA ZARATAN. CLIMALIT 4/12/CARGLASS (1045X345) CENTRO INTEGRADO. 1 DIA. COVID-19</t>
  </si>
  <si>
    <t>F-2293. CRISTALERIA ZARATAN, S.L. CLIMALIT 4/12/ CARGLASS (1035X350). CENTRO INTEGRADO. 1 DIA. COVID-19</t>
  </si>
  <si>
    <t>MANT. SUMINISTRO DE BASE 2P  SE MGU3.037.18 (2 UNIDADES) // DESTINO: C.F. JACINTO BENAVENTE- DURACION 1 DIA- A.M</t>
  </si>
  <si>
    <t>MANTENIMIENTO DE MAQUINA RETRO-EXCAVADORA.</t>
  </si>
  <si>
    <t>Actuación de Klinklanklown en CM Pinar de Antequera el día 12/03/2022. MFS</t>
  </si>
  <si>
    <t>CONTRATO DE SERVICIOS GESTIÓN Y DESARROLLO DE TALL. EDUCAT. EN MATERIA DE IGUAL. Y CONTRA LA VIOLENC. / AÑO 2022 Y 2023</t>
  </si>
  <si>
    <t>AC MARCO EXP V36/2017: MATERAIL ELECTRICO PARA  VESTUARIO EN PARQUE LOS ALMENDROS (LIMPIEZA VIARIA)</t>
  </si>
  <si>
    <t>2022 01 9206 22799</t>
  </si>
  <si>
    <t>DAVID VILLEGAS RODRÍGUEZ</t>
  </si>
  <si>
    <t>DIGITALIZACIÓN DE LA DOCUMENTACIÓN QUE CONFORMA EL ARCHIVO JOAQUÍN MARTÍN DE UÑA, PARA EL ARCHIVO MUNICIPAL.</t>
  </si>
  <si>
    <t>2022 10 2312 22617</t>
  </si>
  <si>
    <t>FORMAC. SOBRE ACTUALIZACION DELA REFORMA DEL CDIGO CIVIL EN MATERIA DE REPRESENTACION LEGAL A PERSONAS CONDISCAPACIDAD</t>
  </si>
  <si>
    <t>REPARACIÓN DE CERRADURAS Y AMAESTRAMIENTO DE LLAVES PARA POLICÍA MUNICIPAL.</t>
  </si>
  <si>
    <t>Suministro de pinturas de todo tipo, disolventes, herramientas de pintor, etc.  según necesidades.-</t>
  </si>
  <si>
    <t>2022 06 3321 22100</t>
  </si>
  <si>
    <t>PR-SE 13/2021. NUEVO CONTRATO SUMINISTRO DE ENERGÍA ELÉCTRICA AYUNTAMIENTO DE VALLADOLID. BIBLIOTECAS PÚBLICAS.</t>
  </si>
  <si>
    <t>BRIDA UNEX 2221 2,5X101 BLANCA  ( 400 UNIDADES ) /// DESTINO: CIC EMPECINADO</t>
  </si>
  <si>
    <t>CONTRATO DE SERVICIOS DE APOYO A LAS TAREAS DE COMUNICACION Y PROMOCION DE ACTIVIDADES Y PROYECTOS DE LA AIDE.</t>
  </si>
  <si>
    <t>ACCIONES DE SENSIBILIZACIÓN Y DISEMINACIÓN DE LOS PROYECTOS EUROPEOS INTERREG POCTEP, INDNATUR Y CIRCULAR LABS.</t>
  </si>
  <si>
    <t>2022 05 4331 22602</t>
  </si>
  <si>
    <t>REALIZACIÓN DE IMÁGENES EN DISTINTOS FORMATOS Y VÍDEOS, PARA PROMOCIÓN Y PUBLICIDAD DE PROGRAMAS DE LA AGENCIA DE INNOV.</t>
  </si>
  <si>
    <t>DIABLA TEATRO</t>
  </si>
  <si>
    <t>Actuación en CC Parquesol de Diabla Teatro el día 07/05/2022. MFS</t>
  </si>
  <si>
    <t>SERVICIO DE ASESORIA SEXOLOGICA EN ESPACIOS JOVENES 2022</t>
  </si>
  <si>
    <t>SUSCRIPCIÓN DE VARIAS REVISTAS PARA LAS BIBLIOTECAS MUNICIPALES DURANTE EL AÑO 2022.</t>
  </si>
  <si>
    <t>DISEÑO DE DIPLOMAS PARA ENTREGAR A PARTICIPANTES EN LAS MUESTRAS DE TEATRO Y CULTURA TRADICIONAL DE 2021</t>
  </si>
  <si>
    <t>2022 06 2314 22602</t>
  </si>
  <si>
    <t>HOSTING Y DOMINIO DE PLANJUVENTUDVA.ES, DEMOEXPRESS. ES Y ESPACIOJOVENVALLADOLID.ES 2022</t>
  </si>
  <si>
    <t>RENOVACIÓN DOMINIOS AGENCIA DE INNOVACIÓN. AÑO 2022</t>
  </si>
  <si>
    <t>DOMINIO IGUALDADVALLADOLID.ES Y HOSTING DURANTE EL AÑO 2022</t>
  </si>
  <si>
    <t>2022 04 9321 22602</t>
  </si>
  <si>
    <t>2022 04 9341 22699</t>
  </si>
  <si>
    <t>CAIXABANK S.A.</t>
  </si>
  <si>
    <t>GASTOS Y COMISIONES CONTRATACION TERMINALES PUNTO DE VENTA FISICOS Y VIRTUALES AYTO DE VALLADOLID</t>
  </si>
  <si>
    <t>2022 06 3232 22103</t>
  </si>
  <si>
    <t>SE 6-22. SUMINISTRO PELLETS PARA LA CALEFACCIÓN CEIP NUESTRA SEÑORA DEL DUERO. AÑO 2022</t>
  </si>
  <si>
    <t>2022 08 1532 22103</t>
  </si>
  <si>
    <t>Suministro de 3.500 litros de Gasóleo C para la caldera del nuevo Parque de Conservación de la Vía Pública, C/Títulos 51</t>
  </si>
  <si>
    <t>2022 11 3111 22103</t>
  </si>
  <si>
    <t>SUMINISTRO PELLETS CALDERA BIOMASA CMPA 2022</t>
  </si>
  <si>
    <t>2022 03 9241 22103</t>
  </si>
  <si>
    <t>SUMINISTRO DE PELLETS PARA EL CM PUENTE DUERO</t>
  </si>
  <si>
    <t>SUMINISTRO DE GASÓLEO CALEFACCIÓN LOCAL C/ CONDE ARTECHE (0.548 M3 DIA 04/02/22)</t>
  </si>
  <si>
    <t>CONTRATO DE MANTENIMIENTO DE CALEFACCIÓN PARA CFE ""JACINTO BENAVENTE"", PROG. VALLADOLID CUIDA.</t>
  </si>
  <si>
    <t>ADJUDICA SUMINISTRO A IMPRENTA RESMAS DIVERSOS TIPOS PAPELES Y CARTULINAS DE OFFSET Y ESTUCADOS PARA DIGITAL. AÑO 2022</t>
  </si>
  <si>
    <t>2022 06 2315 22699</t>
  </si>
  <si>
    <t>IMPRESIÓN DE SOPORTES PUBLICITARIOS A TRAVÉS DE IMPRENTA MUNICIPAL 2022: IGUALDAD E INFANCIA</t>
  </si>
  <si>
    <t>SUMINISTRO DE PAPEL (SERVIDO EN IMPRENTA MUNICIPAL) PARA CARTELES DE LOS PROGRAMAS SPC</t>
  </si>
  <si>
    <t>2022 06 3231 22699</t>
  </si>
  <si>
    <t>SUMINISTRO PAPEL A IMPRENTA MUNICIPAL PARA ELABORACIÓN DE CARTELES Y DÍPTICOS INFORMATIVOS E.I.M. Y EDUC. ADULTOS. 2022</t>
  </si>
  <si>
    <t>SUMINISTRO MANDO A DISTANCIA DEL SISTEMA DE PESAJE DEL VEHÍCULO 1895 LFR DEL Sº DE LIMPIEZA</t>
  </si>
  <si>
    <t>SPARKSPACE: DINAMIZACIÓN DEL ENTORNO DE COMUNICACIÓN</t>
  </si>
  <si>
    <t>CONTRATO DE MANTENIMIENTO DE CALEFACCIÓN DEL CFE ""JACINTO BENAVENTE"", PROG. PINTURA DECORATIVA.</t>
  </si>
  <si>
    <t>CONTRATO DE MANTENIMIENTO DE CALEFACCIÓN DEL CFE ""JACINTO BENAVENTE"", PROG. PARQUES Y JARDINES.</t>
  </si>
  <si>
    <t>2022 11 1361 623</t>
  </si>
  <si>
    <t>CONTRATO DE MANTENIMIENTO DE CALEFACCIÓN PARA EL CFE ""JACINTO BENAVENTE"".</t>
  </si>
  <si>
    <t>CALORVENT S.L.</t>
  </si>
  <si>
    <t>CONTRATO MANTENIMIENTO INSTALACIONES TÉRMICAS; LOTE 2; PREST COMPLEMENTARIAS; DEL 01/03/2022 AL 31/12/2022;SEISYPC.</t>
  </si>
  <si>
    <t>COPIAS 01/10/2021 - 29/12/2021 // N. SERIE RFC9Y20331 - FC011371 // CASA CONSISTORIAL, TORREÓN, PATRIMONIO</t>
  </si>
  <si>
    <t>COMPRA DE BOTES DE HUMO PARA COMPROBAR ESTANQUEIDAD DE CHIMENEAS EN LAS INSPECCIONES DE SECCIÓN DE CONTROL AMBIENTAL</t>
  </si>
  <si>
    <t>COMPRA DE BOTES DE HUMO PARA COMPROBAR ESTANQUEIDAD DE CHIMENEAS EN INSPECCIONES DE LA SECCIÓN DE CONTROL AMBIENTAL</t>
  </si>
  <si>
    <t>SERVICIO DE RECOGIDA Y DESTRUCCIÓN DE DOCUMENTACIÓN AFECTADA POR LA LEY DE PROTECCION DE DATOS . EJERCICIO DE 2022.</t>
  </si>
  <si>
    <t>2022 10 2412 223</t>
  </si>
  <si>
    <t>GESTION DE RESIDUOS DEL CENTRO DE FORMACION PARA EL  EMPLEO DURANTE 2022</t>
  </si>
  <si>
    <t>CONTRATO MANTENIMIENTO INSTALACIONES TÉRMICAS; LOTE 2; PREST BÁSICAS; DEL 01/03/2022 AL 31/12/2022/SEISYPC.</t>
  </si>
  <si>
    <t>SERVICIO PUNTUAL RECOGIDA PAPEL PARA RECICLAR // CIC CONDE ANSÚREZ - Bº ESPAÑA C/ BATUECAS, Nº 24 / MES DICIEMBRE 2021</t>
  </si>
  <si>
    <t>ADJUDICACIÓN CONTRATO EXP SPSC 35/2021 MANTENIMIENTO INSTALACIONES TÉRMICAS SºLIMPIEZA, DEL 1-3 AL 30-12-2022</t>
  </si>
  <si>
    <t>DUCO PROMOCION EMPRESARIAL,S.L.</t>
  </si>
  <si>
    <t>Contratación del diseño, maquetación y cofección de la GUÍA DEL CONTRIBUYENTE/EJERCICIO 2022</t>
  </si>
  <si>
    <t>ASJUDICACIÓN CONTRATO REPARACIONES NSTALACIONES TÉRMICAS EXP SPSC 35/2021 DEL Sº LIMPIEZA, DEL 1-3 AL 31-12-22</t>
  </si>
  <si>
    <t>MANTENIMIENTO DE LOS SISTEMAS DE FONTANERÍA, SANEAMIENTO Y PANEL SOLAR, LOTE 2</t>
  </si>
  <si>
    <t>2022 11 3111 22113</t>
  </si>
  <si>
    <t>INSERCIONES PUBLICITARIAS EN MATERIA TRIBUTARIA PARA 2022</t>
  </si>
  <si>
    <t>EXPTE:23/2018; LOTE2; MANTENIMIENTO PREVENTIVO (3.275,37) Y MANT.CORRECTIVO (847) PUERTAS AUTOMATIZADAS;SEISYPC</t>
  </si>
  <si>
    <t>2022 06 3321 223</t>
  </si>
  <si>
    <t>SERVICIO DE REPARTO DE LIBROS PARA LAS BIBLIOTECAS MUNICIPALES DURANTE EL AÑO 2022</t>
  </si>
  <si>
    <t>ALQUILER DE MAQUINAS ELEVADORAS PARA EL MANTENIMIENTO Y REPARACIONES DE LOS COLEGIOS PÚBLICOS. PLAZO AÑO 2022</t>
  </si>
  <si>
    <t>ADQUISICION DE ANTENA CON CONECTOR ACODADO PARA MEDIDOR TOPOGRAFICO</t>
  </si>
  <si>
    <t>ADJUDICACION MANTEN.SISTEMAS DE CLIMATIZACIÓN, CALEFAC.EDIFIC.MUNIC.LOTES 1, 2 Y 3 DEL1.01 AL 30.09 DEL 2022</t>
  </si>
  <si>
    <t>REPARACION ENFRIADORA CPUPULA DEL MILENIO, ASUSTE DE PARAMETROS, PUESTA EN MARCHA Y VERIFICACION FUNCIONAMIENTO</t>
  </si>
  <si>
    <t>ASIST. TÉCNICA OPERACIÓN, CAU, Y MTO.  DEL SOFTWARE DE BASE Y COMUNICACIONES LOTE 1(MODIF.  CONTRATO 1/1 AL 7/2/22)</t>
  </si>
  <si>
    <t>ALBARAN: AV22/00016 de 04/01/2022 ////  SUMINISTRO DE DIFERENTE MATERIAL</t>
  </si>
  <si>
    <t>SUMINISTRO DE TIJERA PODAR,BOLSA NYLON, GAFA, TAPÓN,CASCO,CUTTER, CUCHILLA,CORDÓN-  P.Y JARDINES III- DURA 1 DIA- AM</t>
  </si>
  <si>
    <t>SUMINISTRO DIF. MATERIAL // CURSO: PINTURA DECORATIVA IV DEL CENTRO DE FORMACION PARA EL EMPLEO- DURA 1 DIA- A.M.</t>
  </si>
  <si>
    <t>SUMINISTRO MATERIALES PARA EL C. DE FORMACIÓNPAR EL EMPLEO: PINTURA DECORATIVA IV- DUR 1 DIA- A.M</t>
  </si>
  <si>
    <t>SUMINISTRO DE MATERIAL PARA EL C. DE FORMACIÓN PARA EL EMPLEO: PARQUES Y JARDINES III- DUR A1 DIA- A.M</t>
  </si>
  <si>
    <t>2022 11 1631 22104</t>
  </si>
  <si>
    <t>ALBARAN: AV22/00788 de 11/02/2022 / BOTAS DE AGUA color VERDE (13 unidades) / AM EXP 36-2017 / SERVICIO DE LIMPIEZA.</t>
  </si>
  <si>
    <t>SUMINISTRO DE  ASPIRADOR INOX SOL/LIQU 30 LTS PARA EL  CURSO VALLADOLID CUIDA V DEL C. DE F. PARA EL EMP- DURACION 1 DIA</t>
  </si>
  <si>
    <t>SUMINISTRO DE MATERIALES, BRIDAS...PARA EL CURSO DE PARQUES Y JARDINESIII DEL C. DE F. PARA EL EMPLEO- DURACION 1 DIA</t>
  </si>
  <si>
    <t>SUMINISTRO DE TRIPODE BOSCH,ELEVADOR DE CARGA PARA EL  CURSO PINTURA DECORATIVA IV DEL C. DE F. PARA EL EMP- DURAC 1 DIA</t>
  </si>
  <si>
    <t>2022 06 2315 22100</t>
  </si>
  <si>
    <t>PR-SE 13/2021. NUEVO CONTRATO SUMINISTRO ENERGÍA ELÉCTRICA AYUNTAMIENTO DE VALLADOLID. CENTRO MUNICIPAL DE LA IGUALDAD.</t>
  </si>
  <si>
    <t>AC MARCO EXP V36/2017: SUMINISTRO BOTAS DE GOMA PARA PERSONAL DEL S. DE LIMPIEZA VIARIA</t>
  </si>
  <si>
    <t>SUMINISTRO DE PLACA MATRÍCULA  ,CINTA ADHESIVA,SEÑAL SALIDA PUERTA PARA EL CENTRO DE FORMACION PARA ELEMPLEO- DURA1 DIA-</t>
  </si>
  <si>
    <t>ALB: 05544 / REMACHE 4,8 x 21 BRALO (80)- (CP MIGUEL DELIBES) /// ALB: 05168 / DISCO WIDIO 230 mm (1)-(COLEGIOS)</t>
  </si>
  <si>
    <t>ALBARAN: AV22/00442 de 27/01/2022 ////// HOJA SIERRA SABLE (4 UNIDADES) //// DESTINO: MANTENIMIENTO</t>
  </si>
  <si>
    <t>MANTENIMIENTO, SUMINISTRO DE TERMOVENTILADOR CERAMICOPARA EL   C. DE F. PARA EL EMPLEO - JACINTO BENAVENTE- DUR1DIA</t>
  </si>
  <si>
    <t>ALBARAN: AV22/00903 de 16/02/2022 / TORNILLO  / TUERCA HEX / ARANDELA / BROCA /// DESTINO: CC ZONA SUR</t>
  </si>
  <si>
    <t>MANTENIMIENTO, SUMINISTRO DE  ANCLAJE INDEMOLL CON TORNILLO 4*32  (50 UNID.) //// UBICACION: CPM ZONA SUR-DURACION 1 DIA</t>
  </si>
  <si>
    <t>SUMINISTRO DE  BLISTER PILAS // CENTRO FORMAC. JACINTO BENAVENTE- DURACION 1 DIA- A. MARCO</t>
  </si>
  <si>
    <t>SUMINISTRO DE PILA LITIO ENERGIZERPARA EL C. DE  FORMACIÓN PARA EL EMPLEO, CURSO VALLADOLID CUIDA V- DUR1 DIA- A.MARCO</t>
  </si>
  <si>
    <t>5 SUSCRIPCIÓNES DE LA REVISTA PRIMICIAS NEWS, PARA LAS BIBLIOTECAS MUNICIPALES DURANTE EL AÑO 2022.</t>
  </si>
  <si>
    <t>AMPLIACION DEL CONTRATO DE PROYECTOS SOCIOEDUCATIVOS Y DESARROLLO COMUNITARIO EN CEAS- DE ENERO A AGOSTO 2022</t>
  </si>
  <si>
    <t>ADQUISICIÓN DE FROGÓRIFICO PARA DEPENDENCIAS DEL DEPÓSITO DE VEHÍCULOS DE EL PERAL.</t>
  </si>
  <si>
    <t>SUMINISTRO DE NÚMEROS PROFESIONALES Y DISTINTIVOS PARA LA POLICÍA MUNICIPAL.</t>
  </si>
  <si>
    <t>TARJETA BONO REGALO PREMIO ACTIVIDADES DEPORTIVAS</t>
  </si>
  <si>
    <t>2022 03 9241 635</t>
  </si>
  <si>
    <t>SUMINISTRO DE MESA DE PING PONG PARA CIC SEGUNDO MONTES</t>
  </si>
  <si>
    <t>ADJUDICA RENOVACIÓN SUSCRIPCIONES A EL MUNDO AÑO 2022 - MEDIOS DE COMUNICACIÓN Y GOBIERNO Y RELACIONES</t>
  </si>
  <si>
    <t>Talleres de  sensibilización intercultural en CEAS y colegios. De enero a junio de 2022</t>
  </si>
  <si>
    <t>ZANFONA PROYECTOS S.L.</t>
  </si>
  <si>
    <t>SUMINISTROS PARA REPARACIÓN DE SISTEMA DE APERTURA MOTORIZADA EN DIVERSAS VELUX _SAN BENITO</t>
  </si>
  <si>
    <t>SUMINISTROS RE REPUESTOS ELECTRÓNICOS PARA LA REPARACION EQUIPOS RECOLECTORES DE VEHÍCULOS DEL Sº LIMPIEZA</t>
  </si>
  <si>
    <t>Talleres de sensibilización en materia de convivencia intercultural de enero a junio de 2022</t>
  </si>
  <si>
    <t>2022 01 9207 22602</t>
  </si>
  <si>
    <t>ADJUDICA PUBLICIDAD Y COLABORACIÓN PUBLICACIÓN ""EL MUNICIPALISMO. LA HISTORIA DE LOS MUNICIPIOS DE CyL""</t>
  </si>
  <si>
    <t>MANTENIMIENTO RELOJ TORREON CASA CONSISTORIAL AÑO 2022</t>
  </si>
  <si>
    <t>ADJUDICA DIFUSIÓN DIGITAL BANDO ALCALDÍA SOBRE INVASIÓN DE UCRANIA (funcionamiento ayuda solidaria)</t>
  </si>
  <si>
    <t>2022 09 4321 22799</t>
  </si>
  <si>
    <t>COMUNICACIONES Y OCIO INTERACTIVO, S.L.</t>
  </si>
  <si>
    <t>CONTRATO SERVICIO PLANIFICACION, GESTION PATROCINIOS, COLABORACION EVENTOS INTERES TURISTICO CULTURAL VALLADOLID 2022-23</t>
  </si>
  <si>
    <t>A.MARCO(A.J.G.19.05.2020) C.CALIDAD LOTE 1 (ENSAYOS) OBRA PASOS INFERIORES LABRADORES Y PANADEROS CON AVDA.SEGOVIA</t>
  </si>
  <si>
    <t>Ensayos Control Calidad, LOTE 1 obra Traslado Instalaciones del SEPI,  Expte 30/2021  SEMEU Lote 1 EDIFICACIÓN.</t>
  </si>
  <si>
    <t>Ensayos Control Calidad LOTE 2 URBANIZACION EXTERIOR  Traslado Instalaciones del SEPI. Expte 30/2021 SEMEU.-</t>
  </si>
  <si>
    <t>2022 07 1721 213</t>
  </si>
  <si>
    <t>SUSTITUCIÓN DE ELEMENTOS POR AVERÍA EN LAS INSTALACIONES FOTOVOLTAICAS MUNICIPALES.</t>
  </si>
  <si>
    <t>PRÓRROGA CONTRATO GESTIÓN DE LAS PANTALLAS DE GRAN FORMATO UBICADAS EN LA CIUDAD DE VALLADOLID 74/2017</t>
  </si>
  <si>
    <t>ACCIONES DE CONSERVACIÓN DE INSTALACIONES DE CLIMATIZACIÓN EN DEPENDENCIAS DE POLICÍA MUNICIPAL ENERO Y FEBRERO DE 2022.</t>
  </si>
  <si>
    <t>MANTENIMIENTO DE GRUPOS ELECTRÓGENOS DEPENDIENTES DEL SPC (DEL 01/01/2022 AL 30/04/2022) EXP SPC 42/2021</t>
  </si>
  <si>
    <t>ACCIONES DE CONSERVACIÓN DE INSTALACIONES DE CLIMATIZACIÓN DE POLICÍA MUNICIPAL.</t>
  </si>
  <si>
    <t>MANTENIMIENTO DE GRUPOS ELECTRÓGENOS EN EDIFICIOS DEPENDIENTES DEL SPC (DEL 01/01/2022 AL 30/04/2022) EXP SPC 42/2021</t>
  </si>
  <si>
    <t>CONTRATO SERVICIOS GESTION PANTALLAS DE GRAN FORMATO UBICADAS EN LA CIUDAD DE VALLADOLID. REAJUSTE ANUALIDADES</t>
  </si>
  <si>
    <t>ANULAR POR CAMBIO CIF//MTO. GRUPOS ELECTRÓGENOS EN EDIFICIOS DEP. DEL SPC (DEL 01/01/2022 AL 30/04/2022) EXP SPC 42/2021</t>
  </si>
  <si>
    <t>2022 10 2313 22799</t>
  </si>
  <si>
    <t>INSTALACIÓN DE SONÓMETROS DE INTEMPERIE EN ZONA CENTRO DE LA CIUDAD.</t>
  </si>
  <si>
    <t>SUMINISTRO E INSTALACIÓN DE LÍNEAS DE ALIMENTACIÓN MÁQUINAS AACC EN CIC SANTIAGO LÓPEZ</t>
  </si>
  <si>
    <t>2022 09 4321 213</t>
  </si>
  <si>
    <t>REPARACION BOMBA DE ACHIQUE EN TERRENOS DE LA ANTIGUA HIPICA MILITAR</t>
  </si>
  <si>
    <t>TRABAJOS DE ILUMINACIÓN DE ENTRADA AL TALLER Y ALUMBRADO DE TABLEROS DE ANUNCIOS, SERVICIO DE LIMPIEZA</t>
  </si>
  <si>
    <t>SERVICIO DE SOPORTE AL DESARROLLO Y OFICINA DE CALIDAD DEL AYUNTAMIENTO DE VALLADOLID, LOTE 1 COMPLEMENTARIO REAJUSTE</t>
  </si>
  <si>
    <t>SUMINISTRO E INSTALACIÓN DE UN CARGADOR ELÉCTRICO EN EL EDIFICIO CASA DEL BARCO. SERVICIO MEDIO AMBIENTE</t>
  </si>
  <si>
    <t>REVISIONES DE LOS FILTROS DE CAMPANA DEL LABORATORIO Y MATERIAL PARA LA MISMA. SERVICIO MEDIO AMBIENTE</t>
  </si>
  <si>
    <t>MANTENIMIENTO DE  LA VITRINA DE GASES Y ARMARIO DE SEGURIDAD DEL LABORATORIO DE MASAS. SERVICIO MEDIO AMBIENTE</t>
  </si>
  <si>
    <t>ELITE BAGS</t>
  </si>
  <si>
    <t>Dos mochilas para material de cerrajería; Servicio de Extinción de Incendios, Salvamento y Protección Civil.</t>
  </si>
  <si>
    <t>AGOST</t>
  </si>
  <si>
    <t>PRORROGA CONTRATO IMPRESION, PLEGADO Y ENSOBRADO DE ENVIOS POSTALES AÑOS 2022-2023 (SE39/2019)</t>
  </si>
  <si>
    <t>REPARACION FUGAS EN INSTALACION CALEFACCION EDIFICIO SAN BENITO</t>
  </si>
  <si>
    <t>F-543. SANCHEZ ROMERA. REFORMA VIVIENDA C/ GUARDERÍA, 6: SUMINISTRO Y COLOCACIÓN DE INODORO Y MAMPARA DIC.21</t>
  </si>
  <si>
    <t>TALLERES DE ACTIVIDADES A EJECUTAR EN EL CENTRO MUNICIPAL DE LA IGUALDAD DURANTE 2022</t>
  </si>
  <si>
    <t>COLABORACIÓN Y ACTUACIÓN DE TRÍO MUSICAL CON MOTIVO DEL ACTO DEL DÍA INTERNACIONAL DE LA MUJER EL 8 DE MARZO</t>
  </si>
  <si>
    <t>EMPRESA CABRERO, S.A.</t>
  </si>
  <si>
    <t>TRASLADO ALUMNOS EIM MAFALDA Y GUILLE AL MUSEO DE LA CIENCIA: PROYECCIÓN EN EL PLANETARIO ""LOS SONIDOS DEL BOSQUE"" 6/4</t>
  </si>
  <si>
    <t>ACUERDO  MARCO. AURICULARES INALÁMBRICOS PERSONAL CENTRO DE OPERACIONES, PILAS, ETC.</t>
  </si>
  <si>
    <t>Suministro Destructora Fellowes 225CI Corte en Particulas ///  DESTINO: POLICIA MUNICIPAL DISTRITO 3º.</t>
  </si>
  <si>
    <t>Lona PVC 1000x1000 Amarillo (10 UNIDADES) ///  Lona PVC 3000x1000 Naranja (10 UNIDADES) /// DESTINO SEISPC</t>
  </si>
  <si>
    <t>INTERRUPTOR AUTOMÁTICO (C.S. SANTIAGO LÓPEZ) // LINTERNA RECARGABLE/ DICROICA LED/ CARGADOR ALIMENTADOR (CC V. ESCUDERO)</t>
  </si>
  <si>
    <t>PROYECTOR IP65 50W NEGRO 4000LM 4000K (6 UNIDADES) //// FOCO CARRIL (6 UNIDADES) /// DESTINO: CC BAILARIN V.E.</t>
  </si>
  <si>
    <t>CERRADURA MCM / PINTURA SPRAY FAREN RAL 9010 400ML BLANCO BRILLO // EI MAFALDA Y GUILLE. ENERO</t>
  </si>
  <si>
    <t>PASADOR ALMA CRUZ 250 9016 BLANCO // E.I.M. FANTASÍA. ENERO</t>
  </si>
  <si>
    <t>CARTEL PLAST. (CP G. QUINTANA) / SIKAFLEX MASILLA (CP T. GALVÁN) / BROCAS COBALTO (COLEGIOS)</t>
  </si>
  <si>
    <t>MATERIALES // CEIP PARQUE ALAMEDA/ CP JOSE ZORRILLA/ CP FCO PINO</t>
  </si>
  <si>
    <t>EGAÑA AMORT. / MANGUITO / TOPE RET.-INOFIX / LLAVES MEC.ACERO // DESTINO CC: B.V.ESCUD. - JOSE L.MOSQ.- PARQUESOL</t>
  </si>
  <si>
    <t>COPIAS (COLOR:2.401-NE:17.453)/ RFC9Y20759 FC011338 / 01-10-21 A 29-12-21 / CASA CONSIST. GESTION PERSONAL 3ª PLTA</t>
  </si>
  <si>
    <t>Nº ORDEN: 29519 / ADHESIVO MONTAJE SOUDAL T-REX 290ML CRISTAL POWER /// DESTINO: CP GARCIA QUINTANA</t>
  </si>
  <si>
    <t>MATERIALES PARA COLEGIOS/ CP FRANCISCO PINO/ CP PONCE DE LEÓN/ CP ISABEL LA CATÓLICA</t>
  </si>
  <si>
    <t>ORDEN: 30189 / CERRADURA (CC RONDILLA) / ORDEN: 30266 / MANILLA (CC C.CUNA) / ORDEN:30345 / CADENA (10) (CC BAILARIN V.E</t>
  </si>
  <si>
    <t>AC MARCO EXP V36/2017: SUMINISTROS VARIOS PARA EL SERVICIO DE LIMPIEZA</t>
  </si>
  <si>
    <t>F-841. EXCLUSIVAS MAOR, S.L. CERRADURA MCM. CEAS BARRIO ESPAÑA. 1 DIA</t>
  </si>
  <si>
    <t>A.M. SUMINISTROS V.36/2017 :. Nº ORDEN: 29621 //// CIERRA.JUSTOR BRAZO Nº56 BLANCO (1) //// CMPA</t>
  </si>
  <si>
    <t>Nº ORDEN: 0029162 / PERFIL ARANIA 35x35MM / BANDEJA ARANIA  800x300 GRIS / DESTINO: CIC CONDE ANSUREZ- CC DELICIAS</t>
  </si>
  <si>
    <t>SUMINISTRO DE REPUESTOS /// DESTINO: COLEGIOS - CP PABLO PICASSO- CP CRIST. COLON- CP ANTONIO Gª QUINTANA</t>
  </si>
  <si>
    <t>MANT. SUMINISTRO DE   ANTIP. TESA CIERRE 1910 908 VERDE (1) //// DESTINO: CPM PUENTE COLGANTE -DURACION 1 DIA</t>
  </si>
  <si>
    <t>Nº ORDEN: 30353- / BOMBILLO TESA (3 UD) ////  DESTINO: VIAS Y OBRAS</t>
  </si>
  <si>
    <t>PETACA ADAP/CONTERA CUADRADA/MANILLA/MECANIZADO LLAVES/ADHESIVO ALUM(C/TREPADOR) AM EXP V36-2017 SERVICIO DE LIMPIEZA.</t>
  </si>
  <si>
    <t>CINTA ANTID,/ CHAPA INOX./ ANGULO INOX./ PLETINA INOX./ VARILLA INOX. (CP FCO QUEVEDO) // TUBO/ PLETINA (COLEGIOS)</t>
  </si>
  <si>
    <t>MATERIAL PARA CIC CONDE ANSÚREZ/ CC DELICIAS/ C.M. PTE DUERO/ CC J.L.MOSQUERA</t>
  </si>
  <si>
    <t>F-2002. EXCLUSIVAS MAOR. BOMBILLO / COPIAS LLAVE MAESTRAS (CEAS BARRIO ESPAÑA) 1 DIA</t>
  </si>
  <si>
    <t>SUMINISTRO DE COPIA LLAVE MAGNETICA CODIFICABLEPARA EL CURSO DE  PARQUES Y JARDINES III DEL C. DE F. EMP- DURACION 1 DIA</t>
  </si>
  <si>
    <t>SUMINISTRO DE MANILLA SOAL CHAPARRO M9005 NEGRAPARA EL CURSO DE PINTURA DECORATIVA IV DEL C. DE F. EMPLEO- DUR 1 DIA</t>
  </si>
  <si>
    <t>MANT. SUMINISTRO DE CERRADURA,TOPE MADERA , FILTRO ATOMIZADOR, LLAVES MECANIZADAS  PARA EL JACINTO BENAVENTE- DUR 1DIA</t>
  </si>
  <si>
    <t>RIEGO CONECTOR CLABER GRIFO / ACEITE 3 EN 1 100ML LUBRICANTE DE CERRADURAS//SERVICIO DE EXTINCION DE INCENDIOS</t>
  </si>
  <si>
    <t>CERRAJERIA / TUBO INOX /// PILA DURACELL / CERRADURA TESA  // DESTINOS: ALMACEN Y MANTENIMIENTO</t>
  </si>
  <si>
    <t>ELECTRODO RUTILO KANGAROO (260) / RUEDA (4) / DEST. POZIDRIV / DEST. PLANA ///  DESTINO: MANTENIMIENTO</t>
  </si>
  <si>
    <t>CHAPA PERF. INOX (2)- UBICACION: RECINTO FERIAL //////  VARIOS - UBICACION: CASA CONSISTORIAL</t>
  </si>
  <si>
    <t>Nº ALBARAN T22/338 DE 24/02/2022: REVISAR Nº OR: 1889 / MARCA: SENCO / MODELO: 125D (MANO DE OBRA)</t>
  </si>
  <si>
    <t>VARILLA INOX/ CHAPA INOX (TALLER) / PERNIO SOLDAR C/ RODAMIENTO/ PULBERIZADOR SPRAY (TALLER CERRAJERÍA)</t>
  </si>
  <si>
    <t>MANT. SUMINISTRO DE RUFETE PLETINA LATON ADH. 35 0,83 21014 BLISTER (CPM JOSE LUIS MOSQUERA)-DUR 1 DIA</t>
  </si>
  <si>
    <t>CERRADURA MCM 1301 2-50-00 S/BOMBILLO / HEMBRILLA ABIERTA 22.120 ZINC 100 INDUS  / TACO FISCHER CC DELICIAS</t>
  </si>
  <si>
    <t>SUMINISTRO DE MATERIALES PARA MANTENIMIENTO</t>
  </si>
  <si>
    <t>REPARACIÓN DE MAQUINARIA.</t>
  </si>
  <si>
    <t>REPUESTOS PARA MAQUINARIA.</t>
  </si>
  <si>
    <t>MATERIALES PARA EL MANTENIMIENTO DE COLEGIOS PÚBLICOS</t>
  </si>
  <si>
    <t>BOMBILLO TESA SEGURIDAD CON 8 LLAVES/ BOMBILLO TESA 5200 35x35 LN CON 8 LLAVES // SERVICIO SEIS Y PC</t>
  </si>
  <si>
    <t>PERNIO SOLDAR / ACEITE / LLAVES MECANIZADAS/ BOMBILLO /// UBICACION: BOMBEROS - C/LAS ERAS</t>
  </si>
  <si>
    <t>ACUERDO MARCO. REPARACIÓN  VEHÍCULO NISSAN - MATRÍCULA 8075LJV DE POLICIA. : MANTENIMIENTO DE 1 AÑO</t>
  </si>
  <si>
    <t>Sensor Onrom Inductivo Corto Enr. 15mm (4 UNIDADES) / AM EXP V36-2017 / SERVICIO DE LIMPIEZA.</t>
  </si>
  <si>
    <t>2022 01 9201 22799</t>
  </si>
  <si>
    <t>F-3059. ENERGINOBA. Proyector IP20 Keeper (2) / Lámpara Led PARATHOM PAR16 (2) VIV. C/ ORIOL, 7 BAJO. 1 DIA</t>
  </si>
  <si>
    <t>F-2035. ENERGINOBA BATERÍAS. REGLETA ESPEJO/ LÁMPARA LED STANDARD (2) VIVIENDA SOCIAL EN C/ CARMELO, 21. 1 DIA</t>
  </si>
  <si>
    <t>Pila alcalina Panasonic bronce LR06 AA blister 4 u (12 unidades) // MANTENIMIENTO</t>
  </si>
  <si>
    <t>Grapa de fijacion a techo para carril trifasico (10 uds) // CC JUAN DE AUSTRIA</t>
  </si>
  <si>
    <t>PARTE DE CUOTA DE DICIEMBRE-21// Prestación Patrimonial Pub.no Tributario -Tratamiento de Residuos (Incl. Impto Elimin.)</t>
  </si>
  <si>
    <t>2022 06 2315 22613</t>
  </si>
  <si>
    <t>SERVICIO DE GUARDERIA EN EL CENTRO MUNICIPAL DE LA IGUALDAD 2022</t>
  </si>
  <si>
    <t>SERVICIO MONITOR/CUIDADOR DEL CENTRO MPAL DE IGUALDAD /// MES DE DICIEMBRE DE 2021</t>
  </si>
  <si>
    <t>VS 18/18 PRÓRROGA CONTRATO SERVICIO CALIBRACIONES PARA EL SERVICIO DE MEDIO AMBIENTE. LOTE 1</t>
  </si>
  <si>
    <t>MODIFICACIÓN DE BASE DE DATOS Y MÓDULO SCAL DE LA RED DE CONTROL DE LA CONTAMINACIÓN ATMOSFÉRICA</t>
  </si>
  <si>
    <t>REALIZACIÓN DEL MÓDULO DE INFORME DE ENSAYO DEL LDR DE LA RCCAVA. SERVICIO MEDIO AMBIENTE</t>
  </si>
  <si>
    <t>VIDEO FINISH EDOSOF PARA REALIZACIÓN PRUEBAS FÍSICAS PROVISIÓN 19 PLAZAS BOMBERO DEL SEIS Y PC.</t>
  </si>
  <si>
    <t>ESERGUI DISTESER, S.L.</t>
  </si>
  <si>
    <t>Suministro de 2.700 litros de Gasóleo C para la caldera del nuevo Parque de Conservación Vías Públicas, en C/ Títulos,51</t>
  </si>
  <si>
    <t>ZIERBENA</t>
  </si>
  <si>
    <t>BIZCAYA</t>
  </si>
  <si>
    <t>SE-EIJI 27/2021. MANTENIMIENTO INSTALACIONES DE PROTECCIÓN CONTRA INCENDIOS. EDIFICIOS MUNICIPALES. LOTE 1. COLEGIOS</t>
  </si>
  <si>
    <t>2022 10 2316 22616</t>
  </si>
  <si>
    <t>120 UDS CONST. ESPAÑOLA PARA ALUMNADO DE 8 CURSOS DE REFERENTES CULTURALES DE VALLADOLID 2022</t>
  </si>
  <si>
    <t>SE-EIJI 27/2021. ADJ. EXPTE.MANT. INSTALACIONES DE PROTEC. CONTRA INCENDIOS.(LOTE 3) EDIFICIOS MUNICIPALES. CG 65</t>
  </si>
  <si>
    <t>MANTENIMIENTO DEL SISTEMA DE DETECCIÓN Y EXTINCIÓN DE INCENDIOS, LOTE 4</t>
  </si>
  <si>
    <t>2022 11 1621 22699</t>
  </si>
  <si>
    <t>GASTO CURSO FORMACIÓNEN GESTIÓN DE CONFLICTOS PARA EL PERSONAL DEL TALLER DEL SERVICIO DE LIMPIEZA</t>
  </si>
  <si>
    <t>Actuación en CC Delicias el día 04/01/2022. MFS NAVIDAD</t>
  </si>
  <si>
    <t>SE-EIJI 27/2021. MANTENIMIENTO INSTALACIONES DE PROTECCIÓN CONTRA INCENDIOS. EDIFICIOS MUNICIPALES. LOTE 1. ESCUELAS INF</t>
  </si>
  <si>
    <t>SERVICIO DE ASISTENCIA TECNICA POR AVISO DE AVERIA O ALARMA / BATERIA YUVASA 12 V Y 40 Ah (ARCHIVO MPAL)</t>
  </si>
  <si>
    <t>REVISTA VIVE DISFRUTANDO ,  INFORMACIONES DE INTERES PARA LOS  CPM DURANTE 2022- 6 EDICIONES</t>
  </si>
  <si>
    <t>2022 06 3232 22799</t>
  </si>
  <si>
    <t>CTTO SERVICIOS PARA TRATAMIENTO DE DESRATIZACION (RATA ""VOLADORA"") EN COLES NO INCLUIDO CTTO LIMPIEZA/VOZAS VERDES.2022</t>
  </si>
  <si>
    <t>2022 05 4331 213</t>
  </si>
  <si>
    <t>CONTRATO SERVICIO DE MANTENIMIENTO DE LAS INSTALACIONES DE PROTECCIÓN CONTRA INCENDIOS - AGENCIA INNOVACIÓN.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</si>
  <si>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</si>
  <si>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</si>
  <si>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1.C.M. IGUALDAD</t>
  </si>
  <si>
    <t>MANTENIMIENTO SERVICIO DE ACCESIBILIDAD WEB AUMENTADA,: INCLUSITE, LOTE 12</t>
  </si>
  <si>
    <t>Expediente 33_2019 SEMEU_ Actuaciones obligatorias de carácter subsidiario y/o urgente. LOTE 1</t>
  </si>
  <si>
    <t>PRORROGA CONTRATO PRESTACION DEL SERVICIO MANTENIMIENTO COMUNICACION 2.0 AREA CULTURA Y TURISMO. 01-01-22 AL 28-08-22</t>
  </si>
  <si>
    <t>Mantenimiento de la cubierta vegetal del mercado El Campillo"" Proyecto URBAN GreenUP- 1 semestre de 2022</t>
  </si>
  <si>
    <t>2022 11 1361 22103</t>
  </si>
  <si>
    <t>MINORACIÓN CRÉDITO CONTRATO SUMINISTRO GASÓLEO PARA VEHICULOS DEL SERVICIO DE LIMPIEZA PARA LOS EJERCICIO 2022</t>
  </si>
  <si>
    <t>MANTENIMIENTO SOFTWARE DE PRESUPUESTOS, MEDICIONES Y CONTROL DE COSTES PARA EDIFICACIÓN Y OBRA CIVIL: PRESTO, LOTE 6</t>
  </si>
  <si>
    <t>2022 11 1361 633</t>
  </si>
  <si>
    <t>EXPTE:23/2018;SEGUNDA PRÓRROGA; LOTE 1; MANTENIMIENTO CORRECTIVO DE EQUIPOS DE RESPIRACIÓN AUTÓNOMA Y ACCESORIOS;SEISYPC</t>
  </si>
  <si>
    <t>SUMINISTRO DE CONTENEDORES, ÁRIDOS Y RETIRADA DE ESCOMBROS DEL LAS OBRAS EN LOS COLEGIOS PÚBLICOS. PLAZO 3 MESES</t>
  </si>
  <si>
    <t>SUMINISTRO MATERIAL EMPRESA VIDRA FOC PARA EL LABORATORIO. SERVICIO MEDIO AMBIENTE</t>
  </si>
  <si>
    <t>2022 07 1701 22799</t>
  </si>
  <si>
    <t>REAJUSTE ANUALIDADES  CONTRATO PROGRAMAS EDUCACION AMBIENTAL. LOTE 2. COORD. Y DES. RED HUERTOS ESCOLARES V.25/2019</t>
  </si>
  <si>
    <t>2022 07 1701 22102</t>
  </si>
  <si>
    <t>ADJUDICA SUMINISTRO PAPEL Y SOBRES DIVERSOS TIPOS Y FORMATOS PARA TRABAJOS IMPRENTA AÑO 2022</t>
  </si>
  <si>
    <t>ADQUISICIÓN DE PAPEL PARA LA ELABORACIÓN DE IMPRESOS PARA POLICÍA POR PARTE DE LA IMPRENTA MUNICIPAL.</t>
  </si>
  <si>
    <t>MANTENIMIENTO DE MAQUINARIA DE NUEVA ADQUISICIÓN.</t>
  </si>
  <si>
    <t>Suministro de carpetas amarillas para ""Historial Social"" en Ceas 2022</t>
  </si>
  <si>
    <t>ACTUACIÓN ""OLVIDADAS"" en el Museo de la Ciencia</t>
  </si>
  <si>
    <t>REAJUSTE ANUALIDADES CONTRATO SUMINISTRO NEUMÁTICOS (LOTE 1) VEHÍCULOS SERVICIO LIMPIEZA DEL 1-7-2020 AL 30-6-2022</t>
  </si>
  <si>
    <t>REAJUSTE ANUALIDADES CONTRATO SUMINISTRO NEUMATICOS VEHICULOS (LOTE 2) VEHICULOS LIMPIEZA VIARAI DEL 1-7-2020 AL 30-6-20</t>
  </si>
  <si>
    <t>Actuaciones de Libera Teatro en CIC Conde Ansúrez el día 03/04/2022 y en CC Delicias el día 15/05/2022. MFS</t>
  </si>
  <si>
    <t>SUMINISTRO RESMAS DE PAPEL PARA LA REALIZACIÓN DE TALONARIOS ""SOLICITUD PERMISO"" PERSONAL Sº LIMPIEZA</t>
  </si>
  <si>
    <t>SUMINISTRO DE  CINTA VULCANIZABLE / CORONA PULVERIZADOR // Nº 47/0002/2021 FOYEM PARQUES Y JARDINESIII -DUR 1 DIA- A.M.</t>
  </si>
  <si>
    <t>SUMINISTRO DE PULVERIZADOR ELECTR.,SEÑALES EVACUACIÓN,PILA AA, GRAPADORA MANUAL,CURSO  PARQUES Y JARDINES III-DUR 1 DIA</t>
  </si>
  <si>
    <t>A.MARCO  REPARACION DE CORTASETOS MARCA STIHL - MODELO HS45 NS (M.O.) // FORMACIÓN: PARQUES Y JARDINES III-DUR.1 DIA</t>
  </si>
  <si>
    <t>REPARACIÓN DE CORTACESPED MARCA HUSQVARNA - MODELO 122HD6 (M.O.+ MAT.) // FORMACIÓN: PQUES Y JARDINES III-DUR 1 DIA-A.M</t>
  </si>
  <si>
    <t>SUMINISTRO DE CINTA VULCANIZABLE TAPAFUGAS BLISTER // FORMACIÓN: PARQUES Y JARDINES III-DURACION 1 DIA- A.M</t>
  </si>
  <si>
    <t>ALB 22-200210: RED.MARSELLA LATON // CC PARQUESOL</t>
  </si>
  <si>
    <t>ALB: 22-201646 / MANGUITO UNION PE TUBO-TUBO 40-40 (39 ///  DESTINO:  E CABALLITO BLANCO. ENERO</t>
  </si>
  <si>
    <t>ALB 22-201482: BOTE HILO/ CODO 90º/ TUERCA/ ENLACE ROSCA MACHO/ BARRA POLIETILENO/ SIERRA (E.I.M. CABALLITO BLANCO). ENE</t>
  </si>
  <si>
    <t>SUMINISTRO DE  ARQUETA POLYPRO NEGRA (1) ///  CURSO: P. MIXTO 47/0002/2021 , CURSO PARQUES Y JARDINES III -DUR 1 DIA</t>
  </si>
  <si>
    <t>SUMINISTRO DE  BOLSA 100 UD.ETIQ. PLASTICO // CURSO: P. MIXTO 47/0002/2021PARQUES Y JARDINES III - DUR 1 DIA</t>
  </si>
  <si>
    <t>ALB: 22-201578 ///  P.SERV. DESHUMIFICADOR INDUSTRIAL DH (5 UNIDADES) //// DESTINO: CP JOSE ZORRILLA</t>
  </si>
  <si>
    <t>ALB: 22-200963 /// P.SERV. DESHUMIFICADOR INDUSTRIAL (1 UD.) ////  UBICACION: CP JOSE ZORRILLA</t>
  </si>
  <si>
    <t>ALB: 22-202156 /// P.SERV. DESHUMIFICADOR INDUSTRIAL DH (5) // DESTINO: CP JOSE ZORRILLA</t>
  </si>
  <si>
    <t>SUMINISTRO DE ROLLO GOTEO MARRÓN/ BOLSA 25 UDS/ MICRO A NEBULIZADOR/ MICRO A VÁLVULA /FORMAC.: PARQUES Y JARDINES III</t>
  </si>
  <si>
    <t>AC MARCO EXP V36-2017: REPUESTOS PARA VEHÍCULOS DEL S. D ELIMPIEZA VIARIA</t>
  </si>
  <si>
    <t>A.M. V.36/2017: ALB: 22-201141 /// MANGUITO UNION LATON M-NYLON T-T 32 / ML POLIETILENO BARRA // DESTINO: CASA DEL BARCO</t>
  </si>
  <si>
    <t>AC MARCO EXP V36/2017: ALBARAN 22-201826: TACO ANCLAJE METALICO PLADUR 6x46 (6) // LIMPIEZA VIARIA</t>
  </si>
  <si>
    <t>ACUERDO MARCO. SUMINISTRO DE MATERIAL PARA MANTENIMIENTO DEPENDENCIAS DE POLICÍA MUNICIPAL.</t>
  </si>
  <si>
    <t>ACUERDO MARCO-SUMINISTRO DE MATERIAL PARA MANTENIMIENTO DEPENDENCIAS DE POLICÍA MUNICIPAL.</t>
  </si>
  <si>
    <t>SUMINISTROS PARA LAREPARACIÓN DE CORTACESPED MARCA STIHL - MODELO HS45 NS (CENTRO FORM.JACINTO BENAVENTE-DURACION 1 DIA</t>
  </si>
  <si>
    <t>SUMINISTRO DE MATERIAL // PROGRAMA MIXTO PARQUES Y JARDINES III DEL CENTRO DE FORMACION PARA EL EMPLEO- DURACION 1 DIA</t>
  </si>
  <si>
    <t>SUMINISTRO DE  PROGRAMADOR WPX BOLSA MANGUITO UNIÓN, BOLSA ESTACA PARA TUBERÍA -CURSO PARQUES Y JARDINES III-D 1DIA</t>
  </si>
  <si>
    <t>ALB: 22-202564 / ALB:22-202724 / AM EXP 36-2017 / SERVICIO DE LIMPIEZA</t>
  </si>
  <si>
    <t>ALB: 22-203779 ///  REGISTRO ALUMINIO ESTANCO NORMAL KN25 40x40 /// DESTINO: COLEGIO ENTRE RIOS</t>
  </si>
  <si>
    <t>ALB: 22-203169 (PARQUE) // SUMINISTRO DE MATERIAL</t>
  </si>
  <si>
    <t>ALB: 22-203535 /// DESHUMIFICADOR INDUSTRIAL DH (3 UNID.) /// UBICACION: CP JOSE ZORRILLA</t>
  </si>
  <si>
    <t>ACUERDO MARCO. SUMINISTRO DE MATERIAL DE MANTENIMIENTO PARA DEPENDENCIAS  DISTRITO I DE POLICÍA MUNICIPAL.</t>
  </si>
  <si>
    <t>ALB: 22-205043 /// MANGUERA - SOPORTE- LANZA- ENCHUFE -RACOR-  ABRAZADERA ////// ALB.: 22-205057 // PISTOLA LANZA/SEISPC</t>
  </si>
  <si>
    <t>ALB: 22-200520 /// SACO CANTO RODADO AMARILLO 25-40 MM 20 KG (1 UD.) ////  DESTINO: SAN BENITO</t>
  </si>
  <si>
    <t>REGISTRO ALUMINIO ESTANCO NORMAL KN20 60x60 // CEIP ENTRE RÍOS</t>
  </si>
  <si>
    <t>(CENTRO JACINTO BENAVENTE): REPARACIÓN DE ARRANQUE -MARCA: OUTIS (MANO DE OBRA) / CUERDA DE ARRANQUE- DURACION  1 DIA</t>
  </si>
  <si>
    <t>ALB 22-205609 (CP FRAY LUIS DE LEÓN): ARMAR.P 30 X 45 AISLADO VACIO</t>
  </si>
  <si>
    <t>F-3079. FLUME S.L. VIVIENDA EN C/ GUARDERIA.  RED.MARSELLA LATON/V.SALIDA ESCUADRA TRIPLE FUNCION.1 DIA</t>
  </si>
  <si>
    <t>MATERIAL DE RIEGO.</t>
  </si>
  <si>
    <t>AC MARCO EXP V36/2017: SUMINISTROS VARIOS PARA EL S. DE LIMPIEZA VIARIA</t>
  </si>
  <si>
    <t>Reparación de pequeña maquinaria (martillos eléctricos, cortadoras, tronzadoras, etc).-</t>
  </si>
  <si>
    <t>ALB 22-201640: SPRAY IMPRIMACIÓN ANTIOXIDANTE/ CINTA ESLINGA TRINQUETE // SERVICIO DE EXTINCION DE INCENDIOS</t>
  </si>
  <si>
    <t>ALB 22-202654 -2956 -3523 -3828 -4118 // SUMINISTRO DE MATERIAL // SEIS Y PC</t>
  </si>
  <si>
    <t>SUMINISTRO DE PAPEL A LA IMPRENTA MUNICIPAL PARA LA ELABORACIÓN DE CARTELES Y DÍPTICOS INFORMATIVOS EIM AÑO 2022</t>
  </si>
  <si>
    <t>COMPRA DE SECADORA PARA CENTRO INTEGRADO. ENERO 2022. COVID-19</t>
  </si>
  <si>
    <t>SUMINISTRO DE ROPA TÉRMICA UNIFORMIDAD POLICÍA. EJERCICIO 2022. EXP. SPSC -02/2021. LOTE Nº 4.</t>
  </si>
  <si>
    <t>DIA INTERNACIONAL DE LA MUJER 8M: ESPECTÁCULO ""MYTHOS"" EN EL CENTRO CÍVICO CANAL DE CASTILLA EL 26 DE MARZO</t>
  </si>
  <si>
    <t>SUMINISTRO DE UNIFORMES DE GALA Y GORRA COPY PARA POLICÍA. EJERCICIO 2022. EXP. SPSC - 02/2021. LOTE Nº 1.</t>
  </si>
  <si>
    <t>DESARENADO DE LA FOSA DE LA NAVE DE VEHÍCULOS DEL SERVICIO DE LIMPIEZA.</t>
  </si>
  <si>
    <t>FED.ASOC.PERSONAS SORDAS CASTILLA</t>
  </si>
  <si>
    <t>SERV. DE INTÉRPRETES DE LENGUA DE SIGNOS PARA EL 28,29 Y 30 DE ENERO DE 2022 EN EL V FORO DE LA CULTURA-   ACCESIBILIDAD</t>
  </si>
  <si>
    <t>SUMINISTRO DE CALZADO PARA UNIFORME DE POLICÍA MUNICIPAL. EJERCICIO 2022. EXP. SPSC -02/2021. LOTE Nº 3.</t>
  </si>
  <si>
    <t>SUMINISTRO DE MATERIAL DE FERRETERIA  ///  DESTINOS: CC CONDE ANSÚREZ - CIC SEGUNDO MONTES- CC ESGUEVA - CV PARQUESOL</t>
  </si>
  <si>
    <t>MATERIAL FERRETERIA /// C.P. ISABEL LA CATÓLICA / SAN PEDRO</t>
  </si>
  <si>
    <t>AC MARCO EXP V36/2017: MATERIAL DE CERRAJERIA PARA EL S. DE LIMPIEZA VIARIA</t>
  </si>
  <si>
    <t>CLAVO TORTAJ.-CRUZ  NEGRO CRUZ / TUBO FLEX METAL / HEMBRILLA/ ARANDELA / TUERCA DIN</t>
  </si>
  <si>
    <t>ACUERDO MARCO. SUMINISTRO DE MATERIAL DE FERRETERIA PARA POLICÍA.</t>
  </si>
  <si>
    <t>SUMINISTRO DE MATERIAL DIVERSO ///  DESTINO: C.I.C CONDE ANSUREZ</t>
  </si>
  <si>
    <t>TATAY ESCOBILLA WC STANDARD BLANCA (30) / ACEITE WD-40 500ML DOB ACC FLEXIBLE // CIC CONDE ANSÚREZ Y CC ESGUEVA</t>
  </si>
  <si>
    <t>CONVECTOR TURB E354 2000W (2) / POMO REI 223-030 30MM (10) / PASADOR AMIG / CERRADUR / ANGULO (21)</t>
  </si>
  <si>
    <t>VALVULA ESCUAD. S/TCA / TORNILLO DIN / TACO / ADAPT. / DISCO ////  DESTINO.: MARIA DE MOLINA</t>
  </si>
  <si>
    <t>F-2985. FERRETERIA ORTIZ. SUMINISTRO DE MATERIAL PARA CENTRO INTEGRADO. 1 DIA. COVID-19</t>
  </si>
  <si>
    <t>ANGULO / POMO REI 30MM / SILICONA NE/ SIFON FLEX / ALMOHADILLA / MONTACK / TORNILLO DIN</t>
  </si>
  <si>
    <t>TORNI. DIN / TUERCA DIN  934 ZINC M- / ARANDELA // DESTINOS: SAN BENITO- SECRET. EJE. MOVILIDAD</t>
  </si>
  <si>
    <t>ÁNGULO / TORNI. DIN / PORTAESTANTE / BROCA DIN-338</t>
  </si>
  <si>
    <t>SARTEN PIEDRA COSMOS 26 CM/ SARTEN PIEDRA COSMOS 28 CM/ RESBALON AMIG 12 LTDO. BARNIZ 45MM // SEIS Y PC</t>
  </si>
  <si>
    <t>COPIA LLAVE NORMAL(37)/ANILLA INDUS LLAVERO AC. NIQUELADO 35MM/DESTINO: CAPATAZ RONDILLA/ AM EXP 36-2017 LIMPIEZA VIARIA</t>
  </si>
  <si>
    <t>ALICATE KNIPEX UNIVERSAL / CADENA GENOVESA ZINC // CIC CONDE ANSÚREZ</t>
  </si>
  <si>
    <t>CUCHILLA CEPILLO FESTOOL / HEMBRILLA TORREMAT CER. MAD / ANGULO AC BI 60X50 // BIBLIOTECAS PÚBLICAS</t>
  </si>
  <si>
    <t>ESCALERA PARA EL CENTRO MUNICIPAL DE LA IGUALDAD</t>
  </si>
  <si>
    <t>SUMINISTRO, COPIA LLAVE SEG.TESA INCOPIABLE PARA CPM DELICIAS  / ANGULO AC BI MOD 300 CPM FRAY LUIS DE LEON- DURA-1 DIA</t>
  </si>
  <si>
    <t>SUMINISTRO DE MATERIAL ////  DESTINO: CC JOSE LUIS MOSQUERA- CC ESGUEVA- CC LUENGO- CIC EMPECINADO</t>
  </si>
  <si>
    <t>AURICULAR NACON COMUNICATOR H 6 / AURICULAR WOXTER GAMER BUD // MEDIO AMBIENTE</t>
  </si>
  <si>
    <t>MASILLA (11) // REMACHEW (500) /// DESTINOS: CEIP CRISTOBAL COLON- COLEGIOS</t>
  </si>
  <si>
    <t>PIE NIVELADOR NEGRO/ LLAVERO PORTAETIQUETAS/ MULTI PUNTAS // SAN BENITO-URBANISMO / CARPINTERÍA</t>
  </si>
  <si>
    <t>F-2983. FERRETERIA ORTIZ. SUMINISTRO DE MATERIAL. DESTINO: COMEDOR SOCIAL. 1 DIA</t>
  </si>
  <si>
    <t>F-2987. FERRETERIA ORTIZ. MATERIAL DE FERRETERIA PARA  CENTRO INTEGRADO. COVID-19. 1 DIA</t>
  </si>
  <si>
    <t>F-1611. FERRETERIA ORTIZ VALLADOLID, S.L. REPOSAPIES FELLOWES AJUSTABLE ERGO. CEAS LA VICTORIA. 1 DIA</t>
  </si>
  <si>
    <t>PISTOLA INDEX / PLACA UNION PROF. 120X50MM / DISCO FLEXOVIT / ANGULO //  DESTINO: SAN BENITO PUERTA 38</t>
  </si>
  <si>
    <t>MANT. SUMINISTRO DCERRADURA AGA ARMARIO REF. 362  20MM / UMBRAL RUF. 11101 ADH ROBLE 30X2.50 / CPM ZONA ESTE-D 1 DIA</t>
  </si>
  <si>
    <t>ACUERDO MARCO. SUMINISTRO MONTACK CEYS DOBLE CARA XL.</t>
  </si>
  <si>
    <t>F-2013. F.ORTIZ. BROCA MULTICONSTRUCTION 6MM.RATIO/BROCA BOSCH/REJILLA ABERTURAS BLANCO. CEAS BARRIO ESPAÑA.1 DIA</t>
  </si>
  <si>
    <t>F-2981. FERRETERIA ORTIZ. SUMINISTRO DE DIFERENTE MATERIAL. DESTINO: CEAS EN C/ PATO. 1 DIA</t>
  </si>
  <si>
    <t>COPIAS LLAVE NORMAL, LLAVERO PORTAETIQUETAS PLASTICO PARA GALERIAS VALLADOLID</t>
  </si>
  <si>
    <t>F-2986. FERRETERIA ORTIZ. COPIA LLAVE NORMAL (10)  CENTRO INTEGRADO. 1 DIA. COVID-19</t>
  </si>
  <si>
    <t>SUMINISTRO COPIA LLAVE, LLAVERO PORTAETIQUETAS PLASTICO,ANILLA LLAVERO NIQUELADO/ CINTA 2 CARAS (CPM FRAY LUIS DE LEÓN)-</t>
  </si>
  <si>
    <t>TACO FISCHER / FISCHER ESCARPIA 19X50 // E.I.M. CAMPANILLA. ENERO</t>
  </si>
  <si>
    <t>COLA D4 CEYS POLIURETANO MADERA 250G // CC ARTURO EYRIES</t>
  </si>
  <si>
    <t>F-2982. FERRETERIA ORTIZ. COPIA LLAVE NORMAL. DESTINO: VIVIENDA - C/GUARDERIA. 1 DIA</t>
  </si>
  <si>
    <t>Ramo de flores para ofrenda en la misa del Patrón de bomberos; SEISYPC.</t>
  </si>
  <si>
    <t>MANTENIMIENTO PREVENTIVO Y CORRECTIVO DE INSTALACIONES FOTOVOLTAICAS.- EXPTE VS 19/18.- LOTE 1: CON INYECCIÓN A RED</t>
  </si>
  <si>
    <t>MANTENIMIENTO PREVENTIVO Y CORRECTIVO DE INSTALACIONES FOTOVOLTAICAS .- EXPTE VS 19/18.- LOTE 2: DE AUTCONSUMO</t>
  </si>
  <si>
    <t>MANTENIMIENTO PREVENTIVO Y CORRECTIVO DE INSTALACIONES FOTOVOLTAICAS.- EXPTE .VS 19/18.- LOTE 1: CON INYECCIÓN A RED</t>
  </si>
  <si>
    <t>Espectáculos de magia en el CC Zona Sur el día 24/04/2022 y en el CM La Overuela el día 07/05/2022. MFS</t>
  </si>
  <si>
    <t>Campaña contra la ola de frío 2022: Compra de sacos de dormir para personas sin hogar.</t>
  </si>
  <si>
    <t>2022 07 1721 22706</t>
  </si>
  <si>
    <t>FRANCISCO J. ARROYO RODRIGUEZ</t>
  </si>
  <si>
    <t>ASISTENCIA TÉCNICA PARA LA ELABORACIÓN DEL MAPA DEL RUIDO. PLAZO HASTA 1 ABRIL. SERVICIO MEDIO AMBIENTE</t>
  </si>
  <si>
    <t>ENERO 2022: Reparación de anomalías detectadas en la Instalación del Gas de la vivienda munic. en C/ Moradas, 11, Bajo B</t>
  </si>
  <si>
    <t>2022 10 2311 22199</t>
  </si>
  <si>
    <t>Placas PC. Compacto incoloro protegido UV. para pantallas protectoras de oficina. CEAS BARRIO ESPAÑA. COVID-196</t>
  </si>
  <si>
    <t>2022 11 1361 22700</t>
  </si>
  <si>
    <t>2022 04 9204 22700</t>
  </si>
  <si>
    <t>PAGO CERTIFICACIÓN Y AUDITORÍAS DE LA RED DE CONTROL DE CALIDAD DEL AIRE A ENAC. SERVICIO MEDIO AMBIENTE</t>
  </si>
  <si>
    <t>FORMACION  PRACTICA DE LA REFORMA DEL CODIGO CIVIL EN MATERIA DE REPRESENTACION LEGAL A PERSONAS CONDISCAPACIDAD</t>
  </si>
  <si>
    <t>LOTE 2 conservación, reparación y reforma de instalaciones de alumbrado exterior del municipio de Valladolid EXP: 8/2021</t>
  </si>
  <si>
    <t>Adjudicación obras remodelación del Alumbrado Público en varias zonas del Barrio Pajarillos, Lote 1 (exp. 19/2021)</t>
  </si>
  <si>
    <t>PRUEBAS DE CONFIRMACIÓN DE DROGA EN LABORATORIO ACREDITADO.</t>
  </si>
  <si>
    <t>URBAN TECHNOLOGY, S.L.</t>
  </si>
  <si>
    <t>Mangueras contraincendios de 38 mm.diámetro, 20 tramos de 20 m. de longitud para bajas presiones; SEISYPC.</t>
  </si>
  <si>
    <t>2022 06 2315 22706</t>
  </si>
  <si>
    <t>CONTRATO MENOR DE SERVICIOS PARA EL APOYO Y SOPORTE AL PRIMER CICLO DE ""MENTORIZACIÓN"" DEL PROYECTO EUROPEO PROSPECT+</t>
  </si>
  <si>
    <t>2022 05 4331 629</t>
  </si>
  <si>
    <t>USO DE ESPACIOS F. ECON. (PERSONAL + LIMPIEZA) / AULARIO ESGUEVA / EXAMEN 2 TC. AUX. BIBLIO. / DIA: 05-02-2022.</t>
  </si>
  <si>
    <t>CALIBRACIÓN DEL TERMOHIGROMETRO DE CALOR DE LA RED. SERVICIO MEDIO AMBIENTE</t>
  </si>
  <si>
    <t>CALIBRACIÓN DEL TERMÓMETRO DIGITAL DE LA RED. SERVICIO MEDIO AMBIENTE</t>
  </si>
  <si>
    <t>CALIBRACIÓN DE LA BALANZA DEL LABORATORIO DE LA RED. SERVICIO MEDIO AMBIENTE</t>
  </si>
  <si>
    <t>2022 06 3261 22699</t>
  </si>
  <si>
    <t>SUMINISTRO 60 PARKAS BORDADAS CON ESCUDO PARA LA BANDA DE LA ESCUELA MUNICIPAL DE MUSICA DEL AYUNTAMIENTO DE VALLADOLID</t>
  </si>
  <si>
    <t>UNIFORMES Y VESTUARIO LABORAL, S.L.</t>
  </si>
  <si>
    <t>SUMINISTRO PRENDAS TÉRMICAS PARA EL PERSONAL QUE TRABAJA EN LA NAVE DE LAVADO VEHÍCULOS Sº LIMPIEZA</t>
  </si>
  <si>
    <t>2022 08 1341 214</t>
  </si>
  <si>
    <t>SERVICIO DE CELADURÍA CENTROS CÍVICOS/ CENTROS MPALES Y CENTROS DE INIC. CIUDADANAS, DICIEMBRE 2021</t>
  </si>
  <si>
    <t>SERVICIO DE CELADURÍA EN CENTROS CÍVICOS, CENTROS MPALES Y CENTROS DE INICIATIVAS CIUDADANAS // MES NOVIEMBRE 21</t>
  </si>
  <si>
    <t>CELADURIA: 4,5 HORAS ENCARGADAS EN CIC EMPECINADO EL MES DE SEPTIEMBRE DE 2021 NO CONTEMPLADAS EN LA FRA. DE SEPTIEMBRE</t>
  </si>
  <si>
    <t>2022 04 9204 22799</t>
  </si>
  <si>
    <t>EMPROSOFT S.A.</t>
  </si>
  <si>
    <t>OFICINA TÉCNICA DE PROYECTOS, LOTE 3</t>
  </si>
  <si>
    <t>TYPUS GRAFICAS Y PUBLICIDAD, S.L.U.</t>
  </si>
  <si>
    <t>IMPRESIÓN Y ENCUADERNACIÓN DE LAS ORDENANZAS FISCALES- EJERCICIO 2022</t>
  </si>
  <si>
    <t>Prórroga contrato mantenimiento aplicaciones informáticas GTWIN para Gestión de Ingresos-Gestión Recaudatoria 2022</t>
  </si>
  <si>
    <t>Servicio de migración de la ""Carpeta del contribuyente"" a la versión 2.0</t>
  </si>
  <si>
    <t>TRABAJOS DE DESRATIZACIÓN EN LAS INSTALACIONES DEL SERVICIO DE LIMPIEZA</t>
  </si>
  <si>
    <t>Actuación en el CC José Mª Luelmo el día 21/05/2022. MFS</t>
  </si>
  <si>
    <t>2022 07 1721 223</t>
  </si>
  <si>
    <t>2022 11 1321 223</t>
  </si>
  <si>
    <t>GASTOS DE ENVIO PARA CERTIFICADOS DE VERIFICACIÓN Y REMISIÓN DE MUESTRAS.</t>
  </si>
  <si>
    <t>LOTE 4: MANTENIMIENTO EXTINTORES Y SISTEMAS CONTRA INCENDIOS EDIFICIOS DEPENDIENTES SERV. PARTICIPACIÓN CIUDADANA</t>
  </si>
  <si>
    <t>REPARACIÓN FUGA DE TUBERÍAS EN EL SOTONO EN LA EIM MAFALDA Y GUILLE. PLAZO EJECUCION 1 DIA</t>
  </si>
  <si>
    <t>MNTO ESPACIO JOVEN /// EXPTE: SE EIJI 11/20 - LOTE 2 /// MES DE DICIEMBRE DE 2021</t>
  </si>
  <si>
    <t>2022 05 4312 22102</t>
  </si>
  <si>
    <t>GAS NATURAL OMIC 1-1-2022 AL 30-9-2022</t>
  </si>
  <si>
    <t>MANTENIMIENTO CENTRO MPAL DE IGUALDAD // EXPTE. SE EIJI 11/20 - LOTE 2 // MES DICIEMBRE DE 2021</t>
  </si>
  <si>
    <t>Autorización de gastos en el Acuerdo Marco  de Homologación de Proveedores para el SUMINISTRO DE MATERIALES.-</t>
  </si>
  <si>
    <t>SUMINISTRO PRENDAS TÉRMICAS PERSONAL LAVADERO Y TALLER. SERVICIO DE LIMPIEZA.</t>
  </si>
  <si>
    <t>CONTRATACIÓN LOTE 6, SUSCRIPCIÓN PÓLIZA SEGURO VIDA Y ACCIDENTES EMPLEADOS Y MIEMBROS CORPORACIÓN.  AÑO 2022.</t>
  </si>
  <si>
    <t>SUMINISTRO DE REPUESTOS PARA REPARACIONES DE CAJAS DE CAMBIOS AUTOMÁTICAS DE VEHÍCULOS DEL Sº DE LIMPIEZA</t>
  </si>
  <si>
    <t>TRADUCTORES E INTERPRETES EURO:TEXT, S.L.</t>
  </si>
  <si>
    <t>SERVICIO TRADUCCION SIMULTANEA EN PRESENTACIONES EN OTRO IDIOMA EN FERIA DEL LIBRO DE VA. DEL 3 AL 12 DE JUNIO DE 2022</t>
  </si>
  <si>
    <t>Contrato de obras urbanización y carril bici en Carretera de Rueda. (Exp. 7/2021)  REMANENTE INCORPORADO AD 220210063445</t>
  </si>
  <si>
    <t>2022 11 1321 212</t>
  </si>
  <si>
    <t>LIMPIEZA DE SANEAMIENTO Y ARQUETA EN DEPENDENCIAS DEPÓSITO DE VEHÍCULOS EL PERAL.</t>
  </si>
  <si>
    <t>ADJUDICA RENOVACIÓN SUSCRIPCIÓN PERIÓDICO DIGITAL EL CONFIDENCIAL.COM - AÑO 2022 - GOBIERNO Y RELACIONES</t>
  </si>
  <si>
    <t>2022 04 3121 22799</t>
  </si>
  <si>
    <t>LIMPIEZA BATAS, PIJAMAS Y SABANAS USO SANITARIO. DPTO. PREVENCION Y SALUD LABORAL</t>
  </si>
  <si>
    <t>BATAS (19) /// TOALLAS (15) / PORTES (4) /PERIODO: DEL 10-12-2021 AL 30-12-2021. SALUD LABORAL</t>
  </si>
  <si>
    <t>SERVICIOS DE GRÚAS PARA TRASLADO DE BARREDORAS AVERIADAS DE LIMPIEZA VIARIA.</t>
  </si>
  <si>
    <t>Espectáculo ""Mimo Rafaelo"" en el CC Casa Cuna, el día 19/03/2021. MFS</t>
  </si>
  <si>
    <t>SUMINISTRO DE 160 MALETINES PARA PORTÁTILES CON DESTINO EL AYUNTAMIENTO DE VALLADOLID</t>
  </si>
  <si>
    <t>FILTROS PARA ELIMINAR HIDROCARBUROS DE LAS BOTELLAS DE ALIMENTACIÓN DE LOS EQUIPOS DEL LABORATORIO DE LA RCCVA</t>
  </si>
  <si>
    <t>MANTENIMIENTO 2022/Sistema de gestión de espera QSYSTEM  instalado en Pz Santa Ana, 6 bj</t>
  </si>
  <si>
    <t>REVISION Y MANTENIMIENTO DEL HORNO CREMATORIO DEL CMPA DURANTE 2022</t>
  </si>
  <si>
    <t>ADJUDICACION lote 1-TALLER SENSIBILIZACION LOTE 1 ACCESIBILIDAD-32 E/H-enero a agosto 22</t>
  </si>
  <si>
    <t>SERVICIO  MANTENIMIENTO Y ACT. SEMESTRALES DE SEGURIDAD  RADIOLÓGICA   ESCÁNER CASA CONSISTORIAL. EJERCICIO 2022.</t>
  </si>
  <si>
    <t>TANIA DOMINGUEZ MAESTRO</t>
  </si>
  <si>
    <t>Espectáculo de magia en CC Pilarica el día 26/03/2022 y en CC Canal de Castilla el día 13/05/2022. MFS</t>
  </si>
  <si>
    <t>Soportes estructura (baterías,depósitos combustible y adblue,etc.) origen fabricante, para instalar en vehículo; SEISYPC</t>
  </si>
  <si>
    <t>TRABAJOS DE MECANIZADO DE PIEZAS PARA REPARACIÓNES DE RECOLECTORES DE VEHÍCULOS Y BARREDORAS DEL Sº DE LIMPIEZA</t>
  </si>
  <si>
    <t>2022 04 3121 22706</t>
  </si>
  <si>
    <t>Contratación de la impresion y presentación en Coreos de los recibos de Padrón del IVTM y del IBI, EJERCICIO 2022</t>
  </si>
  <si>
    <t>2022 04 9231 22705</t>
  </si>
  <si>
    <t>NOTIFICACION MIEMBROS MESAS ELECTORALES - ELECCIONES AUTONOMICAS 2022</t>
  </si>
  <si>
    <t>2022 10 2412 214</t>
  </si>
  <si>
    <t>SUMINIS. : COMPROBAR ALTERNADOR SUSTITUIR BATERÍA, SUST. LÁMPARA FUNDIDA DEL C.DE F. PARA EL EMPLEO- VEHÍCULO 6817GJG</t>
  </si>
  <si>
    <t>AC MARCO EXP SPSC 23/2020: REPARACIONES VEHCULOS Sº LIMPUIEZA</t>
  </si>
  <si>
    <t>AC. MARCO EXP V36-2017: REPARACIÓN VEHÍCULO 9067JCH DEL S. DE LIMPIEZA VIARIA</t>
  </si>
  <si>
    <t>AC MARCO EXP SPSC 23/2020: REPARACION FRENOS VEHÍCULO 1508DZM DEL SERVICIO DE LIMPIEZA</t>
  </si>
  <si>
    <t>AC MARCO EXP SPSC 23/2020: REPARACION EMBRAGUE VEHICULO: 0044-GJV</t>
  </si>
  <si>
    <t>AC MARCO EXP SPSC 23/2020: REPUESTOS REPARACIONES VEHÍCULOS DE LIMPIEZA</t>
  </si>
  <si>
    <t>PIEZAS PARA VEHÍCULOS (4459KLP/0120GJY/4223JDZ/1224LPS/2941CBL) / ALBARANES FEBRERO / AM SPSC 23/2020 / LIMPIEZA VIARIA.</t>
  </si>
  <si>
    <t>REPARACIÓN VEHICULO + MATERIALES + M.O. ////  VEHICULO IVECO - MATRICULA: 1211-DPF // SERVICIO LIMPIEZA</t>
  </si>
  <si>
    <t>ADJUDICACION lote 3-TALLER EDUCATIVO PREVENCION USO INADECUADO TIC-.-29,50 E/H-enero a agosto 2022</t>
  </si>
  <si>
    <t>ADJUDICACION lote 2-TALLER EDUCATIVO SOBRE COMERCIO JUSTO-PLAN COOP.-29,50 E/H-enero a agosto 2022</t>
  </si>
  <si>
    <t>SUMINSITRO DE REPUESTOS PARA REPARACIONES HIDRÁULICAS DE VEHICULOS DE LIMPIEZA VIARIA</t>
  </si>
  <si>
    <t>SUMINISTROS INDUSTRIALES AZAN, S.A.</t>
  </si>
  <si>
    <t>Materiales de acero inoxidable para uso en MMPP; Servicio de Extinción de Incendios, Salvamento y Protección Civil.</t>
  </si>
  <si>
    <t>Cajas de plástico para diversos usos; Servicio de Extinción de Incendios, Salvamento y Protección Civil.</t>
  </si>
  <si>
    <t>REAJUSTE ANUALIDADES CONTRATO DESARROLLO PROGRAMAS DE EDUCACION AMBIENTAL. LOTE 3. ACCIONES EDUCATIVAS. V.25/2019.</t>
  </si>
  <si>
    <t>ADJUDICA SUMINISTRO TÓNER, TINTAS Y OTRO MATERIAL TÉCNICO PARA TRABAJOS IMPRESIÓN EN LA IMPRENTA - AÑO 2022</t>
  </si>
  <si>
    <t>SUMINISTRO CONTENEDORES PARA LA RECOGIDA SELECTIVA DE PILAS POR EL Sº DE LIMPIEZA</t>
  </si>
  <si>
    <t>2022 04 3121 22199</t>
  </si>
  <si>
    <t>Suministro de contenedores para tratamiento de residuos biologicos (agujas y jeringas). DEPTO. PREVENCION Y SALUD LABORA</t>
  </si>
  <si>
    <t>2022 02 9332 22102</t>
  </si>
  <si>
    <t>PRÓRROGA CONTRATO SUMINISTRO GAS NATURAL EDIF.MUNICIPALES (EXPTE.10/2019) DEL 1.01. AL 30.09.2022</t>
  </si>
  <si>
    <t>2022 11 1321 22102</t>
  </si>
  <si>
    <t>SUMINISTRO DE GAS A POLICÍA DEL 1 DE ENERO AL 30 DE SEPTIEMBRE DE 2022.</t>
  </si>
  <si>
    <t>2022 06 3231 22102</t>
  </si>
  <si>
    <t>PR-SE 10/2021.(PS 3 EXPTE SE 10/2019). PRORROGA SUMINISTRO DE GAS EN ESCUELAS INFANTILES. 01/01/2022 A 31/09/2022.</t>
  </si>
  <si>
    <t>2022 10 2312 22102</t>
  </si>
  <si>
    <t>SUMINISTRO DE GAS EN CENTROS DE PERSONAS  MAYORES TRANSFERIDOS DEL  1/1 A 31/9/2022</t>
  </si>
  <si>
    <t>SUMINISTRO GAS EN CENTROS DE PERSONAS MAYORES NO TRANSFERIDOS DEL   1/1 A  31/9/2022</t>
  </si>
  <si>
    <t>2022 11 1361 22102</t>
  </si>
  <si>
    <t>Contrato suministro gas natural desde el 01/01/2022 al 30/09/2022; Expte.: PR_SE 10_ 2021; SEISYPC.</t>
  </si>
  <si>
    <t>2022 11 1621 22102</t>
  </si>
  <si>
    <t>PRORROGA CONTRATO SUMINISTRO GAS NATURAL SERVICIO LIMPIEZA DEL 1-1 AL 30-9-2022</t>
  </si>
  <si>
    <t>2022 10 2311 22102</t>
  </si>
  <si>
    <t>SUMINISTRO DE GAS EN CEAS DESDE 1-ENERO A 30-SEPTIEMBRE DE 2022.</t>
  </si>
  <si>
    <t>2022 10 2412 22102</t>
  </si>
  <si>
    <t>prorroga contrato suministro de gas en Centro Formación Jacinto Benavente  de 1/1 a 31/9/2022</t>
  </si>
  <si>
    <t>SUMINISTRO DE GAS EN CENTRO INTEGRADO DESDE 1-ENERO A 30-SEPTIEMBRE-2022.</t>
  </si>
  <si>
    <t>2022 06 3321 22102</t>
  </si>
  <si>
    <t>PR-SE 10/2021.(PS 3 EXPTE SE 10/2019). PRORROGA SUMINISTRO DE GAS EN BIBLIOTECAS PUBLICAS. 01/01/2022 A 31/09/2022.</t>
  </si>
  <si>
    <t>SUMINISTRO DE GAS EN COMEDOR SOCIAL DESDE 1-ENERO A 30-SEPTIEMBRE DE 2022.</t>
  </si>
  <si>
    <t>AJUSTE PRESUPUESTARIO DEL SUMINISTRO DE GAS DEL C. DE FORMACION PARA EL EMPLEO DEL 01/01/2022 AL 30/09/2022</t>
  </si>
  <si>
    <t>2022 06 2315 22102</t>
  </si>
  <si>
    <t>PR-SE 10/2021.(PS 3 EXPTE SE 10/2019). PRORROGA SUMINISTRO DE GAS CENTRO MUNICIPAL DE LA IGUALDAD. 01/01 A 31/09/2022.</t>
  </si>
  <si>
    <t>DESTRUCCIÓN CERTIFICADA DE DOCUMENTACIÓN. ARCHIVO MUNICIPAL, AÑO 2022.</t>
  </si>
  <si>
    <t>SUMINISTRO Y EXTENDIDO DE TIERRA CON MANTILLO PARA LAS EIM PRINCIPITO Y CABALLITO BLANCO. 1 DÍA.</t>
  </si>
  <si>
    <t>2022 07 1701 22699</t>
  </si>
  <si>
    <t>CONTRATACIÓN DEL RECICLADO DE PAPEL EN CASA DEL BARCO Y EDIFICIO ANEXO. AÑO 2022.</t>
  </si>
  <si>
    <t>CONTRATO RECOGIDA Y DESTRUCCION PAPEL Y CARTON. DEPARTAMENTO DE PREVENCION Y SALUD LABORAL</t>
  </si>
  <si>
    <t>LIMPIEZA ESPECIAL  POR LAS OBRAS DE LA CUBIERTA DEL CPM LA VICTORIA- DURACION 1 DIA</t>
  </si>
  <si>
    <t>AMPLIACION SUMINISTRO SACOS TIERRA CON MANTILLO Y ABONO PARA EIM CABALLITO BLANCO. PLAZO: 1 DÍA</t>
  </si>
  <si>
    <t>SERVICIOS DE TRADUCCIÓN. RESUMEN DE PLANES PARA PARTICIPAR EN LA MISIÓN CIUDADES INTELIGENTES.</t>
  </si>
  <si>
    <t>SUMINISTRO DE 35 MÁSTILES DE SEÑALIZACIÓN PARA POLICÍA MUNICIPAL.</t>
  </si>
  <si>
    <t>INSTALACIÓN DE BARANDILLA DE PROTECCIÓN DE ANTENA EN DEPENDENCIAS DE LA POLICÍA MUNICIPAL (JEFATURA).</t>
  </si>
  <si>
    <t>PRORROGA CONTRATO EXPLOTACIÓN PUNTO LIMPIO C/ VALLE DE ARÁN (1-1 AL 22-1-2022)</t>
  </si>
  <si>
    <t>REPARACIÓN DE VALLAS  DE PROTECCIÓN MÓVILES PARA LA POLICÍA MUNICIPAL.</t>
  </si>
  <si>
    <t>2022 02 1511 641</t>
  </si>
  <si>
    <t>ACTUALIZACIÓN Y MANTENIMIENTO SOLIBRI OFFICE AÑO 2022</t>
  </si>
  <si>
    <t>VISITAS GUIADAS CIUDAD VALLADOLID (RUTA 1 Y 2)  DIRIGIDAS A ESCOLARES EN COLABORACION CONCEJ.CULTURA-TURISMO ENER-JUN 22</t>
  </si>
  <si>
    <t>GLOBAL ROSETTA S.L.U.</t>
  </si>
  <si>
    <t>OFICINA DE PROYECTO PARA LA PRESTACIÓN DE SERV DE COORDINACIÓN.... DEL LOTE 1, LOTE 2  (68/2020)</t>
  </si>
  <si>
    <t>2022 04 9231 22200</t>
  </si>
  <si>
    <t>PRORROGA CONTRATO SERVICIOS POSTALES - ENERO 2022</t>
  </si>
  <si>
    <t>SERVICIOS DE LIMPIEZA DE FOSA SEPTICA DE VESTUARIO ""LA MORERAS"" DEL Sº DE LIMPIEZA, EJERCICIO 2022</t>
  </si>
  <si>
    <t>Actuaciones Formativas y Difusión de Prog. Divulg. por Medios y Redes- Publicidad - Curso (1os Auxilios) / MES DICIEMBRE</t>
  </si>
  <si>
    <t>2022 08 1651 213</t>
  </si>
  <si>
    <t>Adjudicación  Suministro de material fungible para instalaciones de Alumbrado Público. LOTE 1 SEMEU 28/2021.-</t>
  </si>
  <si>
    <t>PROVISIÓN DE CONTENIDOS PARA PANTALLAS INFORMATIVAS INSTALADAS EN CENTROS CIVICOS (PICC)</t>
  </si>
  <si>
    <t>SUMINISTRO DE RPEUESTOS PARA REPARACION DE BARREDORAS RAVO, ELIN Y MATHIEU DE LIMPIEZA VIARIA (SERVICIO OFICIAL)</t>
  </si>
  <si>
    <t>2022 02 9332 22699</t>
  </si>
  <si>
    <t>POSTES PARA PLACAS IDENTIFICATIVAS FABRICADAS EN TUBO SOLDADO GALVANIZADO</t>
  </si>
  <si>
    <t>SERVIGRAMA INDUSTRIAL PUBLICIDAD S.L.</t>
  </si>
  <si>
    <t>Autoadhesivos de vinilo blanco con numeración de las tarifas de taxis para 2022</t>
  </si>
  <si>
    <t>PRORROGA CONTRATO ASISTENCIA EQUIPOS AUDIOVISUALES (DEL 01/01/2022 AL 03/10/2022)</t>
  </si>
  <si>
    <t>CONTRATO MANTENIMIENTO JARDINES ZONA NORTE, HASTA 31/5/2022.</t>
  </si>
  <si>
    <t>5 Limpiezas del tejadillo interior del Centro integrado (actual albergue) 2022</t>
  </si>
  <si>
    <t>CTTO DE SERVICIOS POR LA REVISIÓN PERIODICA (OCA) DE LAS INSTALACIONES TÉRMICAS DE LOS COLEGIOS PÚBLICOS. AÑO 2022.</t>
  </si>
  <si>
    <t>LIMPIEZA NAVES PARCELA ANTIGUA HIPICA MILITAR POR REALIZACION DE OBRAS DE ADAPTACION EN LAS NAVES. 13 DE ENERO DE 2022</t>
  </si>
  <si>
    <t>2022 06 2315 22614</t>
  </si>
  <si>
    <t>Servicio de reparto de materiales ""Mochila viajera"" Día Internacional Derechos de la Infancia</t>
  </si>
  <si>
    <t>MANTENIMIENTO CALDERA BIOMASA CENTRO MUNICIPAL PROTECCION ANIMAL</t>
  </si>
  <si>
    <t>2022 05 4331 22706</t>
  </si>
  <si>
    <t>SEICER INGENIERÍA, S.L.</t>
  </si>
  <si>
    <t>CONTRATO DE SERVICIOS DE TERMINACIÓN DE PROYECTO ""Sistemas de drenaje urbano sostenibles (SUDs)"".</t>
  </si>
  <si>
    <t>SUMINISTRO DE MATERIAL DE PINTURA UTILIZADOS POR EL EQUIPO DE ELIMANCIÓN DE PINTADAS DEL Sº DE LIMPIEZA</t>
  </si>
  <si>
    <t>SUMINISTRO DE PINTURA PARA REPARACIONES EN LAS ESCUELAS INFANTILES MUNICIPALES. AÑO 2022</t>
  </si>
  <si>
    <t>SUMINISTRO DE MATERIALES DE  PINTURA PARA REPARACIONES EN LOS CPM DURANTE 2022</t>
  </si>
  <si>
    <t>2022 10 2412 22700</t>
  </si>
  <si>
    <t>MANTENIMIENTO Y REPARACIÓN PINTURA ESPACIO JOVEN</t>
  </si>
  <si>
    <t>LOTE 5: MANTENIMIENTO ZONAS VERDES EDIFICIOS DEPENDIENTES SERVICIO PARTICIPACIÓN CIUDADANA</t>
  </si>
  <si>
    <t>AJUSTE PRESUPUESTARIO DEL SERVICIO DE LIMPIEZA DEL C. DE FORMACION PARA EL EMPLEO EN 2022</t>
  </si>
  <si>
    <t>MATERIALES PARA TRABAJOS DE PINTURA EN CC DELICIAS</t>
  </si>
  <si>
    <t>MATERIALES PARA TRABAJOS DE PINTURA EN CIC CONDE ANSÚREZ Y CC BAILARÍN VICENTE ESCUDERO</t>
  </si>
  <si>
    <t>ASISTENCIA TÉCNICA PARA EL CONTROL DE LOS SERVICIOS DE MANTENIMIENTO (ENERO-ABRIL 2022)</t>
  </si>
  <si>
    <t>control calidad de obra proy.modificado CPM Parquesol debido a cimentación del terreno-2022</t>
  </si>
  <si>
    <t>CONTROL CALIDAD DE OBRA PROY.MODIFICADO BIBLIOTECA PARQUESOL DEBIDO A CIMENTACIÓN DEL TERRENO-2022</t>
  </si>
  <si>
    <t>SERVICIO INGENIERIA ASISTENCIA TECNICA AREA CULTURA Y TURISMO EN MATERIA SEGURIDAD CIUDADANA ESPECTACULOS PUBLICOS 22/23</t>
  </si>
  <si>
    <t>ACUERDO MARCO (A.J.G.19.05.2020) C. CALIDAD LOTE 2 (ASIST.TÉCNICA)OBRA P. INFERIORES PANADEROSY LABRADORES C/ AVDA.SEGOV</t>
  </si>
  <si>
    <t>A.T. CONTROL CALIDAD.LOTE 2 en Obra C/ Nueva del Carmen, entre Pza. Rafael Cano y Pza. Gomez del Barco.</t>
  </si>
  <si>
    <t>AT.CONTROL CALIDAD (3 Lotes) SEMEU 8/2021  para obras Conserv.reparación y reforma de instalaciones Alumbrado Público.-</t>
  </si>
  <si>
    <t>SEGUNDA PRÓRROGA CALIDAD LOTE 2 CONSERVACIÓN. EXP. 11/2018.-</t>
  </si>
  <si>
    <t>SEGUNDA PRÓRROGA CONTROL DE CALIDAD LOTE 1 CONSERVACIÓN. PRESUPUESTO ORDINARIO. EXPTE. 11/2018.-</t>
  </si>
  <si>
    <t>AT.CONTROL DE CALIDAD LOTE 1. SEGUNDA PRÓRROGA. CONSERVACIÓN. PRESUPUESTOS PARTICIPATIVOS. EXPTE. 11/2018.-</t>
  </si>
  <si>
    <t>A.T. en CONTROL CALIDAD LOTE 1, EDIFICACION obra Traslado de Instalciones del SEPI, Expte 30/2021 SEMEU.-</t>
  </si>
  <si>
    <t>A.T. CONTROL CALIDAD LOTE 2, URBANIZACIÓN EXTERIOR obra Traslado de Instalaciones del SEPI, Expte. 30/2021 SEMEU.-</t>
  </si>
  <si>
    <t>CONTROL DE CALIDAD CONTRATO SEÑALIZACION VIAL LOTE 2. 2020 Y 2021 ANULACION POR DUPLICIDAD OPERACION</t>
  </si>
  <si>
    <t>Realización de ensayos de deflexiones con difractómetro de impacto en la calle Manuel Jiménez Alfaro.-</t>
  </si>
  <si>
    <t>PRÓRROGA DEL CONTRATO DE SERVICIO DE DISTRIBUCION, ALMACENAJE Y CUSTODIA DE PUBLICACIONES DEL AYUNTAMIENTO DE VALLADOLID</t>
  </si>
  <si>
    <t>2022 08 1532 22700</t>
  </si>
  <si>
    <t>2022 08 1651 22700</t>
  </si>
  <si>
    <t>SUMINISTRO DE PINTURA PARA PEQUEÑA REPARACIÓN EN FACHADA DEL EDIFICIO DE JEFATURA EN C/ VICTORIA S/N.</t>
  </si>
  <si>
    <t>Compra de material para pintar la vivienda municipal, sita en c/ Gutierre de Cetina nº 2, bajo D. 2022</t>
  </si>
  <si>
    <t>SUMINISTRO DE MATERIALES DE PINTURA PARA LOCAL AVDA. REYES CATÓLICOS (AV RIBERA DE CURTIDORES)</t>
  </si>
  <si>
    <t>Compra de material de pintura para CEAS San Agustín, 2022.</t>
  </si>
  <si>
    <t>PINTURA PARA BORDES Y ESCALERAS. REPARACION FUGA AGUA CASA BARCO</t>
  </si>
  <si>
    <t>RECARGA DE BOTELLAS DE OXIGENO MEDICINAL//SERVICIO DE EXTINCION DE INCENDIOS, SALVAMENTO Y PROTECCION CIVIL</t>
  </si>
  <si>
    <t>SUMINISTRO ANUA DE GAS PARA PISTOLAS DE LA GALERIA DE TIRO VIRTUAL.</t>
  </si>
  <si>
    <t>SUMINISTRO DE MATERIAL PARA EL LABORATORIO DE LA RED A LA EMPRESA SCHARLB, S.L. SERVICIO MEDIO AMBIENTE.</t>
  </si>
  <si>
    <t>2022 02 9332 624</t>
  </si>
  <si>
    <t>2022 06 2315 22619</t>
  </si>
  <si>
    <t>TALLERES DE COCINA DIRIGIDOS A LA POBLACIÓN INFANTIL EN EL CENTRO MUNICIPAL DE LA IGUALDAD 2022</t>
  </si>
  <si>
    <t>SUMINISTRO CARTELES EN PLCAS DE COMPOSITE ""rROHIBIDO EL PASO A VEHÍCULOS DE GAS"" ACCESOS TALLER Sº DE LIMPIEZA</t>
  </si>
  <si>
    <t>SUMINISTRO ADHESIVO, CON DISEÑO, AVISO ""NO DEPOSITAR RESIDUOS"" EN C/ LOS MOLINOS</t>
  </si>
  <si>
    <t>SANTIAGO CARRILLO GRACIA</t>
  </si>
  <si>
    <t>SUMINISTRO DE OBJETOS DIVULGATIVOS CON DESTINO A LA CAMPAÑA DE EDUCACIÓN VIAL  CURSO 2022-2023.</t>
  </si>
  <si>
    <t>SANDRA YOLIMA GAMBOA HURTADO</t>
  </si>
  <si>
    <t>PROPUESTA DE CAMPAÑA ARTÍSTICA Y DE COMUNICACIÓN DEL DIA INTERNACIONAL DE LA MUJER 2022</t>
  </si>
  <si>
    <t>SERVICIO MANTENIMIENTO MÁQUINA DE LAVAR PIEZAS VEHÍCULOS, TALLER DEL SERVICIO DE LIMPIEZA</t>
  </si>
  <si>
    <t>CTTO SERVICIOS REVISIÓN DE LÍNEAS DE VIDA UBICADAS EN LOS COLEGIOS EDUCACIÓN ESPECIAL Nº1 Y MACIAS PICAVEA. AÑO 2022</t>
  </si>
  <si>
    <t>DIFERENCIA DE 1 ¿ ENTRE LA PROPUESTA DE GASTO REVISIÓN LINEAS DE VIDA COLEGIOS Y EL AD Nº 920220001876</t>
  </si>
  <si>
    <t>ADJUDICA SUMINISTRO A IMPRENTA DIVERSO MATERIAL CARTONAJE, TRABAJOS MANIPULACIÓN, ENCUADERNAR Y ARTES GRÁFICAS 2022</t>
  </si>
  <si>
    <t>2022 10 2412 22799</t>
  </si>
  <si>
    <t>PRORROGA LOTE 1- curso at.sociosanit.en instit.soc 15.120 y en domicilio 20.160-IBECON</t>
  </si>
  <si>
    <t>adjudicación lote 3-curso de operaciones auxiliares de almacen-anualidad 2022.</t>
  </si>
  <si>
    <t>Actuación de Los Persas Teatro en CC Canal de Castilla día 13/03/2022 y en CC José María Luelmo el día 02/04/2022. MFS</t>
  </si>
  <si>
    <t>ADJUDICA SUMINISTRO DIARIO PRENSA ESCRITA AÑO 2022 PARA ALCALDÍA Y GOBIERNO Y RELACIONES</t>
  </si>
  <si>
    <t>IMPARTICIÓN DE TALLERES DE ZUMBA-FLAMENCO PARA MUJERES EN CEAS BARRIO ESPAÑA DE MARZO A MAYO 2022.PLAN CONV.INTERCULT.</t>
  </si>
  <si>
    <t>2022 01 9207 22699</t>
  </si>
  <si>
    <t>ADJUDICA IMAGEN Y DISEÑO FOLLETO Y CARTEL ORPHEO III (desarrollo personal/profesional alumnos bachilleratro)</t>
  </si>
  <si>
    <t>ROSENBAUER ESPAÑOLA, S.A.</t>
  </si>
  <si>
    <t>Mto prev, revisión, engrases,sustitución elem seg y escalera del vehículo auoescala automática METZ VA42345VE;SEISYPC</t>
  </si>
  <si>
    <t>SUMINISTRO REPUESTOS PARA LA REPARACIÓN DE RECOLECTORES VEHÍCULOS DEL SERVCIO DE LIMPIEZA</t>
  </si>
  <si>
    <t>AMPLIACION CON SERV.CELADURIA EL CONT.GESTION CENTRO INTEGRADO PARA PERS.SIN HOGAR DE 1 SEP 2021 A MARZO 2024</t>
  </si>
  <si>
    <t>2022 11 1361 632</t>
  </si>
  <si>
    <t>MTO.  Y ASISTENCIA TÉCNICA   ADMON.ELECTRÓNICA DEL AYTO.VALL. BASADAS AMARA SUITE. (2ª PRÓRROGA), DEL 1/1 AL 11/9/2022</t>
  </si>
  <si>
    <t>PRORROGA CONTRATO EXPLOTACIÓN PUNTO LIMPIO SITO EN C/ VALLE DE ARÁN (23-1-2022 AL 22-1-2023)</t>
  </si>
  <si>
    <t>REAJUSTE ANUALIDAES CONTRATO SERVICIOS LIMPIEZA INSTALACIONES LIMPIEZA VIARIA 1-1-2022 AL 31-8-2023 (EXP PR-S.E. 31/2020</t>
  </si>
  <si>
    <t>CONTRATO DE SERVICIOS DE GESTION Y DESARROLLO DE LAS ACTIVIDADES INFANTILES EN EP. DE VACACIONES ESCOLARES | 2022 Y 2023</t>
  </si>
  <si>
    <t>AMPLIACIÓN CONTRATO LIMPIEZA LOTE 6 COLEGIOS PUBLICOS CON MOTIVO DE LA COVID-19. PERIODO 1-ENERO AL 23 DE JUNIO DE 2022</t>
  </si>
  <si>
    <t>SUMINISTRO DE LICENCIAS Y SOPORTE TÉCNICO DE LOS PRODUCTOS ArcGIS, DE MARZO DE 2022 AL MARZO 2023</t>
  </si>
  <si>
    <t>LOTE 3 conservación, reparación y reforma de instalaciones de alumbrado exterior del municipio de Valladolid EXP: 8/2021</t>
  </si>
  <si>
    <t>SE 16-22. CTTO OBRAS ADAPTACIÓN SALA USOS MÚLTIPLES PARA ESCUELA MUSICA EN ANTIGUO COLEGIO MARIA DE MOLINA. PZ EJ: 40 D</t>
  </si>
  <si>
    <t>2022 05 4331 22700</t>
  </si>
  <si>
    <t>OBRA CIVIL PARA LA CONSTRUC.DE NUEVA RED DE ENERGÍA BAJA TENSIÓN FASE II ARU 29 OCTUBRE CALLES VILLABAÑEZ Y ZORZAL</t>
  </si>
  <si>
    <t>LICENCIAS, MTO. Y ASISTENCIA TÉCNICA DEL GESTOR DOCUMENTAL ALFRESCO, PRIMERA PRÓRROGA 1/6/22 AL 31/5/23 (94/20 21)</t>
  </si>
  <si>
    <t>2022 04 9204 22701</t>
  </si>
  <si>
    <t>2022 11 3111 22706</t>
  </si>
  <si>
    <t>REAJUSTE ANUALIDADES CONTRATO SERVICIOS LIMPIEZA INSTALACIONES Sº LIMPIEZA 1-1-2022 AL 31-8-2023 (EXP PR-S.E. 31/2020)</t>
  </si>
  <si>
    <t>2022 11 1321 22103</t>
  </si>
  <si>
    <t>SUMINISTRO DE GASOLINA PARA VEHÍCULOS DE POLICÍA MUNICIPAL DEL DEL DE ENERO AL 31 DE DICIEMBRE DE 2022.</t>
  </si>
  <si>
    <t>2022 07 1711 22103</t>
  </si>
  <si>
    <t>PRÓRROGA CONTRATO SUMINISTRO GASOLINA, JARDINES.</t>
  </si>
  <si>
    <t>SEGUNDA PRORROGA DEL CONTRATO DEL 010 (ATENCIÓN PRESENCIAL Y TELEFÓNICA EN LA AGENCIA DE INNOVACIÓN) AÑO 2022</t>
  </si>
  <si>
    <t>PRÓRROGA LOTE 1-SEÑALIZACIÓN VERTICAL-SEGURIDAD Y SALUD-Contrato señalización vial en Valladoild -Ene-Jul 2022</t>
  </si>
  <si>
    <t>PRÓRROGA LOTE 2-SEÑALIZACIÓN HORIZONTAL-SEGURIDAD Y SALUD- Contrato señalización vial Vallaodlid (enero-jul 2022)</t>
  </si>
  <si>
    <t>SEGURIDAD Y SALUD MANTENIMIENTO DE ALUMBRADO. EXP: 8/2021</t>
  </si>
  <si>
    <t>CONTRATO DE OBRAS PARA  ELEVADORES MECÁNICOS EN LA LADERA NORTE DE PARQUESOL. EXP: 42/2021 (SEGURIDAD Y SALUD)</t>
  </si>
  <si>
    <t>SEGURIDAD Y SALUD CONTRATO GISCCT (2022-2023-1 enero a 31 agosto'2024)</t>
  </si>
  <si>
    <t>Coordinación de PSS contrato obras instalación elevadores urbanos ladera este Parquesol (expediente 50/2021 SEMEU)</t>
  </si>
  <si>
    <t>Ejercicio 2022. Seguridad y salud, traslado Parque Vías Públicas (Fase 2. Lote 2). Expte. 30/2021  SEMEU.-</t>
  </si>
  <si>
    <t>Ejercicio 2022. Seguridad y salud, traslado Parque Vías Públicas (Fase 2. Lote 1). Expte 30/2021   SEMEU.-</t>
  </si>
  <si>
    <t>Coordinación Seguridad y Salud  obras ensanche plataforma y firme, creación de acera y carril bici en Cañada Real</t>
  </si>
  <si>
    <t>Aprob.Seguridad y Salud Contrato Obras de Ensanche plataforma y firme, creación acera y carril bici Cañada Real</t>
  </si>
  <si>
    <t>COORDINACIÓN DE SEGURIDAD Y SALUD - PROYECTO DE REMODELACÍÓN DE ALUMBRADO PÚBLICO EN EL BARRIO PAJARILLOS</t>
  </si>
  <si>
    <t>ASISTENCIA TÉC. PARA LA COORDINACIÓN DE SEGURIDAD Y SALUD OBRA PASOS INFERIORES PANADEROS/LABRADORES.</t>
  </si>
  <si>
    <t>Seguridad y Salud en contrato obras reparación de estructuras, mobiliario y edificio en Pza. Solidaridad (exp 51/2021)</t>
  </si>
  <si>
    <t>Adjudicación Coord.Seg y Salud  Proy obras Remodelación Alumbrado Público varias zonas Barrio Pajarillos, Lotes 1 y 2</t>
  </si>
  <si>
    <t>S.SALUD CONST.NUEVA RED DE ENERGÍA ELÉCT.(MEDIA Y B.TESIÓN) EN C/ VILLABAÑEZ Y ZORZAL (ARU 29 OCTUBRE FASE II) C. MENOR</t>
  </si>
  <si>
    <t>EBSS DEL PROYECTO DE URBANIZACIÓN DE LA C/ SEO.-</t>
  </si>
  <si>
    <t>EBSS del Proyecto de Urbanización y remate de la Plaza Aviador Gómez del Barco.-</t>
  </si>
  <si>
    <t>Trabajos de elaboración de Planes de Emergencias y Autoprotección de albergue y local Plaza las Nieves. 2022</t>
  </si>
  <si>
    <t>Redacción Estudio Básico Seguridad y Salud en construcción marquesina metálica para asfalto en Naves del SEPI,C/ Títulos</t>
  </si>
  <si>
    <t>2022 11 1621 22706</t>
  </si>
  <si>
    <t>IMPLEMENTACIÓN Y ACTUALIZACIÓN DEL PLAN DE EMERGENCIA/AUTOPROTECCIÓN DEL SERVICIO DE LIMPIEZA.</t>
  </si>
  <si>
    <t>INDUSMEC ORTIZ, S.L.</t>
  </si>
  <si>
    <t>OBRA DE ADAPTACIÓN DEL PUESTO 29 DEL MERCADO LAS DELICIAS PARA DEPOSITO PILOTO DE PUNTO LIMPIO</t>
  </si>
  <si>
    <t>2022 10 2312 22606</t>
  </si>
  <si>
    <t>ALOJAMIENTO EN REG.PENSION COMPLETA 75¿/N+IVA PARA ALUMNADO DE CURSOS COOPERACION TECNICA-PASANTIAS 2022</t>
  </si>
  <si>
    <t>SEGUNDA PRORROGA CONTRATO CALCULO COSTES DE CONTABILIDAD ANALITICA DEL EJERCICIO 2021</t>
  </si>
  <si>
    <t>LOYU 2000 SL</t>
  </si>
  <si>
    <t>Obras construcción de marquesina metálica y cubierta de chapa y montaje sobre estructura de hormigón en Parque Vias Públ</t>
  </si>
  <si>
    <t>RODILANA /MEDINA DEL CAMPO</t>
  </si>
  <si>
    <t>Contrato de redacción de proyecto de urbanización de la calle Madre de Dios (exp. 39/2021)</t>
  </si>
  <si>
    <t>TRABAJOS DE INSPECCIÓN PERIODICA DE IRC DE LA EMPRESA DISTRIBUIDORA DE GAS NATURAL EN LOS COLEGIOS PUBLICOS. P. 1 AÑO.</t>
  </si>
  <si>
    <t>SERVICIO DE RESTAURACION DEL CENTRO DE DÍA HUERTA DEL REY DE ENERO A DICIEMBRE DE 2022</t>
  </si>
  <si>
    <t>MANTENIMIENTO SOFTWARE DE INTERCAMBIO DE FICHEROS CON ENTIDADES BANCARIAS: EDITRAN, LOTE 2</t>
  </si>
  <si>
    <t>PRÓRROGA CONTRATO SERV.MEDIACION Y CONVIVENCIA INTERCULTURAL DE 1 FEBRERO A 15 MARZO 2022</t>
  </si>
  <si>
    <t>CONTRATO DE GESTIÓN DE LA ESCUELA DE FORMACIÓN Y ANIMACIÓN JUVENIL AÑO 2022</t>
  </si>
  <si>
    <t>2022 03 9241 223</t>
  </si>
  <si>
    <t>TRANSPORTE, INSTALACIÓN DE ESCENARIOS Y OTROS MATERIALES</t>
  </si>
  <si>
    <t>SUMINISTRO DE DISCOS DUROS SSD CON DESTINO AL DPTO DE TECNOLOGÍAS DE LA INFORMACIÓN Y LAS COMUNICACIONES</t>
  </si>
  <si>
    <t>2022 07 1711 22700</t>
  </si>
  <si>
    <t>PARAMOTIONS FILMS, SRL</t>
  </si>
  <si>
    <t>CONTRATO DE SERVICIOS DE CONSULTORIA PARA EL DISEÑO DE UNA PROPUESTA INTEGRAL EN MATERIA DE ANIMACION (PLAN SmartTVA!).</t>
  </si>
  <si>
    <t>CONTRATACIÓN DEL SERVICIO DE DIFUSIÓN DE INICIATIVAS JUVENILES A TRAVES DE LA GUIA GO</t>
  </si>
  <si>
    <t>ACCESO AL SERVICIO CONJUNTO DE NOTICIAS DE LA AGENCIA DURANTE EL AÑO 2022 - GOBIERNO Y RELACIONES</t>
  </si>
  <si>
    <t>prev.drogas -L1-MONEO 22:12-23:9-DEDALO 22:2-23:1 (10098 EN22 Y 6333 EN23) -L2 PREV.C.ESC Y OT.ENT-6992,61EN 22-4091EN23</t>
  </si>
  <si>
    <t>MUDANZAS JULIAN SAEZ E HIJOS, S L</t>
  </si>
  <si>
    <t>CONTRATO SERV. TRANSPORTE MATERIAL ELECTORAL ELECCIONES AUTONOMICAS 13 FEB 2022</t>
  </si>
  <si>
    <t>Dirección facultativa de las obras de instalación de elevadores urbanos en la ladera este del barrio de Parquesol</t>
  </si>
  <si>
    <t>MANTENIMIENTO SOFTWARE DE CONTROL DE ACCESOS A INTERNET DESDE LAS BIBLIOTECAS  MUNICIPALES: MyPC, LOTE 5</t>
  </si>
  <si>
    <t>2022 04 9204 22002</t>
  </si>
  <si>
    <t>Obras rampa de acceso y distribución interior de dos despachos local calle Pato 3. Duración 1 semana</t>
  </si>
  <si>
    <t>M³ DE TIERRA VEGETAL (27)/ SACO DE SUBSTRATO DE 50 LITROS (60)</t>
  </si>
  <si>
    <t>SUMINISTRO DE DIFERENTES PLANTAS ///  DESTINO: PROG. MIXTO - PARQ. Y JARDINES III - Nº 47/0002/21- DURACION 1 DIA</t>
  </si>
  <si>
    <t>SUMINISTRO DE POTINEA C-10 L (8 UNIDADES) ////  DESTINO: PROGRAMA MIXTO DE EMPLEO PARQUES Y JARDINES III-DUR 1 DIA</t>
  </si>
  <si>
    <t>LA GRANADA CULTURA S.L.</t>
  </si>
  <si>
    <t>CUARTA SEMANA ESCOLAR DE SENSIBILIZACIÓN SOBRE IGUALDAD DE GÉNERO EN CENTROS ESCOLARES / 1 SEMANA</t>
  </si>
  <si>
    <t>TEO</t>
  </si>
  <si>
    <t>SUMINISTRO DE MEDICAMENTOS PARA LA ASISTENCIA SANITARIA PRESTADA EN EL DEPARTAMENTO DE PREVENCIÓN Y SALUD LABORAL</t>
  </si>
  <si>
    <t>AC MARCO EXP V36/2017: SUMINISTROS VARIOS + LAVADORA Y SECADORA BEKO + CARRO ROLL 6 CAJONES /// DESTINO: Sº DE LIMPIEZA</t>
  </si>
  <si>
    <t>AC MARCO EXP V36/2017: LIQUIDO DESENGRASNTE PARA EL S. DE LIMPIEZA VIARIA</t>
  </si>
  <si>
    <t>AC MARCO EXP V.36/2017: SUMINISTROS PARA EL SERVCIO DE LIMPIEZA</t>
  </si>
  <si>
    <t>SUMINISTRO DE MATERIALES / MOBILIARIO URBANO (LIMPIEZA) / AM EXP V36-2017 / SERVICIO DE LIMPIEZA.</t>
  </si>
  <si>
    <t>XYLAZEL TRANSFORMADOR/ TORNILLOS LATÓN TODO ROSCA/ TUERCA LATÓN/ TORNILLO ZN/ ROTATIVA (PARQUE DE BOMBEROS)</t>
  </si>
  <si>
    <t>AC MARCO EXP V36/2017: BRIDA DE NYLON NEG./ HOJAS DE SIERRA SANDFLEX PARA EL S. LIMPIEZA VIARIA</t>
  </si>
  <si>
    <t>ACUERDO MARCO. SUMINISTRO PIZARRA MEMO C/ROTULADOR 90X60 MP-3 PARA INSPECCIÓN CENTRAL DE GUARDIA. POLICÍA MUNICIPAL.</t>
  </si>
  <si>
    <t>SERVICIOS DE ACOMPAÑAMIENTO Y APOYO A PERSONAS NO HISPANO HABLANTES EN OTROS IDIOMAS. 2022</t>
  </si>
  <si>
    <t>AMPLIACIÓN DEL CONTRATO DEL 010 (ATENCIÓN PRESENCIAL Y TELEFÓNICA EN LA AGENCIA DE INNOVACIÓN) AÑO 2022</t>
  </si>
  <si>
    <t>Adjudicación mant.jardines -cpm rondilla 5.214,98 E/AÑO  y cpm delicias 9.684,96 E/AÑO-DE ENERO 2022 A ABRIL 2023</t>
  </si>
  <si>
    <t>MANTENIMIENTO SISTEMA DE INFORMACIÓN PARA LA RECOGIDA Y GESTIÓN DE LAS ITES: RECITE, LOTE 7</t>
  </si>
  <si>
    <t>SERVICIO MEDIACION Y CONVIVENCIA DE 1 A 31 DE ENERO DE 2022-(med 11918,5-2500 act.plan convivencia)-contrato 1 año</t>
  </si>
  <si>
    <t>2022 07 1701 22700</t>
  </si>
  <si>
    <t>2022 11 3111 22700</t>
  </si>
  <si>
    <t>2022 05 4312 22700</t>
  </si>
  <si>
    <t>REAJUSTE ANUALIDAES CONTRATO SUMINISTRO NEUMATICOS (LOTE 3) VEHICULOS LIMPIEZA VIARIA DEL 1-7-2020 AL 30-6-2020</t>
  </si>
  <si>
    <t>ACUERDO MARCO. SUSTITUCIÓN NEUMÁTICOS MICHELIN S.I. GESTION (2+2) // 4960DTL - 6697KKK- 1216KHB- 3998JKP- 6230JKP //</t>
  </si>
  <si>
    <t>ACUERDO MARCO. REPARACIONES A VEHÍCULOS DE POLICÍA (8762-DHV / 3709-KGD / 8715-DHV / 3357-GHK / 3720-KGD / 4078-JKP)</t>
  </si>
  <si>
    <t>EQUILIBRADO Y SERVICIOS 4X4 (VEHÍCULO 1723-HNN ) // ALINEACION ELECTRONICA - DIRECCION 4X4//SEISPC</t>
  </si>
  <si>
    <t>DISEÑO Y MAQUETACIÓN DEL MATERIAL DESTINADO A LA DIFUSIÓN DE LA ACTIVIDAD DEL CENTRO MUNICIPAL DE LA IGUALDAD 2022</t>
  </si>
  <si>
    <t>LOTE 7: MANTENIMIENTO ALARMAS ANTI-INTRUSIÓN CON ASISTENCIA  24H EDIFICIOS SERV. PARTICIPACIÓN CIUDADANA</t>
  </si>
  <si>
    <t>FERNANDO DONCEL HERRERO</t>
  </si>
  <si>
    <t>DOCUMENTACIÓN TÉCNICA DE LAS INSTALACIONES PARA REHABILITACIÓN DEL INMUEBLE -AZUCARERA STA.VICTORIA-</t>
  </si>
  <si>
    <t>SERVICIOS DE RECOGIDA Y GESTIÓN DE RESIDUOS DE FIBROCEMENTO ABANDONADOS EN LA VÍA PUBLICA EN VALLADOLID</t>
  </si>
  <si>
    <t>2022 05 4314 22799</t>
  </si>
  <si>
    <t>CONTRATACION DE SERVICIOS PARA DESARROLLAR LA FERIA DE PRODUCOS NAVIDEÑOS( 70% PRESUPUESTO ADJUDICACION).</t>
  </si>
  <si>
    <t>2022 11 3111 22799</t>
  </si>
  <si>
    <t>PRORROGA CONTRATO DE SERVICIO ATENCION Y COORDINACION SERVICIOS AUXILIARES CUPULA DEL MILENIO. 12-04-2022 AL 11-04-2023</t>
  </si>
  <si>
    <t>CONTROL POBLACIONES MOSQUITOS Y DETERMINADAS ESPECIES DE MOSCAS EN EL TERMINO MUNICIPAL VALLADOLID</t>
  </si>
  <si>
    <t>Redacción del Proyecto y A.T. a la Dirección de obra de Rehabilitación integral del Puente Colgante en Valladolid.-</t>
  </si>
  <si>
    <t>PRORROGA CONTRATO SUMINISTRO GASOLINA PARA VEHÍCULOS Y MAQUINARÍA DEL SERVICIO DE LIMPIEZA VIARIA, AÑO 2022</t>
  </si>
  <si>
    <t>SUMINNISTRO DE LICENCIAS Y SOPORTE TÉCNICO DE LOS PRODUCTOS ArcGIS (REALUSTE DE ANUALIDADES)</t>
  </si>
  <si>
    <t>2022 02 1511 22706</t>
  </si>
  <si>
    <t>TOPODUERO, S.L. (TOPOGRAFÍA Y DRONES)</t>
  </si>
  <si>
    <t>CONTRATO MENOR ELABORACIÓN DE INFORMES CARTOGRÁFICOS Y TRABAJOS DE TOPOGRAFÍA ( 3 MESES)</t>
  </si>
  <si>
    <t>REPARACION ESCALERAS ACCESO BAJO CUBIERTA EN SAN BENITO</t>
  </si>
  <si>
    <t>REPARACION ACCESO PRINCIPAL A LA CASA CONSISTORIAL</t>
  </si>
  <si>
    <t>ANUNCIO EN PRENSA LOCAL DE LA EXPOSICION DEL CENSO ELECTORAL - ELECCIONES AUTONOMICAS</t>
  </si>
  <si>
    <t>A.M. 30/2018 Publicación de una página los domingos en la sección 'Innovación Valladolid' de El Norte de Castilla</t>
  </si>
  <si>
    <t>2022 05 4312 22606</t>
  </si>
  <si>
    <t>ADJUDICA RENOVACIÓN DOS SUCRIPCIONES ANUALES AL PERIÓDICO EL NORTE DE CASTILLA - MEDIOS DE COMUNICACIÓN</t>
  </si>
  <si>
    <t>ADQUISICION BIOCIDAS ESPECIFICOS CONTROL PLAGAS POR RATA DE ARBOL EN VALLADOLID</t>
  </si>
  <si>
    <t>CONTRATO DE SERVICIOS DE ACTUALIZACIÓN DE ESTRATEGIAS DE ADAPTACIÓN AL CAMBIO CLIMÁTICO DE VALLADOLID.</t>
  </si>
  <si>
    <t>MANTENIMIENTO DE ROBOT DEL LABORATORIO DE GASES Y MATERIAL FUNGIBLE DEL LABORATORIO. SERVICIO MEDIO AMBIENTE</t>
  </si>
  <si>
    <t>CTTO DE OBRAS: REPOSICIÓN SOLERA AULA CEIP GARCÍA QUINTANA. PLAZO DE EJECUCIÓN: 15 DÍAS.</t>
  </si>
  <si>
    <t>2022 10 2311 22001</t>
  </si>
  <si>
    <t>Suscripciones del periódico ""El Norte de Castilla"" Enero y febrero  del 2022 varios centros Intervención Social.</t>
  </si>
  <si>
    <t>SUSCRIPCIÓN DEL DIARIO EL NORTE DE CASTILLA PARA LAS BIBLIOTECAS MUNICIPALES DURANTE EL AÑO 2022.</t>
  </si>
  <si>
    <t>COLABORADOR EVENTO JORNADA ECONOMIA CIRCULAR / PATROCINIO EVENTO // DIA 15-11-21 EN MADRID</t>
  </si>
  <si>
    <t>3ª prórroga contrato exámenes ginecológicos para Departamento de Prevención y Salud Laboral. Febrero 2022 a febrero 2023</t>
  </si>
  <si>
    <t>MANTENIMIENTO PREVENTIVO DE LA GALERÍA DE TIRO VIRTUAL DE LA POLICÍA MUNICIPAL. EJERCICIO 2022.</t>
  </si>
  <si>
    <t>CTTO MANTENIMIENTO STMAS DE SEGURIDAD EN ESCUELAS INFANTILES, CASA NIÑOS/AS Y EDUCACIÓN ADULTOS. AÑO 2022</t>
  </si>
  <si>
    <t>CONTROL CALILDAD OBRAS INSTALACIÓN DE ELEVADORES EN LA LADERA NORTE DE PARQUESOL. (LOTE 1)  EXP: 42/2021</t>
  </si>
  <si>
    <t>Ensayos Control Calidad. SEGUNDA PRÓRROGA CONTROL DE CALIDAD LOTE 1 CONSERVACIÓN. PRESUPUESTO ORDINARIO. EXPTE. 11/2018</t>
  </si>
  <si>
    <t>ENSAYOS CONTROL CALIDAD. LOTE 1. PTO.PARTICIPATIVOS 2022. Conservación vías públicas de Valladolid.-</t>
  </si>
  <si>
    <t>REPARACIÓN VRV DAIKIN: VACIO/ PRESURIZACIÓN CON NITROGENO/ BÚSQUEDA FUGA/ CARGA GAS (ZONA DE DEPÓSITOS - ARCHIVO MPAL)</t>
  </si>
  <si>
    <t>SUMINISTRO Y EXPLOT. NANOSENSORES CONTAMINACIÓN ATMOSFÉRICA ZONA BAJAS EMISIONES DE VALLADOLID. SERVICIO  MEDIO AMBIENTE</t>
  </si>
  <si>
    <t>AJUSTE PRESUPUESTARIO DEL SERVICIO DE CELADURIA DEL C. DE FORMACION PARA EL EMPLEO DEL 01/01/2022  AL 31/07/2022</t>
  </si>
  <si>
    <t>REDACCIÓN DEL PROYECTO DE ADAPTACIÓN Y ADECUACIÓN EN ANEXOS DISTRITO 2º.</t>
  </si>
  <si>
    <t>2022 02 9332 22104</t>
  </si>
  <si>
    <t>FERNANDO RINCON CHICHES</t>
  </si>
  <si>
    <t>VESTUARIO DEL PERSONAL DEL CMEI TALLAJES ESPECIALES</t>
  </si>
  <si>
    <t>prorroga serv.reparto e intercambio doc.ser.centrales área serv.soc. y CEAS,CPMS Y CFJB de 1/4/22 a 31/3/23-anual.2022</t>
  </si>
  <si>
    <t>2022 02 9332 22103</t>
  </si>
  <si>
    <t>SEGUNDA PRÓRROGA CONTRATO SUMINISTRO GASOLINA 95º PARA VEHÍCULOS MANTENIMIENTO (EXPTE.18/2018)</t>
  </si>
  <si>
    <t>PRÓRROGA CONTRATO MANTENIMIENTO SEGURIDAD LOTE 1 CÚPULA DEL MILENIO</t>
  </si>
  <si>
    <t>PRÓRROGA DEL SUMINISTRO DE GASOLINA PARA EL AÑO 2022.-</t>
  </si>
  <si>
    <t>MARTA MARÍA HERRARTE SANZ</t>
  </si>
  <si>
    <t>TALLERES, RUTAS, CUENTOS SOBRE PATRIMONIO CULTURAL E HISTORICO VALLISOLETANO CENTROS EDUCATIVOS DE ENERO A JUNIO 22</t>
  </si>
  <si>
    <t>SUMINISTRO DE GAFAS DE SEGURIDAD GRADUADAS- TRABADOR CMEI -JESÚS TRIVIÑO MONTERO</t>
  </si>
  <si>
    <t>MARÍA ROSARIO VALLEJO CRESPO</t>
  </si>
  <si>
    <t>VERIFICACIÓN DE IMÁGENES PARA MICROSITIO WEB, EN DESARROLLO PARA EL ARCHIVO,  DEDICADO A LA SEMANA SANTA DE VALLADOLID</t>
  </si>
  <si>
    <t>Gafas de seguridad graduadaspara trabajador CMEI  :MAXIMILIANO RUÍZ SILVERIO</t>
  </si>
  <si>
    <t>MODIFICACIÓN DE LA CONTROLADORA DE LA ENFIADORA DE CC JOSÉ Mª LUELMO SEGÚN PRESUPUESTO APROBADO Nº 86</t>
  </si>
  <si>
    <t>REPARTO Y BUZONEO DE LA GUÍA DEL CONTRIBUYENTE 2022</t>
  </si>
  <si>
    <t>SE 20/21 LOTE 2 PROGRAMA ACTIVIDADES FOMENTO Y ANIMACIÓN A LA LECTURA EN LA RED DE BIBLIOTECAS MUNICIPALES</t>
  </si>
  <si>
    <t>2022 05 4312 22799</t>
  </si>
  <si>
    <t>2º PAGO CONTRATO APOYO AL AYTO EN EL PROCESO REFORMA DE LAS INSTALACIONES DE LA RONDILLA DURANTE 2021-2022.</t>
  </si>
  <si>
    <t>SEGUNDO PAGO CONTRATACIÓN SERVICIO ASESORAMIENTO Y DISEÑO DEL PLAN DE ACCIÓN COMERCIAL DEL MERCADO DE LAS DELICIAS</t>
  </si>
  <si>
    <t>GESTION Y EXPLOTACION DEL PUNTO LIMPIO DEL PUESTO 29 DEL MERCADO DE LAS DELICIAS</t>
  </si>
  <si>
    <t>REPARACIÓN PUERTA LAVADERO. SERVICIO DE LIMPIEZA.</t>
  </si>
  <si>
    <t>ACUERDO MARCO. SUMINISTRO RECAMBIOS PARA REPARACIÓN DE VEHICULOS DE LA POLICIA MUNICIPAL</t>
  </si>
  <si>
    <t>ACUERDO MARCO. RECAMBIOS PARA VEHICULOS DE LA POLICIA MUNICIPAL</t>
  </si>
  <si>
    <t>2022 10 2312 216</t>
  </si>
  <si>
    <t>MANT.Y REPARAC. EQUIPOS INFORMATICOS DE CPMS ARCA R,Z.ES.HTA,CENTRO Y VICTORIA AÑO 2022 DE 1/3 A 31/12 (666,49E/M)</t>
  </si>
  <si>
    <t>AC MARCO EXP V36-2017: SUMINISTRO LUBRICANTES PARA VEHICULOS DEL SERVICIO DE LIMPIEZA</t>
  </si>
  <si>
    <t>AC MARCO EXP V36/2017. SUMINISTRO LUBRICANTE PARA MOTORES VEHICULOS MOTUL-TEKMA FUTURA +10W40 208 LITROS (2 UNID.)</t>
  </si>
  <si>
    <t>AK-ADIGAS 6 CTN 25 L (2) / KLINER FUNGY OIL B2B OPACA BLANCA 25 L / AM EXP V36/2017 // SERVICIO DE LIMPIEZA.</t>
  </si>
  <si>
    <t>ADBLUE A GRANEL (1.500) // AM EXP V36-2017 / SERVICIO DE LIMPIEZA.</t>
  </si>
  <si>
    <t>AC MARCO EXP V36-2017: ADBLUE A GRANEL (1.500) // VEHICULOS DEL SERVICIO DE LIMPIEZA</t>
  </si>
  <si>
    <t>ADBLUE A GRANEL   (1.347) // AM EXP V36/2017 / SERVICIO DE LIMPIEZA</t>
  </si>
  <si>
    <t>AC MARCO EXP V36/2017: ADBLUE A GRANEL (1.188) // PARA VEHÍCULOS DEL SERVICIO DE LIMPIEZA</t>
  </si>
  <si>
    <t>AC MARCO EXP V36/2017: ADBLUE A GRANEL (1.070) // SERV. DE LIMPIEZA</t>
  </si>
  <si>
    <t>AC MARCO EXP V36/2017: DYNAMIC-ANTICONGELANTE 3000 50% 185 K (2 UNIDADES) PARA VEHÍCULOS DEL SERVICIO DE LIMPIEZA</t>
  </si>
  <si>
    <t>ACUERDO MARCO. SUMINISTRO DE MATERIAL PARA TALLER DE REPARACIÓN DE VEHÍCULOS DE LA POLICÍA MUNICIPAL.</t>
  </si>
  <si>
    <t>ACUERDO MARCO. REPARACIÓN BATERIA VARTA SILVER AGM 70 A 760EN // POLICÍA MUNICIPAL</t>
  </si>
  <si>
    <t>Actuación de Cuchuflay en CC Zona Sur 27/03/2022. MFS</t>
  </si>
  <si>
    <t>2022 07 1721 22602</t>
  </si>
  <si>
    <t>DAR PUBLICIDAD PROCESO PARTICIPATIVO AGENDA URBANA VALLADOLID (AUVA2030(. SERVICIO DE MEDIO AMBIENTE</t>
  </si>
  <si>
    <t>2ª PRÓRROGA SERVICIO ASESORAMIENTO PRESUPUESTOS PARTICIPATIVOS</t>
  </si>
  <si>
    <t>PRODUCCIÓN DE CUÑA DE 20"" PARA LA CAMPAÑA ""VALLADOLID SE MUEVE CONTIGO""</t>
  </si>
  <si>
    <t>MANTENIMIENTO EQUIPOS ELECTRÓNICOS DE SEGURIDAD Y VIGILANCIA DE LAS DEPENDENCIAS DE POLICÍA 2022.</t>
  </si>
  <si>
    <t>Dinamización del proceso participativo para la elaboración del plan de acción de la Agenda Urbana Valladolid 2030 (Cont)</t>
  </si>
  <si>
    <t>REDACCIÓN PROYECTO DE MEJORA Y ACONDICIONAMIENTO EXTERIOR INSTALACIONES DEL DISTRITO 2º.</t>
  </si>
  <si>
    <t>ADJUDICA SUMINISTRO TINTAS OFFSET Y OTROS MATERIALES PARA TRABAJOS IMPRENTA. AÑO 2022</t>
  </si>
  <si>
    <t>2022 04 9321 22699</t>
  </si>
  <si>
    <t>INDUSTRIAS SALUDES, S.A.</t>
  </si>
  <si>
    <t>Suministro de PLACAS DE VADO  (permanente y horario) nuevas, ejercicio 2022</t>
  </si>
  <si>
    <t>ALCACER</t>
  </si>
  <si>
    <t>2022 01 9206 22606</t>
  </si>
  <si>
    <t>MATERIAL Y MONTAJE PARA EXPOSICIÓN SOBRE SEMANA SANTA EN EL ARCHIVO MUNICIPAL, AÑO 2022.</t>
  </si>
  <si>
    <t>ACTIVIDADES DE MEDIACIÓN CULTURAL Y LECTURAS COMPARTIDAS A DESARROLLAR DURANTE EL AÑO 2022</t>
  </si>
  <si>
    <t>FOTOS Y DOCUMENTACIÓN PRESUPUESTOS PARTICIPATIVOS 2022</t>
  </si>
  <si>
    <t>2022 05 4312 22706</t>
  </si>
  <si>
    <t>2º PAGO CONTRATO GESTION Y EXPLOTACION DEL PUNTO LIMPIO DEL PUESTO 29 DEL MERCADO DE LAS DELICIAS</t>
  </si>
  <si>
    <t>ADQUISICION VACUNAS GSK DE HEPATITIS B, HEPATITIS Y TETANOS. PREVENCION Y SALUD LABORAL</t>
  </si>
  <si>
    <t>CARNES PERSONALIZADOS  PARA LOS VOLUNTARIOS DE LOS CPM</t>
  </si>
  <si>
    <t>Prórroga del contrato de servicios de a. y coordinación de servicios aux. de la Cúpula del Milenio de Valladolid</t>
  </si>
  <si>
    <t>ACTIVIDADES DE ESCRITURA CREATIVA Y LECTURA EN EL CENTRO MUNICIPAL DE LA IGUALDAD DURANTE 2022</t>
  </si>
  <si>
    <t>APOYO AL AYTO EN EL PROCESO REFORMA DE LAS INSTALACIONES DE LA RONDILLA DURANTE EL AÑO 21-22.</t>
  </si>
  <si>
    <t>JOMAR SEGURIDAD, SL</t>
  </si>
  <si>
    <t>SE-EIJI 27/2021. MANTENIMIENTO INSTALACIONES DE PROTECCIÓN CONTRA INCENDIOS. EDIFICIOS MUNICIPALES. LOTE 2. COLEGIOS</t>
  </si>
  <si>
    <t>CABANILLAS DEL CAMPO</t>
  </si>
  <si>
    <t>GUADALAJARA</t>
  </si>
  <si>
    <t>Espectáculo teatral en CC Rondilla el día 21/05/2022. MFS</t>
  </si>
  <si>
    <t>REPRESENTACIÓN TEATRAL EN CM PUENTE DUERO EL DIA 01/03/2022 (CARNAVAL)</t>
  </si>
  <si>
    <t>Espumógeno BioForN, 640l, para extinción de incendios de clase A y B; SEISYPC</t>
  </si>
  <si>
    <t>2022 01 9203 22799</t>
  </si>
  <si>
    <t>RECOGIDA DE PAPEL Y CARTON CASA CONSISTORIAL, SAN BENITO Y SANTA ANA, AÑO 2022</t>
  </si>
  <si>
    <t>Mant. inst. protección contra incendios INTERVENCIÓN SOC. AÑO 22, AÑO 23 y AÑO 24 (LOTE 4).</t>
  </si>
  <si>
    <t>Suministro de áridos reciclados (zahorras) y recepción escombro a granel, mediante retirada o entrega a necesidad.</t>
  </si>
  <si>
    <t>SUMINISTRO E INST. MATERIALES PARA REPARACIONES EN EDIFICIOS SPC SEGÚN PRESUPUESTOS APROBADOS Nºs 62,97,93,70 y 96</t>
  </si>
  <si>
    <t>MELAMINA PORO DISEÑO 30 - 16 - 10 MM ROBLE ESP // CORTES // CANTEADO // CANTO // BISAGRAS / TAPON</t>
  </si>
  <si>
    <t>TAPÓN ADHESIVO/ CERRADURAS/ BISAGRA (CC DELICIAS) // MELAMINA/ CANTO PVC/ CANTEADO/ CORTES/ TIRAFONDOS (CC ZONA SUR)</t>
  </si>
  <si>
    <t>SUMINISTRO DE MATERIAL /// DESTINOS: CARCEL VIEJA - BIBLIOTECA C.C. ESGUEVA</t>
  </si>
  <si>
    <t>ROLLO CORCHO 5 MM / ESQUINERO PINO / AGLOMERADO DM HIDROFUGO / COLA BUNITEX // CIC CONDE ANSÚREZ</t>
  </si>
  <si>
    <t>F-3036.MARINO DE LA F. RECERCO/PERFIL PINO/AGLOMERADO/CERRADURA/ MANILLA/BISAGRA/ESPUMA POLIUR (CEAS DELICIAS-ARG) 1 DIA</t>
  </si>
  <si>
    <t>AGLOMERADO/ PERFIL PINO LAMINADO/ TIRAFONDOS/ TACO/ BROCA COBALTO/ BISAGRA CAZOLETA// S.E. DE MOVILIDAD Y ESPACIO URBANO</t>
  </si>
  <si>
    <t>AGLOMERADO DM 2440*1220*10 // E.I.M. EL PRINCIPITO. ENERO</t>
  </si>
  <si>
    <t>MANT. SUMINISTRO DE MELAMINA PORO DISEÑO 19 MM / ESQUINERO PINO 35X35 // CPM ZONA ESTE- DURACION 1 DIA</t>
  </si>
  <si>
    <t>ACUERDO MARCO. SUMINISTRO DE MATERIAL DE MANTENIMIENTO PARA DEPENDENCIAS DE POLICÍA MUNICIPAL.</t>
  </si>
  <si>
    <t>COLA FIX PU  D4 850 GR. (1 UNIDAD)  ///// DESTINO: CENTRO CIVICO DELICIAS</t>
  </si>
  <si>
    <t>CERRADURA FALLEBA PARA CAJETIN DE LLAVES (1 UNIDAD) //// DESTINO: CONCEJALIA DE  URBANISMO</t>
  </si>
  <si>
    <t>F-866. MARINO DE LA FUENTE, S.A. MATERIAL DE FERRETERIA. DESTINO: MACIZO DE GREDOS 90. 1 DIA</t>
  </si>
  <si>
    <t>ELABORACION DE DIFERENTES SOPORTES DIVULGATIVOS PARA LA UNIVERSIDAD DE VALLADOLID AÑO 2022</t>
  </si>
  <si>
    <t>SE-EIJI 27/2021. MANTENIMIENTO INSTALACIONES DE PROTECCIÓN CONTRA INCENDIOS. EDIFICIOS MUNICIPALES. LOTE 2. ESCUELAS INF</t>
  </si>
  <si>
    <t>SERVICIOS DE LIMPIEZA EN LA AGENCIA DE INNOVACIÓN Y DESARROLLO ECONÓMICO // MES DICIEMBRE</t>
  </si>
  <si>
    <t>TALLERES DE YOGA INFANTIL PARA CRECER EN EL RESPECTO DURANTE 2022</t>
  </si>
  <si>
    <t>SERVICIO DE ESTUDIO Y REALIZACIÓN INFORME  ANTROPOLÓGICO Y PAELOPATOLÓGICO RESTOS  YACIMIENTO C/CONSTITUCION 3 MESES</t>
  </si>
  <si>
    <t>mant. inst.proteccion contra incendios INICIATIVAS SOC.AÑO 22 (L4:3781-L5 1.270)-AÑO 23Y24 L4</t>
  </si>
  <si>
    <t>HERMANOS VELAZQUEZ GOMEZ, S.L.U.</t>
  </si>
  <si>
    <t>Vehículos de desguace para realizar prácticas de rescate vial; SEISPC.</t>
  </si>
  <si>
    <t>INNOCAN SISTEMAS S.L.</t>
  </si>
  <si>
    <t>Adquisición de Licencia Corporativa del programa informático ""Gexcat PS"" para la corrección automatizada ejercicios.</t>
  </si>
  <si>
    <t>SANTA CRUZ DE TENERIFE</t>
  </si>
  <si>
    <t>TENERIFE</t>
  </si>
  <si>
    <t>Suministro de áridos (arena lavada, arena mina, piñón, gravas...) mediante retirada según necesidades.- AÑO 2022</t>
  </si>
  <si>
    <t>SE-EIJI 27/2021. MANTENIMIENTO INSTALACIONES DE PROTECCIÓN CONTRA INCENDIOS. EDIFICIOS MUNICIPALES. LOTE 2.ESP JOVEN ZS</t>
  </si>
  <si>
    <t>SE-EIJI 27/2021. MANTENIMIENTO INSTALACIONES DE PROTECCIÓN CONTRA INCENDIOS. EDIFICIOS MUNICIPALES. LOTE 2. E.M.MUSICA</t>
  </si>
  <si>
    <t>SUMINISTRO DE REPUESTOS PARA LA REPARACIÓN EQUIPOS RECOLECTORES MARCA GEESINK-NORBA DE LOS VEHÍCULOS DEL Sº LIMPIEZA</t>
  </si>
  <si>
    <t>2022 07 1711 22113</t>
  </si>
  <si>
    <t>ALIMENTO PARA ANIMALES, JARDINES.</t>
  </si>
  <si>
    <t>CONTRATO ASISTENCIA PARA ELABORACIÓN PLIEGOS SUMINISTRO E INSTALACIÓN MEDIOS AUDIOVISUALES AGENCIA DE INNOVACIÓN</t>
  </si>
  <si>
    <t>TRABAJOS EN MATERIAL FÉRRICO PARA LA REPARACIÓN DE VEHÍCULOS DEL SERVICIO DE LIMPIEZA</t>
  </si>
  <si>
    <t>CONTRATACIÓN DE LA PUBLICIDAD DE LAS EXPOSICIONES EN CENTROS CÍVICOS DURANTE EL AÑO 2022</t>
  </si>
  <si>
    <t>SUM E INST. DE TOMAS DE CORRIENTE ELÉCTRICA TEMPORAL PARA EVENTOS DE PROGRAMAS SPC</t>
  </si>
  <si>
    <t>2022 10 2316 22699</t>
  </si>
  <si>
    <t>Video de la celebración del día internac. para la erradicación de la discriminación racial y étnica, 21 marzo 2022</t>
  </si>
  <si>
    <t>DIRECCION FACULTATIVA Y DE EJECUCION OBRA DE ADECUACION DEL ESPACIO MARCELINA PONCELA COMO CENTRO RESTAURACION. AÑO 2022</t>
  </si>
  <si>
    <t>Dirección facultativa de obras de adecuación en nave sita en la calle Valle de Arán nº 1 para Hub Innovación-LUC</t>
  </si>
  <si>
    <t>AD COMPLEMENTARIO. MANTENIMIENTO CUBIERTA VEGETAL MERCADO EL CAMPILLO. PROYECTO URBAN GreenUP. 1º SEMESTRE 2022.</t>
  </si>
  <si>
    <t>TALLERES SOBRE PINTORAS EN LA NIEBLA EN EL CENTRO MUNICIPAL DE LA IGUALDAD DURANTE 2022</t>
  </si>
  <si>
    <t>SUMINISTRO DE MALLAZOS Y MATERIALES DE HIERRO PARA LAS OBRAS DE LOS COLEGIOS MUNICIPALES DURANTE EL AÑO 2022.</t>
  </si>
  <si>
    <t>PINTURA PARA LA CABINA DE LA RUBIA DE LA RCCAVA. PLAZO DE UN MES. SERVICIO MEDIO AMBIENTE</t>
  </si>
  <si>
    <t>SUMINISTRO DE BOMBA CIRCULADORA DOBLE PARA REPARACIÓN CIRCUITO CALEFACCIÓN CC PARQUESOL</t>
  </si>
  <si>
    <t>MANTENIMIENTO DE LOS SISTEMAS DE SEGURIDAD Y CCTV INSTALADOS EN LOS CENTROS JUVENTUD E IGUALDAD DEL AY. VALLADOLID 2022</t>
  </si>
  <si>
    <t>MANUEL CARDEÑAS BELTRAN</t>
  </si>
  <si>
    <t>LAVADO INTERIOR Y EXTERIOR DE VEHÍCULOS DE POLICÍA MUNICIPAL.</t>
  </si>
  <si>
    <t>CONTRATO DE SERVICIO DE CONSERVACIÓN PREVENTIVA Y DE RESTAURACIÓN DE DOCUMENTOS  Y DE OBRAS PICTÓRICAS, AÑO 2022.</t>
  </si>
  <si>
    <t>SEGURIDAD Y ALARMA DE LA CASA DEL BARCO Y DEL EDIFICIO ANEXO. PERIODO: 01.01.2022 AL 31.12.2022</t>
  </si>
  <si>
    <t>PLAN CONSULTING ECONOMISTAS S.L.P.</t>
  </si>
  <si>
    <t>ELABORACIÓN DE UN PLAN DE MARKETING Y CORRDINACIÓN DE ACCIONES PARA VALORAR LA FIGURA DE HUGH O´DONNELL 10 MESES</t>
  </si>
  <si>
    <t>ACUERDO MARCO 3/2022, REPARACION DE NEUMATICOS.</t>
  </si>
  <si>
    <t>REPARAR RUEDA TRASERA DCHA (FURGÓN 5901LFX) // MONTAJE Y EQUILIBRADO DE VÁLVULAS TRASERAS (VEHÍCULO 6006CCM)</t>
  </si>
  <si>
    <t>REPARAR RUEDA TRASERA IZQUIERDA DE FURGONETA / EQUILIBRAR RUEDA // MATRÍCULA 8282DFF</t>
  </si>
  <si>
    <t>VEHÍCULO MANTENIM. 8346KZY: ECO CONTINENTAL/ S.I. GESTIÓN DEL NFU CATEGORÍA B/ MONTAJE+EQUILIBRADO+VÁLVULAS DELANTERAS</t>
  </si>
  <si>
    <t>REPARACIÓN DE NEUMÁTICOS.</t>
  </si>
  <si>
    <t>SERVICIO CONTRATO DE MANTENIMIENTO ASCENSOR DEL SERVCIO DE LIMPIEZA SITO EN C/ TOPACIO, 63</t>
  </si>
  <si>
    <t>CONTRATO DE CONSERVACION Y RESTAURACION DE DOCUMENTOS Y OBRAS PICTORICAS DEL AYUNTAMIENTO DE VALLADOLID</t>
  </si>
  <si>
    <t>REALIZACIÓN DE LA AUDITORÍA INTERNA DE LA RCCVA. SERVICIO MEDIO AMBIENTE</t>
  </si>
  <si>
    <t>F-72. SERVICIOS PRESTADOS ANIMACIÓN NAVIDEÑA: TREN TURÍSTICO INFANTIL Y PERSONAJES NAVIDEÑOS EN ARTURO EYRIES 21-22</t>
  </si>
  <si>
    <t>IBERPATENT, S.L.</t>
  </si>
  <si>
    <t>REGISTRO DE LA MARCA AEMVA PARA TENER EL DERECHO LEGAL DE UTILIZAR EL DISTINTIVO DURANTE DIEZ AÑOS.</t>
  </si>
  <si>
    <t>M2SENSORS, S.L.</t>
  </si>
  <si>
    <t>OPTIMIZACIÓN DE PARÁMETROS DE NANOSENSORES. SERVICIO MEDIO AMBIENTE</t>
  </si>
  <si>
    <t>2022 11 1631 212</t>
  </si>
  <si>
    <t>REPARACIONES Y MANTENIMIENTO DE LAS PUERTAS DE ACCESO A NAVE DE LAVADO DE VEHÍCULOS DEL SERVICIO DE LIMPIEZA</t>
  </si>
  <si>
    <t>KALFRISA, S.A.U.</t>
  </si>
  <si>
    <t>REVISIÓN Y ADAPTACION OCA K-S22 DEL HORNO INCINERADOR DE RESTOS KT-3000 A LA NUEVA LEGISLACION.</t>
  </si>
  <si>
    <t>PLACAS ROTULADORAS DE VIAS DE CALLES - 2022</t>
  </si>
  <si>
    <t>CONTRATO REPARTO DOCUMENTACION ENTRE SERVICIOS CENTRALES Y CEAS,CPMS Y C.F.E-ENERO A MARZO 2022-114,16 IVA INC</t>
  </si>
  <si>
    <t>SERV. TECN. REDACCIÓN PROYECTO EJEC., REFORMA Y AMPLIACIÓN VESTUARIOS EDIF. ANEXO DEP. DISTRITO 4º DE POLICÍA.</t>
  </si>
  <si>
    <t>CONTRATO PARA EL DISEÑO, EDICIÓN Y MAQUETACIÓN DEL PLAN LOCAL DE ECONOMÍA CIRCULAR DE VALLADOLID.</t>
  </si>
  <si>
    <t>2022 10 2313 22699</t>
  </si>
  <si>
    <t>FORO SERV.SOCIALES S/SERV.SOC.Y EL BIENESTAR CIUDADANO, CLAVES ACT.DTE.PANDEMIA Y ACC.FUTURO-ACC.PREP.2021-ACTO 1ER.TR22</t>
  </si>
  <si>
    <t>MANTENIMIENTO SOFTWARE DE ESCÁNERES PARA PROYECTOS DE DIGITALIZACIÓN DE ALTA PRODUCCIÓN, LOTE 10</t>
  </si>
  <si>
    <t>SUSTITUCIÓN DE PIEZAS ASCENSORES DEL EJERCICIO 2021.</t>
  </si>
  <si>
    <t>COMPRA Y SUSTITUCIÓN DE PIEZAS DE ASCENSORES DE LOS COLEGIOS PÚBLICOS.</t>
  </si>
  <si>
    <t>2022 08 1341 22103</t>
  </si>
  <si>
    <t>GASOLINA VEHÍCULOS CENTRO DE MOVILIDAD URBANA - AÑO 2022</t>
  </si>
  <si>
    <t>EDICIÓN DE VIDEOS PROMOCIONALES DISTINTOS PROGRAMAS DEL SERVICIO DE PARTICIPACIÓN CIUDADANA</t>
  </si>
  <si>
    <t>SUMINISTRO Y MAQUETACIÓN DE ORDENADORES PORTÁTILES LOTE 2 , DE ENERO 22 A JJUNIO 23</t>
  </si>
  <si>
    <t>CONTRATACIÓN DE LA PUBLICIDAD DE LAS MUESTRAS DE TEATRO Y CULTURA TRADICIONAL EN CC Y CM DURANTE 2022</t>
  </si>
  <si>
    <t>A.M.30/2018 Publicación dos inserciones mensuales dentro del SUPLEMENTO INNOVADORES, a nivel regional de EL MUNDO DIARIO</t>
  </si>
  <si>
    <t>SUMINISTRO DE TARJETAS ELECTRÓNICAS PARA EL CONTROL DEL BOX EN CALDERA ADISA (2) // UBICACION: CASA CONSISTORIAL</t>
  </si>
  <si>
    <t>PRORROGA LOTE 2 CURSO COMPETENCIAS CLAVE NIVEL 2 CERTIF.SIN PROF.SIN IDIOMAS-MARSDIG.</t>
  </si>
  <si>
    <t>INGENIA SOLUCIONES GRUPO ELECTRICAS HERMANOS CAMPOS, S.L.</t>
  </si>
  <si>
    <t>REAJUSTE ANUALIDADES INSTALACIONES GESTION Y MANTENIMIENTO SISTEMA AUTOMATICO PRESTAMOS DE BICICLETAS 2022-2023.</t>
  </si>
  <si>
    <t>CONTRATO DE MANTENIMIENTO DEL SISTEMA DE SEGURIDAD Y VIDEO-VIGILANCIA PARA CPM TRANSFERIDOS.</t>
  </si>
  <si>
    <t>JOSÉ MIGUEL SEBASTIÁN  PASTOR</t>
  </si>
  <si>
    <t>SUMINISTRO 200 CDS CANCIONES INFANTILES PARA COLEGIOS, ESCUELAS INFANTILES Y BIBLIOTECAS. 1 DIA.</t>
  </si>
  <si>
    <t>ESGUEVILLAS DE ESGUEVA</t>
  </si>
  <si>
    <t>PATROCINIO DE START INNOVA -7ª EDICIÓN-, PARA EL CURSO 2021-2022.</t>
  </si>
  <si>
    <t>SUMINISTRO DE VARIAS REVITAS PARA LAS BILIOTECAS MUNICIPALES DURANTE EL AÑO 2022</t>
  </si>
  <si>
    <t>SUSCRIPCIÓN DE VARIAS REVISTAS DURANTE EL AÑO 2022 PARA LAS BIBLIOTECAS MUNICIPALES.</t>
  </si>
  <si>
    <t>SUSCRIPCIÓN A VARIAS REVISTAS PARA LAS BILBIOTECAS PÚBLICAS DURANTE EL AÑO 2022</t>
  </si>
  <si>
    <t>Zolopotroko Teatro. Actuaciones en CC Zona Este (12/03/22), CM Puente Duero (09/04/22) y CC Campillo (24/04/22). MFS</t>
  </si>
  <si>
    <t>SUSCRIPCIÓN A VARIAS REVISTAS PARA LAS BIBLIOTECAS MUNICIPALES DURANTE EL AÑO 2022</t>
  </si>
  <si>
    <t>MANTENIMIENTO GESTOR DE BASE DE DATOS DOCUMENTALES DEL ARCHIVO MUNICIPAL: KNOSYS, LOTE 9</t>
  </si>
  <si>
    <t>LOS EQUIPOS DE AGUA ULTRAPURA REQUIEREN DE REPARACIONES. LA EMPRESA ADJUDICATARIA ES MERCK LIFE SCIENCE SLU.</t>
  </si>
  <si>
    <t>LOTE 1: MANTENIMIENTO CALEFACCIÓN Y CLIMATIZACIÓN EDIFICIOS DEPENDIENTES SERVICIO PARTICIPACIÓN CIUDADANA</t>
  </si>
  <si>
    <t>CONTRATO ALQUILER RENTING PLOTTER SCANNER HEWLETT PACKARD. AÑO 2022</t>
  </si>
  <si>
    <t>MANTENIMINETO DE ASCENSOR DEPENDENCIAS DISTRITO 3º DE POLICÍA MUNICIPAL.</t>
  </si>
  <si>
    <t>SUMINISTRO PRODUCTOS DE FARMACIA PARA ANIMALES CMPA</t>
  </si>
  <si>
    <t>REPOSICIÓN DE BALDOSAS DE SUELO TÉCNICO EN EL CENTRO DE OPERACIONES DE LA POLICÍA MUNICIPAL.</t>
  </si>
  <si>
    <t>SEGUNDA PRÓRROGA DEL CONTRATO DE SUMINISTRO DE GASOLINA 95 DEL 1 DE ENERO AL 31 DE DICIEMBRE DE 2022; SEISYPC.</t>
  </si>
  <si>
    <t>SUSCRIPCIÓN A LAS REVISTAS ""SPORT LIFE"" y ""MOTOCICLISMO"" PARA LAS BILBIOTECAS MUNICIPALES DURANTE EL AÑO 2022.</t>
  </si>
  <si>
    <t>VISITAS EDUCATIVAS A ESCOLARES DE LA EXPOSIÓN REBELIÓN EN LAS AULAS DEL 12 DE ENERO AL 20 DE ABRIL</t>
  </si>
  <si>
    <t>NIT LUX, SA</t>
  </si>
  <si>
    <t>Adjudicación obras remodelación del Alumbrado Público en varias zonas del Barrio Pajarillos, Lote 2. (exp. 19/2021)</t>
  </si>
  <si>
    <t>FRIHER S.A. (TERCERO ANTIGUO)</t>
  </si>
  <si>
    <t>CONTRATO MANTENIMIENTO EQUIPOS CLIMATIZACION CASA BARCO EDIFICIO PRINCIPAL Y CMPA</t>
  </si>
  <si>
    <t>FRIHER, S.L. (TERCERO NUEVO)</t>
  </si>
  <si>
    <t>CONTRATO MANTENIMIENTO EQUIPOS CLIMATIZACION CASA BARCO EDIFICIO PRINCIPAL Y CMPA 2022</t>
  </si>
  <si>
    <t>SE-EIJI 27/2021. MANTENIMIENTO INSTALACIONES DE PROTECCIÓN CONTRA INCENDIOS. EDIFICIOS MUNICIPALES. LOTE 5. COLEGIOS</t>
  </si>
  <si>
    <t>SE-EIJI 27/2021. ADJ. EXPTE.MANT. INSTALACIONES DE PROTEC. CONTRA INCENDIOS.(LOTE 5) EDIFICIOS MUNICIPALES. CG 65</t>
  </si>
  <si>
    <t>SUMINISTRO KIT RESISTENCIAS REPARACIÓN CLIMATIZADOR TEATRO CC PARQUESOL</t>
  </si>
  <si>
    <t>Mant. inst. protección contra incendios INTERVENCIÓN SOC. AÑO 22;  LOTE 5.</t>
  </si>
  <si>
    <t>ADJUDICACIÓN MANTENIMIENTO JARDINES - COMEDOR SOCIAL 1.384,11 ¿/AÑO - DE ENERO 2022 A ABRIL 2023.</t>
  </si>
  <si>
    <t>DIRECCIÓN DE OBRAS DE NAVE DE LAVADO PROYECTO 2019 4 RMTE 60. SERVICIO DE LIMPIEZA.</t>
  </si>
  <si>
    <t>ADQUISICION DE DIVERSO MATERIAL PARA JARDINES.</t>
  </si>
  <si>
    <t>2ª PRÓRROGA CONTRATO SUMINISTRO GASOLINA 95º VEHÍCULOS SERVICIO SALUD AÑO 2022</t>
  </si>
  <si>
    <t>SUSCRIPCIÓN PARA LA REVISTAINFALTIL CYLJ (Cuadernos de literatura infantil y juvenil) PLAZO AÑO 2022.</t>
  </si>
  <si>
    <t>RENOVACIÓN SUSCRIPCIÓN NÚMERO 6214 AL FICHERO DE CARGOS ESTIRADO. AÑO 2022</t>
  </si>
  <si>
    <t>Escenario en Pza de Portugalete (25/11/21) // Escenario en CIC S. Lopez (17/12/21) // Escenario en C/ Cometa (19/12/21)</t>
  </si>
  <si>
    <t>REPUESTOS NEUMÁTICOS PARA REPARACIÓN DE VEHÍCULOS DEL SERVICIO DE LIMPIEZA VIARIA</t>
  </si>
  <si>
    <t>2022 10 2412 22110</t>
  </si>
  <si>
    <t>SUMINISTRO DE MATERIAL Y  PRODUCTOS DE LIMPIEZA PARA EL CENTRO DE FORMACION PARA EL EMPLEO DURANTE 2022</t>
  </si>
  <si>
    <t>2022 01 9203 22103</t>
  </si>
  <si>
    <t>PREVISION GASTO SUMINISTRO GASOLINA  1 DE ENERO A 31 DE DICIEMBRE 2022, 4.I.</t>
  </si>
  <si>
    <t>MANT.Y REPARACION DE EQUIPOS INFORMATICOS DE CPMS ARCA R,Z.ESTE,HTA.REY Y FRAY L.L. DE 1 ENE A 28 FEB 22-EXPTE.12/19</t>
  </si>
  <si>
    <t>SE-EIJI 27/2021. MANTENIMIENTO INSTALACIONES DE PROTECCIÓN CONTRA INCENDIOS. EDIFICIOS MUNICIPALES. LOTE 5.ESPACIO JOVEN</t>
  </si>
  <si>
    <t>MATERIAL PARA LA DIFUSION DE EVENTOS EDUCATIVOS. EJERCICIO 2022.</t>
  </si>
  <si>
    <t>2022 10 2311 22706</t>
  </si>
  <si>
    <t>REAJUSTE CONTRATO DE ASESORAMIENTO DCHO DE FAMILIA Y LEY 2ª OPORTUNIDAD MAYO Y JUNIO 2022.</t>
  </si>
  <si>
    <t>MANTENIMIENTO DEL AIRE ACONDICIONADO DEL LABORATORIO DE LA RCCVA. SERVICIO MEDIO AMBIENTE</t>
  </si>
  <si>
    <t>2022 07 1701 22110</t>
  </si>
  <si>
    <t>PRODUCTOS DE LIMPIEZA Y ASEO PARA EDIFICIO CASA DEL BARCO Y ANEXO. AÑO 2022</t>
  </si>
  <si>
    <t>SUSCRIPCIÓN A LAS REVISTAS ""FOTOGRAMAS"" Y ""ELLE DECORACIÓN"" PARA LAS BIBLIOTECAS MUNICIPALES DURANTE EL AÑO 2022.</t>
  </si>
  <si>
    <t>10 SUSCRIPCIONES  A LA REVISTA ""MI BIBLIOTECA"" PARA LAS LAS BIBLIOTECAS MUNICIPALES DURANTE EL AÑO 2022</t>
  </si>
  <si>
    <t>MANTENIMIENTO SISTEMA SEGURIDAD NAVES DE PARQUES Y JARDINES.</t>
  </si>
  <si>
    <t>SERVICIO CONJUNTO DE NOTICIAS Y FOTOGRAFÍAS DE LA AGENCIA PRESS /// MES DICIEMBRE DE 2021</t>
  </si>
  <si>
    <t>2022 09 3341 22700</t>
  </si>
  <si>
    <t>Espectáculo magia Freddy Varó  ""Pinceladas de magia"" en el CIC El Empecinado (26/03/22) y en CC Esgueva (02/04/22) MFS</t>
  </si>
  <si>
    <t>SUSCRIPCIÓN AÑO 2022 A LA REVISTA EMPRENDEDORES PARA LAS BIBLIOTECAS MUNICIPALES. PLAZO 1 AÑO</t>
  </si>
  <si>
    <t>MANTENIMIENTO STMAS DE SEGURIDAD EN LA ESCUELA MUNICIPAL DE MUSICA SITA EN EL COLEGIO MARIA DE MOLINA. AÑO 2022</t>
  </si>
  <si>
    <t>REPARACION DE AVERIA EN VEHÍCULO MERCEDES ATEGO, BFP-18, MATRICULA 0130-DWZ///SERVICIO DE EXTINCION DE INCENDIOS</t>
  </si>
  <si>
    <t>SUMINISTRO FILTROS CLIMATIZADORES KEYTER CIC SANTIAGO LÓPEZ</t>
  </si>
  <si>
    <t>SUMINISTRO, INSTALACIÓN, CONFICURACIÓN Y PUESTA EN MARCHA DE DOS BALANCEADORES DE CARGA, LOTE 4 (REAJUSTE) (58/2021)</t>
  </si>
  <si>
    <t>REPARACIÓN DE LLAVES DE ALARMA Y REPOSICIÓN DE SISTEMAS.</t>
  </si>
  <si>
    <t>2022 07 1721 22103</t>
  </si>
  <si>
    <t>PRÓRROGA DE GASOLINA CON CEPSA/RSS. SERVICIO DE MEDIO AMBIENTE</t>
  </si>
  <si>
    <t>SUMINISTRO DE SERVIDORES Y LICENCIAS PARA LA PLATAFORMA DE VIRTUALIZACIÓN, LOTE 5 (REAJUSTE DE ANUALIDADES (58/2021)</t>
  </si>
  <si>
    <t>SUMINISTRO BOMBA CIRCULACIÓN CIC EMPECINADO</t>
  </si>
  <si>
    <t>2022 03 9241 22110</t>
  </si>
  <si>
    <t>COVID-19//DETERGENTE DESINFECTANTE USOL-16 AL USO: 33 CAJAS DE 7 BOTELLAS CON PULVERIZADOR/CAJA. PARA  CENTROS CÍVICOS</t>
  </si>
  <si>
    <t>SUMINISTRO, INSTALACIÓN, CONFIGURACIÓN Y PUESTA EN MARCHA DE ESTACIONES DE TRABAJO, LOTE 3 , ENERO 22 A JUNIO 23</t>
  </si>
  <si>
    <t>Actuación en el CC José Luis Mosquera el día 08/05/2022. MFS</t>
  </si>
  <si>
    <t>JESUS SILVERIO CAVIA CAMARERO</t>
  </si>
  <si>
    <t>Concierto didáctico en CC Campillo día 22/05/2022- MFS</t>
  </si>
  <si>
    <t>MANTENIMIENTO COLUMNAS ELEVADORES VEHÍCULOS DEL TALLER DEL SERVICIO DE LIMPIEZA</t>
  </si>
  <si>
    <t>MTN HC2 Negro / BATERIA TUDOR / DEXRON II D 1 L. / Canon Gestion Aceite / DISOLVENTE / SEPIOLITA 20 KG //SEISPC</t>
  </si>
  <si>
    <t>AMORTIGUADOR CILINDRICO/ TAPON MACHO/ JUNTA METAL GOMA/ TUERCA HEXAGONAL/ BOOSTER/ UNIÓN/ RACOR/ JGO MACHOS/SEISPC</t>
  </si>
  <si>
    <t>ACUERDO MARCO. SUMINISTRO DE MATERIAL PARA TALLER DE REPARACIONES DE VEHÍCULOS DE LA POLICÍA MUNICIPAL.</t>
  </si>
  <si>
    <t>ACUERDO MARCO. SUMINISTRO DE PIEZAS PARA TALLER DE REPARACIONES DE  POLICÍA MUNICIPAL.</t>
  </si>
  <si>
    <t>2022 11 1621 22110</t>
  </si>
  <si>
    <t>SEPIOLITA 20KG. 15-30 (30 UDS) / AM EXP V36-2017 / SERVICIO DE LIMPIEZA.</t>
  </si>
  <si>
    <t>ACUERDO MARCO 2017/36, REPUESTOS PARA VEHÍCULOS.</t>
  </si>
  <si>
    <t>AMORTIGUADOR CILINDRICO/ LOCTITE/ ARANDELA PLANA/ TUERCA BLOCANTE/ RECTO TUBO-TUBO/ TERMINAL HEMBRA CON RETÉN/SEISPC</t>
  </si>
  <si>
    <t>LIMPIEZA FILTRO PARTICULAS 8776KMN ///  SERVICIO DE LIMPIEZA.</t>
  </si>
  <si>
    <t>BOMBA DE CIRCULACIÓN CIRCUITO CALEFACCIÓN CC RONDILLA</t>
  </si>
  <si>
    <t>FILTRO ORIGINAL / ADAPTADOR / LIMPIADOR / ACEITE HIDRAULICO / TASA ACEITE</t>
  </si>
  <si>
    <t>CUSTODIA Y CUIDADO DE 7 GALLOS POR ORDEN JUDICIAL DEL 1-1 AL 17-3-2022</t>
  </si>
  <si>
    <t>VENTANA OSCILO BATIENTE DOS HOJAS PARA  LA SALA DE CONFERENCIAS DEL  CPM PUENTE COLGANTE</t>
  </si>
  <si>
    <t>SERVICIOS DE RESPALDO, LOTE 2</t>
  </si>
  <si>
    <t>CONSULTORÍA TÉCNICA Y ELABORACIÓN DEL PROYECTO DE EVALUACIÓN DE INSTALACIONES TÉCNICAS DEL TEATRO CANTERAC</t>
  </si>
  <si>
    <t>SUMINISTRO DE SENSORES DE HUMEDAD Y TEMPERATURA. SERVICIO MEDIO AMBIENTE</t>
  </si>
  <si>
    <t>ACTUACIONES en CC El Campillo y en CC Bailarín Vicente Escudero MFS NAVIDAD</t>
  </si>
  <si>
    <t>Contrato/PR: ORONA SB + TELEFONIA /  COLEGIOS MUNICIPALES LOTE 2 /// MES DICIEMBRE DE 2021</t>
  </si>
  <si>
    <t>MANTENIMIENTO DEL SISTEMA DE SEGURIDAD DEL CENTRO MUNICIPAL DE ACUSTICA. SERVICIO MEDIO AMBIENTE</t>
  </si>
  <si>
    <t>Mantenimiento sistema de seguridad, vigilancia y alarma instalado en el Parque de Vías Públicas del SEPI (C/ Títulos,51)</t>
  </si>
  <si>
    <t>TRANSPORTE, MONTAJE Y DESMONTAJE DE ESCENARIO DE MADERA PROPIEDAD DEL AYUNTAMIENTO 8X6 M DIA INTERNACIONAL MUJER 8M</t>
  </si>
  <si>
    <t>coord.seg.y salud de obra proy.modificado CPM Parquesol debido a cimentación del terreno-2022</t>
  </si>
  <si>
    <t>REPARACIÓN ARMARIO Y PUERTA PARA BARRERA DE ACCESO AL CENTRO DE LAVADO DE VEHÍCULOS DEL SERVCIO DE LIMPIEZA</t>
  </si>
  <si>
    <t>VINILO PARA EL CURSO DE PINTURA  DECORATIVA IV DEL CENTRO DE FORMACION PARA EL EMPLEO-DURA 1 DIA</t>
  </si>
  <si>
    <t>VINILO CORTADO EN VARIAS PIEZAS PARA EL CURSO DE PINTURA DECORATIVA IV DELC. DE FORMACION PARA EL EMPLEO- DURACION 1 DIA</t>
  </si>
  <si>
    <t>VINILO BLANCO OPACO DE 167X145,7cm  PARA EL CURSO DE PINTURA DECORATIVA IV DEL C. DE F. PARA EL EMPLEO- DURACION 1 DIA</t>
  </si>
  <si>
    <t>REPOSICIÓN 1 VENTANA EN EL CEIP ALLUE MORER. PLAZO EJECUCIÓN: 1 MES</t>
  </si>
  <si>
    <t>SPSC 013_2021;Contratación del Suministro de Prendas de Vestuario; LOTE 3: TRAJE DE AGUA; SEISYPC.</t>
  </si>
  <si>
    <t>EXPTE.: SPSC 014_2021; Contrato Suministro EPIs; LOTE 2: EPIs interv resc técnico, altura e incendios forestal; SEISYPC.</t>
  </si>
  <si>
    <t>CONTRATO EXTINTORES SERVICIO PARQUES Y JARDINES -CASETAS-</t>
  </si>
  <si>
    <t>SUMINISTRO DE REPUESTOS / AM EXP V36-2017 / SERVICIO DE LIMPIEZA</t>
  </si>
  <si>
    <t>AC MARCO EXP V36-2017. SUMINISTROS VARIOS /// DESTINO: SERVICIO DE LIMPIEZA</t>
  </si>
  <si>
    <t>AC MARCO EXP V36/2017: HERRAMIENTA DE BARRIDO (CEPILLOS, MANGOS Y GARRAS) PARA LIMPIEZA VIARIA</t>
  </si>
  <si>
    <t>AC MARCO EXP. V36-2017: SUMINISTROS DE DIFERENTES REPUESTOS /// SERVICIO DE LIMPIEZA</t>
  </si>
  <si>
    <t>AC MARCO EXP V36-2017: ESCOBIJOS Y PALAS PARA LIMPIEZA VIARIA</t>
  </si>
  <si>
    <t>AC MARCO EXP V36/2017: RODAMIENTO BOLAS / ARANDELA PLANA / LIMPIADOR DE CONTACTOS DOBLE ACCION / LLAVE CARRACA</t>
  </si>
  <si>
    <t>SPSC 013_2021;Contratación del Suministro de Prendas de Vestuario; LOTE 1:ROPA DE PARQUE; SEISYPC.</t>
  </si>
  <si>
    <t>CREANDO BARRIO"" LABORATORIO DE TEATRO COMUNITARIO. ENERO A JUNIO 2022</t>
  </si>
  <si>
    <t>SUSCRIPCIÓN AÑO 2022 A LA REVISTA ECOLOGISTAS EN ACCIÓN PARA LAS BIBLIOTECAS MUNICIPALES. PLAZO AÑO 2022</t>
  </si>
  <si>
    <t>SERVICIO CELADURIA EN CENTRO JACINTO BENAVENTE (152 HORAS) // MES DICIEMBRE2021</t>
  </si>
  <si>
    <t>2022 06 3321 22199</t>
  </si>
  <si>
    <t>ALARMAS Y CINTA PARA TEJUELAR LIBROS DE LAS BIBLIOTECAS MUNICIPALES. PLAZO DE EJECUCIÓN, AÑO 2022.</t>
  </si>
  <si>
    <t>Reparació de avería en vehículo Mercedes Atego, BFP_18, matrícula 013 DWZ; SEISYPC.</t>
  </si>
  <si>
    <t>JESUS CABRERO  PEREZ</t>
  </si>
  <si>
    <t>LIMPIEZA CUBIERTA DEL CPM ZONA ESTE- DURACION 1 SEMANA</t>
  </si>
  <si>
    <t>Música en familia. Actuación en CC Casa Cuna día 14/05/2022- MFS</t>
  </si>
  <si>
    <t>ADJUDICA DIFUSIÓN DIGITAL BANDO ALCALDÍA SOBRE INVASIÓN UCRANIA (funcionamiento ayuda solidaria al pueblo) EL ESPAÑOL</t>
  </si>
  <si>
    <t>MANTENIMIENTO EQUIPOS CLIMATIZACIÓN EN EDIFICIO ANEXO A CASA DEL BARCO DURANTE EL AÑO 2022.</t>
  </si>
  <si>
    <t>REPARACIÓN PUERTAS PRE-ELEVA ACCESO ACCESO DE PATIO A TALLERES Y NAVE PARKING VEHIULCOS DEL Sº DE LIMPIEZA</t>
  </si>
  <si>
    <t>SUMINISTRO DE MATERIAL DE JARDINERA PARA EL CURSO DE PARQUES Y JARDINES III DEL C. DE F. PARA EL EMPLEO- DURACION 1 DIA</t>
  </si>
  <si>
    <t>Grabación, edición y postproducción campaña de sensibilización de derechos de las personas trabajadoras. 2022</t>
  </si>
  <si>
    <t>F-611. SERVICIO CENTRO DE DÍA - FUNDACIÓN INTRÁS. Nº PROGRAMAS: 15. NOVIEMBRE Y DICIEMBRE 2022</t>
  </si>
  <si>
    <t>KARCHER, S.A.</t>
  </si>
  <si>
    <t>SUMINISTRO JABÓN PARA MÁQUINAS DE LAVAR QUE HAY EN LA NAVE DE LAVADO DE VEHÍCULOS DEL Sº DE LIMPIEZA</t>
  </si>
  <si>
    <t>COORD.SEG. Y SALUD DE OBRA PROY.MODIFICADO BIBLIOTECA PARQUESOL DEBIDO A CIMENTACIÓN DEL TERRENO-2022</t>
  </si>
  <si>
    <t>2022 10 2412 22103</t>
  </si>
  <si>
    <t>PREVISION CONSUMO DE GASOLINA MAQUINAS DEL CENTRO DE FORMACION PARA EL EMPLO DEL 1 DE ENERO AL 31 DE DICIEMBRE DE 2022</t>
  </si>
  <si>
    <t>USO PISTA  ATLET. (C.D.CIUDAD VA.) 24-01-22 / USO PISCINA-GIMNASIO (H.DEL REY) 25-01-22 / PRUEBAS FISICAS 19 BOMBEROS.</t>
  </si>
  <si>
    <t>Reparaciones de diversos materiales; Servicio de Extinción de Incendios, Salvamento y Protección Civil.</t>
  </si>
  <si>
    <t>REVISIÓN TOMA TIERRA E INSTALACIÓN ELÉCTRICA ESTACIONES DE MEDICIÓN CONTAMINACIÓN DE LA RCCVA. SERVICIO MEDIO AMBIENTE.</t>
  </si>
  <si>
    <t>CONTRATO SUMINISTRO DE MATERIAL DE PINTURA DEL  PROG. MIXTO PINTURA DECORATIVA IV.</t>
  </si>
  <si>
    <t>SUMINISTRO DE MATERIALES VARIOS PARA TRABAJOS DE PINTURA  EDIFICIOS MUNICIPALES</t>
  </si>
  <si>
    <t>ARQUETA/ TUBO/ ENLACE/ CASQUILLO/ TUERCA REDUCTORA/ ADAPTADOR GRIFO/ ENLACE MANGUERO/ ML MANGUERA</t>
  </si>
  <si>
    <t>TKROM BASE PLASTICO MATE/ PAPEL CON CINTA/ FITOPLAS // BIBLIOTECA DEL CC ZONA ESTE</t>
  </si>
  <si>
    <t>Asistencia técnica:cambio aceites,líquido frenos y otros comp en TOYOTA 2958-JVV y 2931-JVV (VMC13  y VCM14);SEISYPC.</t>
  </si>
  <si>
    <t>DIRECCIÓN FACULTATIVA OBRAS ENVOLVENTE Y CUBIERTA EDIFICIO DE JEFATURA (1ª FASE).</t>
  </si>
  <si>
    <t>IMPRESIÓNDE FOLLETOS PARA EL DÍA DE LA POESÍA EN PAPEL DE SEMILLAS. PLAZO UN MES</t>
  </si>
  <si>
    <t>MODIF CTTO MANTENIMIENTO/CONSERVACIÓN ASCENSORES COLEGIOS/OTROS EDIFICIOS PUBLICOS. NUEVO: NARCISO ALONSO CORTES 2022</t>
  </si>
  <si>
    <t>RESTAURACIÓN ESTRUCTURAL S.L.</t>
  </si>
  <si>
    <t>Obras de reparación de estructuras, mobiliario y edificio en plaza de la Solidaridad (expediente 51/2021)</t>
  </si>
  <si>
    <t>ALCALÁ DE HENARES</t>
  </si>
  <si>
    <t>2022 07 1721 214</t>
  </si>
  <si>
    <t>Acopio anual para suministro de aditivo Ad_blue para vehículos diesel; SEISYPC.</t>
  </si>
  <si>
    <t>INSTALACION DE ACCESORIOS EN VEHICULO ELECTRICO.</t>
  </si>
  <si>
    <t>CONTRATO MANTENIMIENTO DEL SERVICIO DE ANÁLISIS Y CONTROL DEL OBSERVATORIO CULTURAL Y TURÍSTICO AYTO VALLADOLID</t>
  </si>
  <si>
    <t>mant. inst.proteccion contra incendios C.FORM.EMPLO JAC.BENAV.AÑO 22, 23 Y 24</t>
  </si>
  <si>
    <t>Charo Jaular. Cuenta cuentos en CC Zona Este el día 07/05/2022. MFS</t>
  </si>
  <si>
    <t>TEATRO DEL GATTO: ACTUACIÓN TÍTERES EN CIC SEGUNDO MONTES EL DIA 3 DE ENERO 2022. MFS NAVIDAD</t>
  </si>
  <si>
    <t>Teatro del Gatto: espectáculo de títeres en CIC Santiago López el día 21/05/2022. MFS</t>
  </si>
  <si>
    <t>TALLER DE IGUALDAD EN EL CENTRO MUNICIPAL DE LA IGUALDAD ""CREATIVIDAD Y EMOCIONES""</t>
  </si>
  <si>
    <t>YOGA INFANTIL PARA CRECER EN EL RESPETO: GRUPO DE 4 A 7 AÑOS / GRUPO DE 8 A 12 AÑOS // DICIEMBRE, EN EL CMI</t>
  </si>
  <si>
    <t>CONTRATO DE MANTENIMIENTO DEL SISTEMA DE SEGURIDAD Y VIDEO-VIGILANCIA PARA LOS CEAS Y CENTRO INTEGRADO.</t>
  </si>
  <si>
    <t>Obras de acceso CIC Conde Ansurez en calle Batuecas 24. Duración 1 semana</t>
  </si>
  <si>
    <t>EMISIÓN DISTINTIVOS DE VEHÍCULO ELÉCTRICO, CATEGORÍA VELID (MAQUETACIÓN, IMPRESIÓN Y ENTREGA EN LA AGENCIA), PARA 2022.</t>
  </si>
  <si>
    <t>Impresión de materiales para Campaña de Día Internacional de la Mujer 2022</t>
  </si>
  <si>
    <t>REVISIÓN DE MAQUINARIA DEL TALLER DE REPARACIONES DE LA POLICÍA MUNICIPAL.</t>
  </si>
  <si>
    <t>Calamar Teatro, actuación en CIC Segundo Montes el día 12/03/2022. MFS</t>
  </si>
  <si>
    <t>PATRIMONIO INTELIGENTE CASTILLA Y LEÓN, S.L.</t>
  </si>
  <si>
    <t>ADJ. EXP.45/21. PROYECTO OBRAS CONSOLIDACIÓN EDIFICACIÓN DESTINADA A CELDAS DEL CONVENTO STA.CATALINA DE SIENA</t>
  </si>
  <si>
    <t>REPARACION TEJADO DEL CPM ZONA ESTE- DURACION 1 MES</t>
  </si>
  <si>
    <t>REMICA SA</t>
  </si>
  <si>
    <t>MANTENIMIENTO DE LOS SISTEMAS DE CLIMATIZACIÓN, LOTE 1</t>
  </si>
  <si>
    <t>CONTRATO DE MANTENIMIENTO DEL SISTEMA DE SEGURIDAD Y VIDEO-VIGILANCIA PARA CPM NO TRANSFERIDOS.</t>
  </si>
  <si>
    <t>Espectáculo de títeres en CC Delicias día 10/04/2022. MFS</t>
  </si>
  <si>
    <t>SERVICIO DE MANTENIMIENTO DE LOS SISTEMAS DE ALARMA Y SEGURIDAD DE LA CUPULA DEL MILENIO. 12-02-22 AL 31-08-22</t>
  </si>
  <si>
    <t>MAXYMAS SUMINISTROS HOSTELEROS, S.L.</t>
  </si>
  <si>
    <t>SUMINISTRO DE VAJILLA PARA LAS ESTANCIAS DIURNAS DE LOS CPM. DURACION 1 DIA</t>
  </si>
  <si>
    <t>REPARACIÓN DE CARPINTERÍA DE ALUMINIO OFICINAS DISCIPLINA VIAL.</t>
  </si>
  <si>
    <t>2022 02 1501 22606</t>
  </si>
  <si>
    <t>PROMOTORA DE EMPRESAS HOTELERAS, S.A.</t>
  </si>
  <si>
    <t>ALOJAMIENTO PONENTES (3) JORNADAS CORREDOR FERROVIARIO</t>
  </si>
  <si>
    <t>2022 11 1361 204</t>
  </si>
  <si>
    <t>Grúa_góndola para desplazamiento de vehículo pesado_prácticas excarcelación;SEISYPC.</t>
  </si>
  <si>
    <t>SUMINISTRO DE CHALECOS ANTIBALA Y FUNDA PARA POLICÍA, EJERCICIO 2022.. EXP. SPSC -02/2021. LOTE Nº 5.</t>
  </si>
  <si>
    <t>Actuación en CC José Luis Mosquera el día 03/04/2022</t>
  </si>
  <si>
    <t>2022 06 2314 22700</t>
  </si>
  <si>
    <t>Montaje/desmontaje escenario en centro Santiago López para espectáculo flamenco para niños en barrio de Pajarillos.</t>
  </si>
  <si>
    <t>2022 10 2311 633</t>
  </si>
  <si>
    <t>DISEÑO, MAQUETACIÓN DE LA CAMPAÑA MUJER Y CIENCIA</t>
  </si>
  <si>
    <t>SUMINISTRO TURBINA PARA REPARACIÓN CAJA DE VENTILACIÓN CIC CONDE ANSÚREZ</t>
  </si>
  <si>
    <t>ADQUISICIÓN DE DOS PERCHEROS (BURROS) PARA ALMACENAMIENTO DE VESTUARIO.</t>
  </si>
  <si>
    <t>2022 06 3321 22700</t>
  </si>
  <si>
    <t>CONTENEDORES HIGIENICO SANITARIOS CASA DEL BARCO Y EDIFICIO CONCEJALIAS. AÑO 2022</t>
  </si>
  <si>
    <t>2022 06 3261 22700</t>
  </si>
  <si>
    <t>2022 06 2315 22700</t>
  </si>
  <si>
    <t>SUMINISTRO DE BOMBA DE ACHIQUE PARA CC BAILARÍN VICENTE ESCUDERO</t>
  </si>
  <si>
    <t>Mantenimiento del SISTEMA DE VIGILANCIA Y ALARMA  de  las instalaciones de alumbrado en Soto de Medinilla.-</t>
  </si>
  <si>
    <t>Actuación en C.C. Pilarica el día 04/01/2022. MFS NAVIDAD</t>
  </si>
  <si>
    <t>SUMINISTRO DE LICENCIAS DE OFIMÁTICA, LOTE 4 , DE ENERO A JUNIO 22</t>
  </si>
  <si>
    <t>PRORROGA 1 AÑO DEL CONTRATO SERVICIO MANTENIMIENTO PORTALES WEB DE CULTURA Y TURISMO LOTE 1. (01-05-2022 AL 30-04-2023)</t>
  </si>
  <si>
    <t>CONTRATO DE SERVICIOS DE MANTENIMIENTO DE LOS PORTALES WEB DE CULTURA Y TURISMO-LOTE 1</t>
  </si>
  <si>
    <t>Actuación en C.C. Esgueva el día 14/05/2022. MFS</t>
  </si>
  <si>
    <t>IMPRESIÓN DE CARTELERÍA DIA INTERNACIONAL DE LA MUJER 8M</t>
  </si>
  <si>
    <t>GESTION SANITARIA CONTROL VETERINARIO, S.L.</t>
  </si>
  <si>
    <t>PRUEBAS E INFORME VETERINARIO ESTADO EQUINOS REQUISADOS</t>
  </si>
  <si>
    <t>REPARACION PUERTA CORREDERA Y TELEFONILLO EN EL CENTRO MUNICIPAL DE LA IGUALDAD</t>
  </si>
  <si>
    <t>Instalación eléctrica temporal con motivo del evento en materia de Igualdad organizado por Coordinadora de mujeres</t>
  </si>
  <si>
    <t>ADJUDICA DIFUSIÓN DIGITAL BANDO ALCALDÍA SOBRE INVASIÓN UCRANIA (funcionamiento ayuda solidaria al pueblo) EL MUNDO</t>
  </si>
  <si>
    <t>Instalación eléctrica temporal con motivo de manifestación 8M en materia de Igualdad en Plaza Mayor</t>
  </si>
  <si>
    <t>2022 06 3321 629</t>
  </si>
  <si>
    <t>SUMINISTRO DE DIFERENTES TITULOS (EJEMPLARES) // A/P 9 /// DESTINO: BIBLIOTECAS PUB. MUNICIPALES</t>
  </si>
  <si>
    <t>2022 03 9241 633</t>
  </si>
  <si>
    <t>JAVIER CACHO GOMEZ</t>
  </si>
  <si>
    <t>CONCEPTO: Conferencia ""Mujeres de acero en un mundo de hielo"" impartida en el Museo de la Ciencia</t>
  </si>
  <si>
    <t>7 UNIDADES DE PISTÓN CROMADO DE ALTURA MEDIA 550/660 mm. PARA SILLA OPERATIVA ARIN. INCLUYE PORTES Y MANO DE OBRA.</t>
  </si>
  <si>
    <t>REPARACION AVERIA ELECTRICA EN LAS PISTAS DE BALONCESTO C.P. GINER DE LOS RIOS. 1 DÍA.</t>
  </si>
  <si>
    <t>Compra de destructora de papel destinada a Secretaría Ejecutiva del Área de Servicios Sociales y Mediación Comunitaria</t>
  </si>
  <si>
    <t>LABORATORIO DE IMPRESIÓN KIROLAB 3D, C.B.</t>
  </si>
  <si>
    <t>TALLERES PARA FAMILIAS REALIZADOS EN EL CENTRO MUNICIPAL DE LA IGUALDAD NAVIDAD 2021</t>
  </si>
  <si>
    <t>MORALES Y ABELLA, S.A.</t>
  </si>
  <si>
    <t>Regalos y chuches para el ""Día del Niño"" del Patrón de bomberos; SEISYPC.</t>
  </si>
  <si>
    <t>LA CLAVE SPORT, S.L.</t>
  </si>
  <si>
    <t>COMPRA CASCOS PROTECCIÓN PARA EL PERSONAL DEL SERVICIO DE LIMPIEZA.</t>
  </si>
  <si>
    <t>SUM. TERMO ELÉCTRICO VERTICAL 50 L PARA SUSTITUIR AL AVERIADO EN CIC SEGUNDO MONTES</t>
  </si>
  <si>
    <t>SUMINISTRO DE KIT ATOMIZADOR Y BOBINAS SECAMANOS PARA LOS CPM DEL SERVICIO DE INICIATIVAS SOCIALES- DURACION 1 DIA</t>
  </si>
  <si>
    <t>2022 06 3231 633</t>
  </si>
  <si>
    <t>REPOSICION BATIDORA INDUSTRIAL EIM FANTASIA</t>
  </si>
  <si>
    <t>MANTENIMIENTO DE INSTALACION SISTEMA DE SEGURIDAD Y ALARMA EN EL CENTRO MUNICIPAL DE PROTECCIÓN ANIMAL 2022</t>
  </si>
  <si>
    <t>SUMINISTRO DE MATERIAL , CLAVOS, CESPED... PRA EL CURSO DE PARQUES Y JARDINES III DEL C. DE F. PARA ELEMPLEO- DUR 1DIA</t>
  </si>
  <si>
    <t>INGENIERIA DE GESTION INDUSTRIAL, S.L.</t>
  </si>
  <si>
    <t>Inspección periódica de alta tensión eléctrica en el Centro Integrado. 2022. COVID-19</t>
  </si>
  <si>
    <t>SUSCRIPCIÓN ANUAL A REVISTA ""TRIBUTOS LOCALES"". SERVICIO DE CONTROL DE INGRESOS. AÑO 2022.</t>
  </si>
  <si>
    <t>SUSCRIPCIÓN ANUAL A REVISTA DERECHO URBANÍSTICO Y MEDIO AMBIENTE, AÑO 2022.</t>
  </si>
  <si>
    <t>Suministro de AUTOGAS para  vehículos del SEPI que funcionan con ese combustible, durante el año 2022.-</t>
  </si>
  <si>
    <t>DISEÑO GRAFICO Y MAQUET. DELA CARTELERIA Y MATERIAL GRAFICO DEL PROGRAMA DE ACTIVID. GRUPALES DE INVIERNO DE LOS CPM-D 1</t>
  </si>
  <si>
    <t>2022 07 1701 22706</t>
  </si>
  <si>
    <t>REAJUSTE ANUALID.CONTRATO DESARROLLO PROGRAMAS  EDUCACION AMBIENTAL. LOTE 1. COORD. Y DES. RED HUERTOS URBANOS V.25/2019</t>
  </si>
  <si>
    <t>TALLERES PREVENCIÓN INTOLERANCIA Y DELITOS DE ODIO PARA ALUMNADO DE IES. ENERO A JUNIO 2022.</t>
  </si>
  <si>
    <t>MARTA RUIZ DE VIÑASPRE RIPA</t>
  </si>
  <si>
    <t>ADJUDICA PRESENTACIÓN Y CONDUCIR ACTO ENTREGA MEDALLA ORO DE LA CIUDAD A LOLA HERRERA</t>
  </si>
  <si>
    <t>SUMINISTRO GAS VEHÍCULO HIBRIDO 0634 DHJ en 2022</t>
  </si>
  <si>
    <t>Impresión de elementos de información para personas usuarias del centro integrado de personas sin hogar/CAI. COVID-19</t>
  </si>
  <si>
    <t>2022 11 1351 224</t>
  </si>
  <si>
    <t>ACCIDENTES COLECTIVOS||""PÓLIZA"":0551780088803||""RECIBO"":8323075731||""RIESGO"" SUMAS GRUPOS/ DEL 31-12-21 A 31-12-22///PC</t>
  </si>
  <si>
    <t>2022 02 1501 22602</t>
  </si>
  <si>
    <t>ROLLER PUBLICIDAD JORNADA CORREDOR FERROVIARIO DE CERCANIAS MEDINA DEL CAMPO-VALLADOLID-PALENCIA</t>
  </si>
  <si>
    <t>SUMINISTRO GASOLEO VEHÍCULOS ÁREA PLANEAMIENTO URBANÍSTICO Y VIVIENDA AÑO 2022.</t>
  </si>
  <si>
    <t>REPARACIÓN Y COPIAS DE LLAVES DE SISTEMAS DE SEGURIDAD EN LAS ESCUELAS INFANTILES MUNICIPALES. AÑO 2022.</t>
  </si>
  <si>
    <t>SUMINISTRO DE MATERIALES PARA LOS COLEGIOS PÚBLICOS</t>
  </si>
  <si>
    <t>FLUXOR AQUALINE/ AMOLADORA RECTA/ KIT NRG502 18V 2BAT 5Ah+CARGA/ ECOPILA/ DESATASCADOR/ AMOLADORA RECTA/SEISPC</t>
  </si>
  <si>
    <t>SUMINISTRO DE DIF. MATERIAL /// DESTINO COLEGIOS PUBLICOS MPALES</t>
  </si>
  <si>
    <t>TERMO COINTRA TBL-150 PLUS V/ LATIGUILLO/ LLAVE ESC.ISIS/ BOLSA FIJA LAVABO/ REDUCC. MARS LATÓN /EXTINCION INCENDIOS</t>
  </si>
  <si>
    <t>SUMINISTRO DE MATERIAL ///  DESTINOS: COLEGIOS PUBLICOS</t>
  </si>
  <si>
    <t>SUMINISTRO DE MATERIALES PARA LOS COLEGIOS PÚBLICOS Y ESCUELA DE MÚSICA Mª DE MOLINA</t>
  </si>
  <si>
    <t>F-762. S.GARCICHAO. SUMINISTRO MATERIAL DE FONTANERÍA. DESTINOS: C. INTEGRADO - VIV. GUTIERREZ DE CETINA 2 BJO D. 1 DIA</t>
  </si>
  <si>
    <t>ACUERDO MARCO. SUMINISTRO DE TERMO ELECTR FLECK DUO 30L // PUNTO DE ENTREGA: POLICÍA MPAL, LA VICTORIA</t>
  </si>
  <si>
    <t>MONOMANDO/ LATIGUILLO FLEX/ SILICONA/ MASILLA/ DESATASCADOR/ MANGUITO/ VERTEDERO/ REJA (E.I.CASAS NIÑO/AS-E.I.LA COMETA)</t>
  </si>
  <si>
    <t>PRESTO SOL ( A. REAL)/ MECANISMO ROCA DOBLE ( ZONA E)/ MANETA LAVABO (R. ESG.)/ ASIENTO ACERO (CPM HUERTA.)-DUR 1 DIA</t>
  </si>
  <si>
    <t>A.M. V.36/2017 : ASIENTO INODORO LUCERNA BLANCO (4 UD) ///  ASIENTO VICTORIA BLANCO (1) ///CASA DEL BARCO PLANTA BAJA</t>
  </si>
  <si>
    <t>SUMINISTRO DE DIFERENTE MATERIAL /// DESTINOS C.C.: ESGUEVA-PARQUESOL-C.CUNA-PILARICA Y AA.VV. SANTOS</t>
  </si>
  <si>
    <t>SUMINISTRO DE MATERIAL PARA E.I.M. PLATERO / E.I.M. EL PRINCIPITO. marzo</t>
  </si>
  <si>
    <t>SUMINISTRO DE MATERIALES PARA CP TIERNO GALVÁN / CP FRAY LUIS DE LÉON</t>
  </si>
  <si>
    <t>SUMINISTROS PARA CC CASA CUNA / CC PARQUESOL / CC DELICIAS / CC RONDILLA</t>
  </si>
  <si>
    <t>2022 07 1721 22104</t>
  </si>
  <si>
    <t>ASIENTO INODORO LUCERNA BLANCO (3) // CASA DEL BARCO</t>
  </si>
  <si>
    <t>DOSIFICADOR JABÓN 1,4L/ DISPENS PAPEL/ ESCOBILLERO COMPLETO / AM EXP. V36-2017 / SERVICIO DE LIMPIEZA.</t>
  </si>
  <si>
    <t>ENLACE RECTO /// MTRS TUBO POLIET. ////  DESTINO: EL PRINCIPITO. FEBRERO</t>
  </si>
  <si>
    <t>GRIFO FREGADERO/ VÁLVULA/ ALARGADERA/ MECANISMO/ GUIA/ TIRADOR (CP PABLO PICASSO / CP NARCISO ALONSO CORTÉS)</t>
  </si>
  <si>
    <t>ACUERDO MARCO. SUMINISTRO DE MATYERIAL DE FONTANERIA PARA DEPENDENCIAS DE POLICÍA MUNICIPAL.</t>
  </si>
  <si>
    <t>SUMINISTRO DE DIFERENTE MATERIAL // DESTINOS: EIM FANTASÍA Y EIM MAFALDA Y GUILLE</t>
  </si>
  <si>
    <t>ASIENTO VICTORIA ACERO BLANCO // CC DELICIAS</t>
  </si>
  <si>
    <t>SUMINISTRO DE MATERIAL /// DESTINOS:  CC DELICIAS - CC JOSE Mª LUELMO</t>
  </si>
  <si>
    <t>AC MARCO EXP V36/2017: REDUCTOR PRESION 1/2 DRV15 / MANOMETRO 1/4 RAD. 6BAR ABS SERV. LIMPIEZA, C/ TOPACIO</t>
  </si>
  <si>
    <t>MANT. SUMINISTRO DE ASIENTO ACERO BLANCO (CPM JOSE LUIS MOSQUERA) / PRESTO CABEZA URINARIO (CPM PUENTE COLGANTE)-D 1 DIA</t>
  </si>
  <si>
    <t>MANT. SUMINISTRO DE REPUESTO PALANCA/ FISCHER-MASILLA POLIMERO BLANCO // CPM RIO ESGUEVA- DURACION 1 DIA</t>
  </si>
  <si>
    <t>BOMBONA GAS AZUL/ ESCOBILLERO COMPLETO // MANTENIMIENTO - CASA CONSISTORIAL</t>
  </si>
  <si>
    <t>SUMINISTRO DE VALVULA ESF.GENEBRE,ENLACE ROSCA METAL PARA EL C. DE FORMACION PARA EL EMPLEO JACINTO BENAVENTE- DUR1 DIA-</t>
  </si>
  <si>
    <t>(E.I.M. FANTASÍA) D2P CON TIRANTE PULSADOR ENRASADO / MECANISMO UNIVERSAL COMPA E/LATER . ENERO</t>
  </si>
  <si>
    <t>AC MARCO EXP V36/2017: MONOMANDO LAVABO VICTORIA PLUS (1 UNIDAD) //// DESTINO: SERV. LIMPIEZA - VALLE DE ARÁN</t>
  </si>
  <si>
    <t>ACUERDO MARCO. SUMINISTRO DE MATERIAL DE FONTANERÍA PARA DEPENDENCIAS DE POLICÍA MUNICIPAL.</t>
  </si>
  <si>
    <t>KIT REPARACION DEPOSITOS REMOSA // CC JOSE LUIS MOSQUERA</t>
  </si>
  <si>
    <t>ACUERDO MARCO. SUMINISTRO MATERIAL DE FONTANERÍA PARA DEPENDENCIAS POLICÍA.</t>
  </si>
  <si>
    <t>MASILLA POLÍMERO/ SILICONA ALTO REND./ GRIFO PISTON/ DESCARGADOR COMPL. // MANTENIMIENTO</t>
  </si>
  <si>
    <t>F-1673. GARCICHAO, S.L. DESATASCADOR 1 LT ÁCIDO/ SIFÓN BIDET/ SIFÓN/ LLAVE ESC. VIVIENDA SOCIAL C/ MORADAS.1 DIA</t>
  </si>
  <si>
    <t>ACUERDO MARCO. MASILLA POLÍMERO BLANCO/ TELEDUCHA CROMETTA // PUNTO DE ENTREGA: POLICÍA MPAL, LA RUBIA</t>
  </si>
  <si>
    <t>F-335. SUM.GARCICHAO. GRIFO MANGUERA/LLAVE MINI MH 1/2/GEBERIT LLENADO NATURAL. VIV. C/ MACIZO DE GREDOS, 72. 1 DIA</t>
  </si>
  <si>
    <t>SUMINISTRO MATERIAL, ENLACE ROSCA Y VALVULAS,  PARA TRABAJOS DE MANTENIMIENTO AREA CULTURA Y TURISMO</t>
  </si>
  <si>
    <t>CAMPANA UNIVERSAL ECO CYCLO (1 UNID.) /// DESTINO: CASA CONSISTORIAL</t>
  </si>
  <si>
    <t>ACUERDO MARCO. SUMINISTRO MATERIAL PARA MANTENIMIENTO DEPENDENCIAS  POLICÍA MPAL, LA VICTORIA</t>
  </si>
  <si>
    <t>M/2 Chapado de espesor 4 cm, cortado a medida // Porte Campaspero-Valladolid. REPARACIÓN FACHADA LOCAL CONDE ARTECHE</t>
  </si>
  <si>
    <t>UTILIZACION DEPOLIDEPORTIVO J. L. MOSQUERA PARA REALIZAR EL CPM HUERTA DEL REY  TALLER DE BALONCESTO ADAPTADO A MAYORES</t>
  </si>
  <si>
    <t>Impresión de carteles y trípticos para la campaña de sensibilización sector de servicio doméstico 2022</t>
  </si>
  <si>
    <t>MACETA ANTICHISPAS ALUM/BRONCE 1 / CORTAFRIOS ANTICHISPAS/ JGO LLAVES /// DESTINO: SEIS Y PC</t>
  </si>
  <si>
    <t>ANTIPANICO TESA 1910908NV /////  DESTINO: CEIP MIGUEL DELIBES</t>
  </si>
  <si>
    <t>CERRADURA CVL 615-35-6 ANTIPANICO  /// JGO MANILLAS 2000 NEGRO ///  DESTINO:  CASA CONSISTORIAL</t>
  </si>
  <si>
    <t>JUEGO DE MANILLAS ROSETA/CERRADURA 5172 CVL/DESTINO: VESTURARIO VALLE DE ARAN/ AM EXP 36-2017 LIMPIEZA VIARIA.</t>
  </si>
  <si>
    <t>RDTOS. RIGIDOS BOLAS 1 HILERA 625 (12 UNID.) ////  TALLER MANTENIMIENTO CERRAJERIA</t>
  </si>
  <si>
    <t>ACUERDO MARCO. CERRADURA MCM 1650-21 (1)  / PERNI GOTA AXIAL 20X120 (4) /////  DESTINO: POLICIA MPAL-</t>
  </si>
  <si>
    <t>BUZON CASTILLO VERDE 433X300X99 ( 1 UD ) ///  DESTINO: CEIP JORGE GUILLEN</t>
  </si>
  <si>
    <t>CERRADURA MCM 1301-2-50 (1 UD) +  MANECILLA ALMA 6085 NEGRO (1 UD) /////  UBICACION:  CP. ALLUE MOER</t>
  </si>
  <si>
    <t>CERRADURA MCM 1301-2-45 ///  DESTINO: CEIP MIGUEL HERNANDEZ</t>
  </si>
  <si>
    <t>CIERRE CONDENA 5204 NEGRO ( 2 UD ) ///  DESTINO: CEIP FRANCISCO PINO</t>
  </si>
  <si>
    <t>JUEGO DE MANILLAS 1988-75 ////  DESTINO: SERV.LIMPIEZA VESTUARIO VALLE ARAN / SERVICIO DE LIMPIEZA.</t>
  </si>
  <si>
    <t>CERRADURA CORREDERA CRISTAL 354-200 ////  DESTINO: CENTRO CIVICO DELICIAS</t>
  </si>
  <si>
    <t>TAPA JUNTAS CERAMICA 41 MM INOX (1)</t>
  </si>
  <si>
    <t>MANETA REGULABLE 35.50 NEGRA ( 1 UD ) //// DESTINO: LIMPIEZA VIARIA.</t>
  </si>
  <si>
    <t>CERRADURA KEYA 200024.S (1 UD)  //////  UBICACION:  CASA CONSISTORIAL</t>
  </si>
  <si>
    <t>2022 11 1631 634</t>
  </si>
  <si>
    <t>AC MARCO EXP V36-2017: REPUESTOS PARA REPARACIONES DE VEHICULOS DEL SERVICIO DE LIMPIEZA</t>
  </si>
  <si>
    <t>AC MARCO EXP V36/2017: REPUESTOS VEHICULOS DEL SERVICIO DE LIMPIEZA</t>
  </si>
  <si>
    <t>BOLSA NEGRA 90X95 G-140 BDR PL (1000 unid)/BOLSA NEGRA 115X150 G-150 BDR PL (1000 UNID) AM EXP 36-2017. LIMPIEZA VIARIA.</t>
  </si>
  <si>
    <t>VEHICULO E4374BFX/BOMBIN DE FRENO EJE DELANTERO/MOYEU REDUCTORA EJE TRAS/PREOSTATO/AM EXP V36/2017 SERVICIO DE LIMPIEZA</t>
  </si>
  <si>
    <t>AC MARCO EXP V36-2017: REPUESTOS PARA REPARACION DE VEHÍCULOS DEL SERVICIO DE LIMPIEZA</t>
  </si>
  <si>
    <t>MANG AGROIND/ABRAZADER/DETERGEN/TOMA ELECTR/CONMUT/COLGADOR/TERMOM/JGO RACOR/DESTRUCTORA/EXP 36-2017 SERVICIO DE LIMPIEZ</t>
  </si>
  <si>
    <t>ac marco exp v36/2017: BOLSA NEGRA 115X150 G-150 BDR PL TOTAL (1000 UNID) // TOTAL 5 UNIDADES // SERVICIO DE LIMPIEZA</t>
  </si>
  <si>
    <t>AC MARCO EXP V36/2017: SUMINISTRO DE MATERIALES PARA EL SERVICIO DE LIMPIEZA VIARIA</t>
  </si>
  <si>
    <t>ac marco exp v36/2017: PISTOLA SILICONA/ LAPIZ DETECTOR (2)/ POLIURETANO BLANCO (4)/ ALFOMBRA PROTEGE SUELO (3)</t>
  </si>
  <si>
    <t>DESENCOFRADOR ANTICHISPAS 19X60 (2 UNIDADES) /// DESTINO: SEIS Y PC</t>
  </si>
  <si>
    <t>METRO TUBO SUPER FLEXIBLE/REJA CIRCULAR EN ABS/EXTRACTOR/ ROLLO CINTA ALUMINIO/BOCA EXTRACCIÓN CON CUELLO MONTAJE/SEISPC</t>
  </si>
  <si>
    <t>AC MARCO EXP V36-2017. SUMINISTOS PARA EL SERVICIO DE LIMPIEZA</t>
  </si>
  <si>
    <t>SUMINISTRO DE BATERIAS Y DETECTOR INCENDIOS PARA EL ALMACEN DE COCINA DEL CPM SAN JUAN-DUR 1 DIA</t>
  </si>
  <si>
    <t>ACUERDO MARCO_7614GSB: REVISION, SUSTITUIR ACEITE, FILTROS DE ACEITE Y ANTICONGELANTE Y LAVADO EXTERIOR E INTERIOR</t>
  </si>
  <si>
    <t>ACUERDO MARCO_2543-HTB: REVISION SUSTITUIR ACEITE, FILTRO Y LIQUIDO DE FRENOS,  LAVADO INTERIOR Y EXTERIOR</t>
  </si>
  <si>
    <t>2022 01 9203 214</t>
  </si>
  <si>
    <t>(A.M.), REPARACION VEHICULO OFICIAL RENAULT LAGUNA 1426 DLN, R.I.</t>
  </si>
  <si>
    <t>ACUERDO MARCO.- REPARACIÓN VEHÍCULO 2164HCN DE POLICÍA.</t>
  </si>
  <si>
    <t>ACUERDO MARCO REPARACIÓN VEHICULO: 7221-DLS POLICÍA MUNICIPAL TELEMANDO, CARCASA Y CODIFICACION LLAVE, SUSTITUIR LLAVE</t>
  </si>
  <si>
    <t>ACUERDO MARCO. REPARACIÓN DE VEHICULO 2168HCN DE POLICÍA MUNICIPAL.</t>
  </si>
  <si>
    <t>ACUERDO MARCO_0701DKW: SUSTITUIR PASTILLAS DE FRENO DELANTERAS</t>
  </si>
  <si>
    <t>TACÓGRAFO 7418LDY / 3241 FNW / 7419 LDY / 0999 FVN) / PILAS RESPALDO DATOS / AM SPSC 23/2020 / SERVICIO DE LIMPIEZA.</t>
  </si>
  <si>
    <t>Sustitución de unas persianas metálicas en el Centro Integrado. Marzo 2022. COVID-19</t>
  </si>
  <si>
    <t>REPARACIONES DE CAZADORAS Y PANTALONES DEL TRAJE DE RESCATE TÉCNICO Y FORESTAL;SEISYPC.</t>
  </si>
  <si>
    <t>ADJUDICA ADAPTACIÓN CREATIVIDAD ""VALLADOLID ERES TÚ"" PARA PUBLICACIÓN ""MUNICIPALISMO. LA HISTORIA MUNICIPIOS DE CyL</t>
  </si>
  <si>
    <t>LIMPIEZAS ANTON, S.L.</t>
  </si>
  <si>
    <t>Retirada de residuos del Comedor Social para su traslado al punto limpio 2022</t>
  </si>
  <si>
    <t>MANTENIMIENTO Y ASISTENCIA TECNICA DE LA APLICACION DE CONTABILIDAD ANALITICA (ANUALIDAD 2022)</t>
  </si>
  <si>
    <t>ACUERDO MARCO 3/2020, REPARACIÓN DE MAQUINARIA.</t>
  </si>
  <si>
    <t>2022 07 1711 203</t>
  </si>
  <si>
    <t>GRUAS Y TRANSPORTES EL MADRILEÑO, S.A.</t>
  </si>
  <si>
    <t>ACUERDO MARCO 14/21, ALQUILER DE MAQUINARIA.</t>
  </si>
  <si>
    <t>AJUSTE PRESUPUESTARIO DEL SUMINISTRO DE GASOLEO PÀRA EL C. DE FORMACION PARA EL  EMPLEO  EN 2022</t>
  </si>
  <si>
    <t>PRESTACIONES BÁSICAS MANTENIM. Y CONSERV. INST. TÉRMICAS EDIFICIOS  POLICIA DEL  1-3-2022 AL 31-12-2022.  LOTE 1.</t>
  </si>
  <si>
    <t>PREST. ACCESORIAS (REPAR. Y MATERIAL) MANTEN. Y CONSERV. INSTAL.  TÉRMICAS POLICÍA DEL 1-3-2022 AL 31-12-2022-. LOTE 1.</t>
  </si>
  <si>
    <t>MANTENIMIENTO DE LAS INSTALACIONES DE CALEFACCIÓN, CLIMATIZACIÓN Y ACS DEL SERVICIO DE LIMPIEZA.</t>
  </si>
  <si>
    <t>CONTRATO DE MANTENIMIENTO DE CALEFACCIÓN PARA CPM TRANSFERIDOS.</t>
  </si>
  <si>
    <t>CONTRATO DE MANTENIMIENTO DE CALEFACCIÓN PARA CPM  NO TRANSFERIDOS.</t>
  </si>
  <si>
    <t>CONTRATO DE MANTENIMIENTO DE CALEFACCIÓN PARA LOS CEAS</t>
  </si>
  <si>
    <t>BOMBA DE CALEFACCION PARA EL CPM ZONA ESTE</t>
  </si>
  <si>
    <t>SERVICIO MANTENIMIENTO Y CONSERVACION DE INSTALACIONES DE CLIMATIZACIÓN DE PARQUES DE BOMBEROS/1ER. TRIMESTRE/SEISPC</t>
  </si>
  <si>
    <t>SUMINISTRO DE VASO DE EXPANSION PARA LA CALEFACCION DEL CPM DELICIAS</t>
  </si>
  <si>
    <t>CONTRATO DE MANTENIMIENTO DE CALEFACCIÓN PARA COMEDOR SOCIAL Y CAI.</t>
  </si>
  <si>
    <t>TRASLADO UBICACIÓN TERMOSTATO EN LA AGENCIA DE INNOVACIÓN.</t>
  </si>
  <si>
    <t>F-3054. TAHE. ACTUADOR DESMONTABLE Y CUERPO VÁLVULA DE ZONA EN EL CEAS DELICIAS. DÍA: 16-FEB-2022</t>
  </si>
  <si>
    <t>SUMINISTRO DE DIFERENCIAL PARA EL CPM DELICIAS Y TERMOHIDRÓMETRO PARA LA CALDERA DELCPM FRAY LUIS DE LEON- DURAC. 1 DIA</t>
  </si>
  <si>
    <t>F-745.TAHE. SUSTITUCIÓN DE TERMOSTATO. EAF Y CEAS PAJARILLOS (C/ PATO, Nº 3) 1 DIA</t>
  </si>
  <si>
    <t>2022 05 4331 212</t>
  </si>
  <si>
    <t>DESMONTAJE DE DIFUSOR DE AIRE Y CAJON DE FIBRA PARA BUSCAR GOTERA DE AGUA. AÑO 2022. GOTERA AGENCIA DE INNOVACION</t>
  </si>
  <si>
    <t>SUSTITUCION DE PURGADOR EN SALA DE CALDERA DEL CPM DELICIAS Y REVISION DE FALCOIL Y SUSTITUCION LATIGULLODEL CPM Z. SUR-</t>
  </si>
  <si>
    <t>REPARACIÓN EN INSTALACIÓN ELÉCTRICA EN NAVE PARKING VEHÍCULOS DEL SERVICIO DE LIMPIEZA EN C/ TOPACIO</t>
  </si>
  <si>
    <t>2022 06 3261 22103</t>
  </si>
  <si>
    <t>2022 02 9331 22000</t>
  </si>
  <si>
    <t>ADQUISICIÓN CINCO ALFOMBRILLAS REPOSAMANOS TECLADO ORDENADOR</t>
  </si>
  <si>
    <t>SUMINISTRO PIEDRA DE CAMPASPERO PARA REPARACIÓN PELDAÑO EN CM PUENTE DUERO</t>
  </si>
  <si>
    <t>EMBARCACIONES DEPORTIVAS/ PÓLIZA"":0631770003062 / CHD - 9219||""RIESGO"": VANDUARD D / PERIODO: DE 01-01-22 AL 01-01-23/</t>
  </si>
  <si>
    <t>EMBARCACIONES DEPORTIVAS/ PÓLIZA"":0631770004865/ MATRICULA:En trámite/ RIESGO"": ZODIAC PRO 470 / DEL 01-01-22 A 01-01-23</t>
  </si>
  <si>
    <t>SUMINISTRO PIEZA PARA CARPINTERÍA METÁLICA. RETENEDOR COMPÁS EXTENSIBLE. EIM CASCANUECES. EJECUCIÓN 1 DÍA.</t>
  </si>
  <si>
    <t>CONTRATO DE SUMINISTRO DE 2 LLAVES ELECTRONICAS DE LA ALARMA DE GALERIAS VA</t>
  </si>
  <si>
    <t>MEZZO-PIANO, S.L.</t>
  </si>
  <si>
    <t>Adquisición 15 guitarras clásicas para Taller de Percusión en CIC Santiago López - Aula Intercultural - Plan de Conviv.</t>
  </si>
  <si>
    <t>LLAVE ELECTRÓNICA DE SEGURIDAD CON NUMERACIÓN USUARIO ICQ2 CIC SANTIAGO LÓPEZ</t>
  </si>
  <si>
    <t>LLAVE ALARMA CENTRO MUNICIPAL DE PROTECCION ANIMAL</t>
  </si>
  <si>
    <t>Adjudicación Suministro de material fungible para instalaciones de Alumbrado Público. LOTE 2  SEMEU 28/2021.-</t>
  </si>
  <si>
    <t>CONTRATO MANTENIMIENTO DEL SISTEMA DE SEGURIDAD Y VIDEO-VIGILANCIA DEL CFE ""JACINTO BENAVENTE"", PROG. VALLADOLID CUIDA.</t>
  </si>
  <si>
    <t>AUDITORIA 1º NIVEL - PROY. EUROPEO CIUDADES VERDES ""0485 CIUDADES CENCYL 3 E"" POCTEP INTERREG. ESP-PORTGL (3º JUSTIFIC.)</t>
  </si>
  <si>
    <t>SUSTITUCIÓN DE PIEZAS Y LLAVES DE LOS SISTEMAS DE SEGURIDAD DE LOS COLEGIOS PÚBLICOS.</t>
  </si>
  <si>
    <t>CONTRATO MANTENIMIENTO DE SEGURIDAD Y VIDEO-VIGILANCIA DEL CFE ""JACINTO BENAVENTE"", PROG. PINTURA DECORATIVA.</t>
  </si>
  <si>
    <t>AMPLIACION MTO. Y REPARACION DE EQ. INFORMATICOS DE CPM LA VICTORIA, (1-ENE A 28-FEB). EXPTE. 12/19.</t>
  </si>
  <si>
    <t>CIRCULOS CROMATICOS, 15 UNID. PARA LOS ALUMNOS DEL CURSO DE PINTURA DECORAT. IV DELC. DE F. PARA EL EMPLEO- DURAC  1 DIA</t>
  </si>
  <si>
    <t>REPARACIÓN SISTEMA CLIMATIZACIÓN EN EL ARCHIVO MUNICIPAL</t>
  </si>
  <si>
    <t>CONTRATO DE SUMINISTRO DE MATERIAL DE OFICINA PARA LOS PROGRAMAS MIXTOS DEL CFE JACINTO BENAVENTE 2022.</t>
  </si>
  <si>
    <t>Contrato extintores Servicio de Medio Ambiente</t>
  </si>
  <si>
    <t>PRÓRROGA LOTE 1 SEÑALIZACIÓN VERTICAL ""CONTRATO SEÑALIZACIÓN VIAL EN VALLADOLID"" EXP 11/2018 (PS 1) Enero-Julio 2022</t>
  </si>
  <si>
    <t>REPARACION ACUMULADOR HIDRONEUMÁTICO- CASA CONSISTORIAL</t>
  </si>
  <si>
    <t>MANTENIMIENTO DURANTE 2022 DE LAS CAMARAS EXTERIORES DEL CPM DELICIAS Y HUERTA DEL REY</t>
  </si>
  <si>
    <t>REAJUSTE ANUALIDADES CONTRATO MANTENIMIENTO Y ASISTENCIA TECNICA APLICACION DE CONTABILIDAD ANALITICA (ANUALIDAD 2022)</t>
  </si>
  <si>
    <t>SUMINISTRO DE DIFERENTES EJEMPLARES ///  DESTINO: BIBLIOTECAS PUBLICAS MUNICIPALES</t>
  </si>
  <si>
    <t>mant. inst.proteccion contra incendios C.FORM.EMPLO JAC.BENAV.AÑO 22 (L4:514-L5:255)-AÑO 23Y24 L4</t>
  </si>
  <si>
    <t>JORGE DIEZ MARCOS</t>
  </si>
  <si>
    <t>Compra de pequeños electrodomésticos para los proyectos socioeducativos de los CEAS Rondilla y Ceas Belén Pilarica. 2022</t>
  </si>
  <si>
    <t>IID 4P 40A 30MA A-SI (1 UNIDAD) ///  DESTINO: BIBLIOTECAS PUBLICAS</t>
  </si>
  <si>
    <t>LOTE 6: CONTROL DE PLAGAS, DESINSECTACIÓN EDIFICIOS DEPENDIENTES SERVICIO PARTICIPACIÓN CIUDADANA</t>
  </si>
  <si>
    <t>SISTEMA DE GESTIÓN DE INVENTARIO Y DE CARTOGRAFÍA: INVEN Y e-Map, LOTE 3</t>
  </si>
  <si>
    <t>CONTRATO MANTENIMIENTO DEL SISTEMA DE SEGURIDAD Y VIDEO-VIGILANCIA DEL CFE ""JACINTO BENAVENTE"", PROG. PARQUES Y JARDINES</t>
  </si>
  <si>
    <t>CONTRATO MANTENIMIENTO DEL SISTEMA DE SEGURIDAD Y VIDEO-VIGILANCIA DEL CFE ""JACINTO BENAVENTE"".</t>
  </si>
  <si>
    <t>PANELTECH HP A 1848 33W 4K CELL BLANCO UGR&lt;19 (4) // PARTICIPACIÓN CIUDADANA CC JOSÉ Mª LUELMO</t>
  </si>
  <si>
    <t>SERVICIO DE TELECOMUNICACIONES, LOTE 1</t>
  </si>
  <si>
    <t>2022 03 9241 22200</t>
  </si>
  <si>
    <t>2022 10 2311 22200</t>
  </si>
  <si>
    <t>PRORROGA CONTRATO COMUNICACIONES SERV.INTERVENCION SOCIAL HASTA ADJUDICNUEVO CONTRATO. RESTO CEAS</t>
  </si>
  <si>
    <t>2022 10 2312 22200</t>
  </si>
  <si>
    <t>PRORROGA CONTRATO TELECOMUNICACIONES HASTA ADJUDICACION NUEVO CONTRA- CPM TRANSFERIDOS</t>
  </si>
  <si>
    <t>2022 11 1321 22200</t>
  </si>
  <si>
    <t>CONTRATO TELECOMUNICACIONES LOTE Nº 1 p. 26/2014. P. TRANSITORIO.</t>
  </si>
  <si>
    <t>PRORROGA CONTRATO TELECOMUNICACIONES HASTA ADJUDICACION NUEVO CONTRATO - CPM SIN  TRANSFERIR</t>
  </si>
  <si>
    <t>2022 05 4331 22200</t>
  </si>
  <si>
    <t>Prorroga de Contrato de Telecomunicasiones (SE PC-40/2016) - Ejercicio 2022 -  Agencia de Innovación</t>
  </si>
  <si>
    <t>2022 06 3231 22602</t>
  </si>
  <si>
    <t>ADAPTACION FOLLETO ESCUELAS INFANTILES MUNICIPALES PARA LA ESCOLARIZACIÓN DEL NUEVO CURSO 2022-2023. 1 DÍA.</t>
  </si>
  <si>
    <t>SUMINISTRO Y SUSTITUCIÓN DEL VENTILADOR DEL MOTOR  DE EXTRACCIÓN DE  VIRUTA DEL TALLER DE CARPINTERÍA DEL CMEI</t>
  </si>
  <si>
    <t>FRENCH EXIT / FRITZI: UN CUENTO / HELLO WORLD // TOTAL: 6 // MONASTERIO DE SAN BENITO // MES DE FEBRERO 2022</t>
  </si>
  <si>
    <t>PANELTECH HP A 1848 33W 4K CELL BLANCO UGR&lt;19  (2 UNIDADES) /// DESTINO.: MANTENIMIENTO DE EDIF. E INST. MPALES</t>
  </si>
  <si>
    <t>MNTO CENTRO APRENDIZAJE A LO LARGO DE LA VIDA// MES DE DICIEMBRE 2021</t>
  </si>
  <si>
    <t>2022 09 3341 22699</t>
  </si>
  <si>
    <t>MARIA DEL PILAR GARCÍA AGUADO</t>
  </si>
  <si>
    <t>REALIZACION PLACA VALLADOLID CITY OF FILM UNESCO. FEBRERO 2022</t>
  </si>
  <si>
    <t>MEDINA DE RIOSECO</t>
  </si>
  <si>
    <t>SUMINISTRO DE PEQUEÑO MATERIAL PARA ACTIVIDADES EN CC ESGUEVA</t>
  </si>
  <si>
    <t>2022 06 3232 22200</t>
  </si>
  <si>
    <t>EXPTE P 26/2014. CONTINUIDAD SERVICIOS VINCULADOS CON CONTRATACION SERVICIO DE TELECOMUNICACIONES. PERIODO TRANSFERENCIA</t>
  </si>
  <si>
    <t>PRORROGA CONTRATO COMUNICACIONES SERV.INTERVENCION SOCIAL HASTA ADJUDICACION NUEVO CONTRATO.COMEDOR SOCIAL</t>
  </si>
  <si>
    <t>2022 10 2412 22200</t>
  </si>
  <si>
    <t>PRORROGA CONTRATO TELECOMUNICACIONES  HASTA ADJUDICACION NUEVO CONTRATO PARAEL  C. DE FORMACION PARA EL EMPLEO</t>
  </si>
  <si>
    <t>2022 11 1361 22200</t>
  </si>
  <si>
    <t>Ampliación Expte: 26_2014; Lote 1; Contrato Telecomunicaciones; SEISYPC.</t>
  </si>
  <si>
    <t>AJUSTE PRESUPUESTARIO DEL SERVICIO DE TELECOMUNICACIONES DEL C. DE FORMACION PARA EL EMPLEO DE ENERO A JUNIO DE 2022</t>
  </si>
  <si>
    <t>CARTELES A COLOR PARA PUBLICIDAD PROGRAMAS PARTICIPACIÓN CIUDADANA</t>
  </si>
  <si>
    <t>CARTULINAS EN COLOR ROSA Y LILA DE DIFERENTES TAMAÑOS PARA EL CURSO DE PINTURA DECORATIVA IV, DEL C.F.E - DURACION 1 DIA</t>
  </si>
  <si>
    <t>SUSTITUCION EN 2022 DE LAS UNIDADES HIGIENICAS AZULES EN C/ HOSTIEROS, S/N</t>
  </si>
  <si>
    <t>2022 05 4331 204</t>
  </si>
  <si>
    <t>ALQUILER BATERIA VEHICULO ELECTRICO RENAULT TWIZY, MATRICULA 2499HKJ, PROPIEDAD DEL AYUNTAMIENTO, PARA EL AÑO 2022.</t>
  </si>
  <si>
    <t>ACUERDO MARCO. REPARACIÓN DE VEHÍCULO 6230JKP POLICÍA MUNICIPAL. PLETINA ELEVALUNAS.</t>
  </si>
  <si>
    <t>ACUERDO MARCO. REPARACIÓN DE VEHÍCULO 3706 KGD DE POLICÍA MUNICIPAL // PLETINA SERVICIOS</t>
  </si>
  <si>
    <t>ACUERDO MARCO. REPARACIÓN PALETA DE MANDOS // VEHÍCULO 0649 HHG DE POLICÍA MPAL</t>
  </si>
  <si>
    <t>ACUERDO MARCO. REPARACIÓN MOTOR ACCIONADOR (1) ///  VEHICULO MATRICULA:  7221-DLS /// POLICIA MUNICIPAL</t>
  </si>
  <si>
    <t>BATERIA VEHICULO ELECTRICO JARDINES.</t>
  </si>
  <si>
    <t>ACUERDO MARCO 3/2020,  BATERIA PARA VEHICULO.</t>
  </si>
  <si>
    <t>ACUERDO MARCO 3/2020, BATERIA PARA VEHÍCULO</t>
  </si>
  <si>
    <t>ACUERDO MARCO. REPARACIÓN VEHÍCULO POLICÍA  3706KGD .</t>
  </si>
  <si>
    <t>ACUERDO MARCO. REPARACIÓN  VEHICULO MATRÍCULA: 2169-HCN. POLEA ARBOL LEVAS.</t>
  </si>
  <si>
    <t>Suministro de Llave electrónica -Sstema de alarma en Nave de propiedad Municipal Nº9</t>
  </si>
  <si>
    <t>Contrato/PR: ORONA-B - 486467 ////  PSO JUAN CARLOS I 84 - CEIP NARCISO ALONSO /// MES DICIEMBRE  2021</t>
  </si>
  <si>
    <t>Contrato/PR: ORONA SB + TELEFONIA ( ELEVADOR + MONTACARGAS ) //  EIM LA COMETA / PERIODO: DICIEMBRE 2021</t>
  </si>
  <si>
    <t>Contrato/PR:ORONA SB + TELEFONIA //  ESPACIO JOVEN ZONA SUR - PSO ZORRILLA 101 //  PERIODO: DICIEMBRE DE 2021</t>
  </si>
  <si>
    <t>RODA BASIC 1784 LED 18W CLD CELL L600 // PARTICIPACIÓN CIUDADANA CC ESGUEVA</t>
  </si>
  <si>
    <t>F-776.. GRUPO ELECTRO STOCKS, S.L.MATERIAL DE ELECTRICIDAD. CEAS SUR LA RUBIA. 1 DIA</t>
  </si>
  <si>
    <t>2022 11 3111 214</t>
  </si>
  <si>
    <t>A.M. EXPTE. 23/2020 : VEHICULO 1672DMP // ALTERNADOR (MAT.) / MANO DE OBRA</t>
  </si>
  <si>
    <t>MANT. SUMINISTRO DE MASTER PL-C 26W/840/2P 1CT/5X10BOX  (10 UNIDADES)PARA EL CENTRO OCUPACIONAL-- DUR 1 DIA</t>
  </si>
  <si>
    <t>ADJUDICA DIFUSIÓN DIGITAL BANCO ALCALDÍA SOBRE INVASIÓN UCRANIA (funcionamiento ayuda solidaria al pueblo) EL DÍA VALLAD</t>
  </si>
  <si>
    <t>ADJUDICA RENOVACIÓN SUSCRIPCIÓN ANUAL PERIÓDICO EL DÍA DE VALLADOLID - MEDIOS DE COMUNICACIÓN - AÑO 2022</t>
  </si>
  <si>
    <t>SUMINISTRO DE CAJA 2 MINI CANAL,TECLA INTERRUP., BASE ENCHUFE/ CLAVIJA PARA EL CPM ZUR Y RIO ESGUEVA- DURACION 1 DIA</t>
  </si>
  <si>
    <t>ADJUDICA DIFUSIÓN DIGITAL BANDO ALCALDÍA SOBRE INVASIÓN UCRANIA (funcionamiento ayuda solidaria al pueblo)</t>
  </si>
  <si>
    <t>ACUERDO MARCO 3/2020, TRABAJOS EN CAMIÓN 6747-KLN.</t>
  </si>
  <si>
    <t>AC MARCO EXP SPSC 23/2020: REVISION GRUA FASSI - MATRICULA 2756 LLV // FILTRO RETORNO (MATERIALES) / M.O.</t>
  </si>
  <si>
    <t>ACUERDO MARCO 3/2020, TRABAJOS EN VEHICULO 3856-DDD.</t>
  </si>
  <si>
    <t>F-2119. GRUPO ELECTRO STOCKS, S.L. BASE 5 TOMAS 16A 250V  POT 3600W. CEAS RONDILLA. 1 DIA</t>
  </si>
  <si>
    <t>RENOVACIÓN PÓLIZA COLECTIVOS (ACCIDENTES) SEGUROS HUERTOS URBANOS. AÑO 2022</t>
  </si>
  <si>
    <t>2022 01 9206 224</t>
  </si>
  <si>
    <t>PRIMA DE PÓLIZA DE SEGURO PARA TRASLADO DE DOCUMENTACIÓN DEL ARCHIVO MUNICIPAL, PARA SU DIGITALIZACIÓN. AÑO 2022.</t>
  </si>
  <si>
    <t>2022 02 1501 224</t>
  </si>
  <si>
    <t>ADJ. EXPTE.CONTRATO SEGUROS DE RESPONSABILIDAD CIVIL TECNICOS DEL AREA 1.05 A 31.10.22 Y 1.11.22 A 30.04.23</t>
  </si>
  <si>
    <t>ASISTENCIA TÉCNICA PARA ELABORAR  LA DOCUMENTACIÓN DE LA CONVOCATORIA DE SUBVENCIONES DE LA FUNDACIÓN BIODIVERSIDAD.</t>
  </si>
  <si>
    <t>EXPTE.70/2021. SEGURO RESPONSABILIDAD CIVIL DEL 01/02/2022 AL 31/07/2022. ACUERDO MARCO FEMP. AYUNTAMIENTO VALLADOLID.</t>
  </si>
  <si>
    <t>CONTRATACION MENOR / SERVICIOS / PRIMER TRIMESTRE 2022</t>
  </si>
  <si>
    <t>CONTRATACION MENOR / SUMINISTROS / PRIMER TRIMESTRE 2022</t>
  </si>
  <si>
    <t>CONTRATACION MENOR / OBRAS / PRIMER TRIMESTRE 2022</t>
  </si>
  <si>
    <t>CONTRATACION MENOR / MIXTOS / PRIMR TRIMESTRE 2022</t>
  </si>
  <si>
    <t>CONTRATACION MENOR / OTROS /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</si>
</sst>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vertical="center" wrapText="1"/>
    </xf>
    <xf numFmtId="0" fontId="4" fillId="0" borderId="0" xfId="0" applyFont="1"/>
    <xf numFmtId="4" fontId="4" fillId="0" borderId="6" xfId="0" applyNumberFormat="1" applyFont="1" applyBorder="1" applyAlignment="1">
      <alignment vertical="center" wrapText="1"/>
    </xf>
    <xf numFmtId="14" fontId="4" fillId="0" borderId="0" xfId="0" applyNumberFormat="1" applyFont="1"/>
    <xf numFmtId="4" fontId="4" fillId="0" borderId="0" xfId="0" applyNumberFormat="1" applyFont="1"/>
    <xf numFmtId="0" fontId="4" fillId="0" borderId="7" xfId="0" applyFont="1" applyBorder="1" applyAlignment="1">
      <alignment horizontal="left" vertical="center" wrapText="1"/>
    </xf>
  </cellXfs>
  <cellStyles count="4">
    <cellStyle name="Buena" xfId="1"/>
    <cellStyle name="Normal" xfId="0" builtinId="0"/>
    <cellStyle name="Porcentaje" xfId="3" builtinId="5"/>
    <cellStyle name="Título 1" xfId="2"/>
  </cellStyles>
  <dxfs count="163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48.608775347224" createdVersion="6" refreshedVersion="6" minRefreshableVersion="3" recordCount="2136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20013439"/>
    </cacheField>
    <cacheField name="Fase" numFmtId="49">
      <sharedItems/>
    </cacheField>
    <cacheField name="Fecha" numFmtId="14">
      <sharedItems containsSemiMixedTypes="0" containsNonDate="0" containsDate="1" containsString="0" minDate="2022-01-01T00:00:00" maxDate="2022-04-01T00:00:00"/>
    </cacheField>
    <cacheField name="Referencia" numFmtId="1">
      <sharedItems containsSemiMixedTypes="0" containsString="0" containsNumber="1" containsInteger="1" minValue="22020000735" maxValue="22022003436"/>
    </cacheField>
    <cacheField name="Aplicación" numFmtId="49">
      <sharedItems/>
    </cacheField>
    <cacheField name="Importe" numFmtId="4">
      <sharedItems containsSemiMixedTypes="0" containsString="0" containsNumber="1" minValue="-140000" maxValue="10862800"/>
    </cacheField>
    <cacheField name="Nombre Ter." numFmtId="49">
      <sharedItems count="1953">
        <s v="CLECE SA-ONET IBERIA SOLUCIONES SA (UTE SAD AYUNTAMIENTO DE VALLADOLID. LOTE 1)"/>
        <s v="UTE ELEVADORES PARQUESOL ESTE"/>
        <s v="UTE ELEVADORES PARQUESOL NORTE"/>
        <s v="DORNIER S.A."/>
        <s v="ZARZUELA S.A. - EMPRESA CONSTRUCTORA"/>
        <s v="IBERDROLA CLIENTES S.A.U"/>
        <s v="ILUNION LIMPIEZA Y MEDIO AMBIENTE, S.A."/>
        <s v="ELECTRICIDAD PASCUAL DE DIEGO, S.L."/>
        <s v="PROYECON GALICIA S.A."/>
        <s v="CONSTRUCCIONES Y OBRAS LLORENTE, S.A."/>
        <s v="ACCIONA MEDIO AMBIENTE, S.A."/>
        <s v="CHR EUROPA GESTION Y CONSTRUCCION, SL"/>
        <s v="KAPSCH TRAFFICCOM TRANSPORTATION, S.A."/>
        <s v="SERVICIOS COMIDAS Y ACTIVIDADES SOCIALES, S.L."/>
        <s v="SOCIEDAD ESTATAL CORREOS TELEGRAFOS, S.A"/>
        <s v="CONTRATAS Y OBRAS SAN GREGORIO, S.A."/>
        <s v="EULEN S.A."/>
        <s v="DISCOMTES ENERGÍA, S.L."/>
        <s v="GOMSEGUR, S.L."/>
        <s v="OBRAS PAVIMENTOS E INSTALACIONES INDUSTRIALES"/>
        <s v="SACYR SOCIAL SL"/>
        <s v="FUNDACION INTRAS"/>
        <s v="HARAL 12 SERVICIOS Y OBRAS, S.L."/>
        <s v="GAS NATURAL COMERCIALIZADORA, S.A."/>
        <s v="I G M, INGENIERIA Y GESTION MEDIOAMBIENTAL, S.L."/>
        <s v="CLECE, S.A."/>
        <s v="BUREAU VERITAS INSPECCION Y TESTING, S.L.UNIPERSONAL"/>
        <s v="OESIA NETWORKS S.L."/>
        <s v="CENTRO DE ESTUDIOS DE MATERIALES Y CONTROL DE OBRAS, S.A. (CEMOSA)"/>
        <s v="SCHNEIDER ELECTRIC ESPAÑA, S.A."/>
        <s v="INCIDEC INGENIERÍA Y ARQUITECTURA, S.L."/>
        <s v="FEDERACION DE COLECTIVOS EDUCACION DE ADULTOS"/>
        <s v="URBASER SA"/>
        <s v="IVECO ESPAÑA, S.L."/>
        <s v="GRUPO LINCE ASPRONA S.L."/>
        <s v="1A INGENIEROS,  S.L.P."/>
        <s v="VODAFONE ESPAÑA, S.A.U."/>
        <s v="ARMAISMA, S.L."/>
        <s v="KOALA SOLUCIONES EDUCATIVAS, S.A."/>
        <s v="ENVIRA SOSTENIBLE, S.A."/>
        <s v="AIR CASTILLA, S.L."/>
        <s v="A.C. TRADIBERICA MUSICAS TRADICIONALES"/>
        <s v="API MOVILIDAD, S.A"/>
        <s v="ALPA COPIADORAS, S.L."/>
        <s v="AA.VV. VICENTE ESCUDERO"/>
        <s v="ATOS IT SOLUTIONS AND SERVICES IBERIA S.L."/>
        <s v="UTE ESTE BARRIO"/>
        <s v="ABACO C.E. INFORMATICOS, S.L."/>
        <s v="SOCAMEX, S.A."/>
        <s v="ABONOS EMUPA, S.L.2020"/>
        <s v="ACINSE, S.L."/>
        <s v="ACCEM"/>
        <s v="UTE CTR VALLLADOLID"/>
        <s v="ACQUAJET SEMAE, S.L.U."/>
        <s v="AUDECA S.L.U."/>
        <s v="SERRAL ORGANIZACION Y GESTION DE ARCHIVOS Y BIBLIOTECAS, SL"/>
        <s v="ADARO TECNOLOGIA , S.A"/>
        <s v="ALVIBESA MOTOR, S.L."/>
        <s v="EDEBEI INFANTIL S.L."/>
        <s v="AGENCIA DE NOTICIAS ICAL, S.L"/>
        <s v="AGENCIA EFE, S.A"/>
        <s v="AGILENT TECHNOLOGIES SPAIN, S.L."/>
        <s v="TELEFONICA SOLUCIONES DE INFORMATICA Y COMUNICACIONES DE ESPAÑA S.A.U"/>
        <s v="AGROSELECTA S.A."/>
        <s v="AGRUPACION DE QUIMICOS INDUSTRIALES, S.A."/>
        <s v="AGUAPURA AGUAVIVA, S.L."/>
        <s v="AIG EUROPE SA SUCURSAL EN ESPAÑA"/>
        <s v="AISLAMIENTOS Y REVESTIMIENTOS ARTECOVA, S.L."/>
        <s v="ALACRAN S.L."/>
        <s v="SETEX APARKI, S.A."/>
        <s v="TOYR S.A"/>
        <s v="ALCASA SATURNO S.L."/>
        <s v="ALLENDE ACTIVIDADES DE OCIO Y TIEMPO LIBRE,  S.L."/>
        <s v="ALFE SUMINISTROS A LA CONSTRUCCION E INDUSTRIA"/>
        <s v="ALICIA SANZ RODRIGUEZ"/>
        <s v="ALJOBAR S.L."/>
        <s v="ALMACEN DE RECAMBIOS PAHER, S.A."/>
        <s v="ALMACENES GONZALEZ BOMBIN, SOCIEDAD LIMITADA"/>
        <s v="CABERO EDIFICACIONES, S.A."/>
        <s v="ALONSO VENDING 1995, S.L."/>
        <s v="ALTEN SOLUCIONES,PRODUCTOS,AUDITORIA E INGENIERIA S.A.U"/>
        <s v="HISPAPOST S.A"/>
        <s v="ALTIA CONSULTORES, S.A."/>
        <s v="ALVAREZ Y MATEO ARQUITECTOS, SL"/>
        <s v="ARROYO, S.A."/>
        <s v="AMALIA TORRES  SALGADO"/>
        <s v="AMAQ ELEVACION, S.L."/>
        <s v="AMBAR TELECOMUNICACIONES, S.L."/>
        <s v="GUADALTEL, S.A."/>
        <s v="ANEK S-3, S.L."/>
        <s v="ANGEL JAVIER LINARES ARRANZ"/>
        <s v="ANGÉLICA GAGO  BENITO"/>
        <s v="SAMYL FACILITY SERVICES, S.L."/>
        <s v="ANTALIS IBERIA"/>
        <s v="ELSAMEX GESTIÓN DE INFRAESTRUCTURAS, S.L."/>
        <s v="FACTIBLE S COOP."/>
        <s v="ANTONIO TARAZONA S.L.U."/>
        <s v="ESIMPLA, S.L."/>
        <s v="ARION GRUPO BAS SOFTWARE FACTORY S.L."/>
        <s v="INFOREST MEDIO AMBIENTE, S.L."/>
        <s v="APLICACIONES Y PROYECTOS TIC, S.L."/>
        <s v="ARCAL GESTIÓN DOCUMENTAL, S.A."/>
        <s v="ARECU INVERSIONES, S.L."/>
        <s v="ARGAVALLADOLID, S.L.L."/>
        <s v="ARIAS GARRIDO ARQUITECTOS, S L P"/>
        <s v="ARIDOS GONZAL SL"/>
        <s v="AUTO INYECCION VICENTE, S.A."/>
        <s v="ARKIPOLIS ARQUITECTURA Y URBANISMO, S.L.P."/>
        <s v="U.T.E. SIFU MADRID BROCOLI AVA CENTROS CIVICOS Y MUNICIPALES"/>
        <s v="BILBAO C.A. SEGUROS Y REASEGUROS"/>
        <s v="ASAMBLEA DE COOPERACION POR LA PAZ"/>
        <s v="JCDECAUX ESPAÑA SLU"/>
        <s v="CONNECTIS ICT SERVICES, S.A."/>
        <s v="ASCENSORES ENOR S.L."/>
        <s v="FORMACAL, S.L."/>
        <s v="EULEN SERVICIOS SOCIOSANITARIOS, S.A."/>
        <s v="ARASTI BARCA M.A., S.L."/>
        <s v="IMESAPI, S.A."/>
        <s v="ASCENSORES ZENER GRUPO ARMONIZA, S.L.U."/>
        <s v="BALLESTAS HERNANDEZ VALLADOLID, S.L"/>
        <s v="INSIGNA UNIFORMES, S.L."/>
        <s v="INGENIA SOLUCIONES EN MOVILIDAD, S.L."/>
        <s v="ASELF (ASOCIACION ESPAÑOLA DE LUCHA CONTRA EL FUEGO)"/>
        <s v="ASMAIN, S.L."/>
        <s v="ASOC CULTURAL LA FLOR DE ROMERO"/>
        <s v="ASOCIACION CULTURAL &quot;&quot;PEONZA&quot;&quot;"/>
        <s v="ASOCIACION CULTURAL KINUNA TEATRO Y TERAPIAS ALTERNATIVAS"/>
        <s v="ASOCIACION DEPORTIVA LA VICTORIA CLUB DE FUTBOL"/>
        <s v="ASOCIACION PARA EL DESARROLLO DE LA MUSICOTERAPIA EN VALLADOLID"/>
        <s v="ASOCIACIÓN PARA EL PROGRESO DE LA DIRECCIÓN"/>
        <s v="ASOCIACION PARA ORGANIZACION DE FERIAS Y CERTAMENES DISCOGRAFIC0S"/>
        <s v="ASOCIACIÓN TODO CUENTA"/>
        <s v="ASPAMA CONTROL DE PLAGAS,S.L."/>
        <s v="GREDOS OBRAS Y SERVICIOS, SL"/>
        <s v="CENTRO DE INNOVACIÓN DE SERVICIOS GESTIONADOS AVANZADOS, S.L."/>
        <s v="FACTORÍA, GESTIÓN Y CONSULTORÍA, S.L."/>
        <s v="NEXT MOTORBIKE, SL"/>
        <s v="AURUM REGALOS PUBLICITARIOS,S.L."/>
        <s v="SCIVOLO ROSSO, S.L."/>
        <s v="AVENET IT SL"/>
        <s v="AVILA ASISTENCIA S.L."/>
        <s v="UTE MEJORA RIO PISUERGA"/>
        <s v="AXATON, S.L."/>
        <s v="FCC MEDIO AMBIENTE SA"/>
        <s v="AYTOS SOLUCIONES INFORMATICAS, S.L.U."/>
        <s v="T-SYSTEMS ITC IBERIA S.A."/>
        <s v="TALLERES SERCOIN, S.L."/>
        <s v="AYUDAS TÉCNICAS A LA COOPERACIÓN, S.L."/>
        <s v="BEATRIZ COELLO CAMPOS"/>
        <s v="BECEDAS EQUIPAMENTOS INTEGRALES, S.L."/>
        <s v="BENADOOR, S.L."/>
        <s v="BERZAL BRICOMADERAS, SOCIEDAD LIMITADA"/>
        <s v="BETTINA ALEXANDRA GERTRUD GEISSELMANN"/>
        <s v="BIOLID INDUSTRIAS GRÁFICAS, S.L."/>
        <s v="BIOTRAN GESTION DE RESIDUOS, S.L."/>
        <s v="BJS AUTOMATISMOS,S.L."/>
        <s v="BLAPE RENTA, S.L."/>
        <s v="BOBILLO Y ASOCIADOS ARQUITECTOS S.L."/>
        <s v="BRAVO INDIA SL"/>
        <s v="BSJ MARKETING Y COMUNICACION S.L."/>
        <s v="C.D. ATLETISMO CUATRO CANTONES"/>
        <s v="A.T. MEDTRA, S.L."/>
        <s v="ABASTSPI S.A."/>
        <s v="CADIELSA VALLADOLID, S.L.U."/>
        <s v="ACLAD ASOC DE AYUDA AL DROGODEPENDIENTE"/>
        <s v="ADC TIEMPO LIBRE SL"/>
        <s v="AGORA ESTUDIOS DE MERCADO, S.L."/>
        <s v="ALBA PRIETO VILLARRAGUT"/>
        <s v="ALPHABET ESPAÑA FLEET MANAGEMENT, S.A."/>
        <s v="ALTERNATIVAS ECONÓMICAS, S.C.C.L."/>
        <s v="ANDACAR 2000, S.A."/>
        <s v="CAMIONES DEL PISUERGA, S.A."/>
        <s v="ANKARA CITY TRES, SL"/>
        <s v="ANTON CENTRO ESPECIAL DE EMPLEO, S.L"/>
        <s v="ARCOVET PRODUCTOS VETERINARIOS SL"/>
        <s v="ASTIBOT INGENIERIA INFORMATICA ROBOTICA Y DOMOTICA SL"/>
        <s v="CASTILLA VEHICULOS INDUSTRIALES S.A."/>
        <s v="AVC DIGITAL MEDIA IBERIA, S.L."/>
        <s v="AXEL SPRINGER ESPAÑA, S.A."/>
        <s v="AXIOMA ANALISIS ESTADISTICOS SL"/>
        <s v="CALCULO Y TRATAMIENTO INFORMACION CTI,SA"/>
        <s v="CALEFACCION AUTOMATICA S.L."/>
        <s v="BABEL AG DIGITAL S.L.U."/>
        <s v="BARATZ SERVICIOS DE TELEDOCUMENTACION, S.A."/>
        <s v="BETON CATALAN, S.A."/>
        <s v="BM NEIRA AUDITORES S.L.P."/>
        <s v="CAPITAN QUIMERA S.L."/>
        <s v="CAREN SAU"/>
        <s v="CARLIBUR S.L."/>
        <s v="CARLOS BERNARDO  FERNANDEZ"/>
        <s v="CARRETILLAS MAYOR, S.A."/>
        <s v="COMERCIAL AGRICOLA CASTELLANA,S.L"/>
        <s v="CASA AMBROSIO RODRIGUEZ, S.L."/>
        <s v="CASTELLANA DE TELECOMUNICACIONES, S.L."/>
        <s v="CENTRO DE JARDINERIA VIVEROS GIMENO, S.L."/>
        <s v="CENTRO DE OBSERVACION Y TELEDETECCION ESPACIAL, S.A.U."/>
        <s v="CENTRO ESPAÑOL DE METROLOGIA"/>
        <s v="CENTRO MATERIAL SANITARIO, S.A."/>
        <s v="CERAMICAS SANCHEZ, S L"/>
        <s v="CERTIFICACIÓN Y CONFIANZA CÁMARA, S.L."/>
        <s v="CICLOS CUERVAS, C.B."/>
        <s v="CIRCE PRODUCCIONES TEATRALES, S.L."/>
        <s v="COLEGIO NACIONAL SECRETARIOS, INTERVENTORES Y TESOREROS ADMON. LOCAL"/>
        <s v="COLEGIO OFICIAL VETERINARIOS VALLADOLID"/>
        <s v="COMERCIAL BOIZ, S.A."/>
        <s v="COMERCIAL ULSA S.A."/>
        <s v="COM-PACTO SOLUCIONES Y PROYECTOS, S.L."/>
        <s v="COMPAÑÍA DE REPROGRAFÍA Y SISTEMAS KONI-COPY S.L.L."/>
        <s v="COMPRESORES ACEBES, S.L."/>
        <s v="CRISTAL AUTO VALLADOLID S.L."/>
        <s v="DAITONA MOTOS, S.L."/>
        <s v="DELTACINCO LINEA VERDE S.L."/>
        <s v="CONSTRUCCIONES SANCHEZ ROMERA, S.L."/>
        <s v="CONTENEDORES LA FLECHA, S.L"/>
        <s v="CONTENUR ESPAÑA, S.L."/>
        <s v="COORDINADORA O.N.G.D. CASTILLA Y"/>
        <s v="CRECIMIENTO ENERGÉTICO SL"/>
        <s v="CRESPO COMERCIAL ESPAÑOLA DE PROTECCION, S.L."/>
        <s v="DISTRIBUCIONES AMO, S.A."/>
        <s v="CRISTALERIA ZARATAN, S.L."/>
        <s v="CYDIMA, S.L."/>
        <s v="DANIEL CEJUDO FERNANDEZ"/>
        <s v="DATAINFO CONSULTORES Y ASESORES SL"/>
        <s v="DAVID VILLEGAS RODRÍGUEZ"/>
        <s v="DE DIEGO LOZANO,CB"/>
        <s v="DEANTE CERRAJERIA, S.L."/>
        <s v="DECORACION Y PINTURAS JOSE HERRADOR S.L.U."/>
        <s v="DEREOJO PRODUCCIONES, S.L."/>
        <s v="DIABLA TEATRO"/>
        <s v="DIALOGASEX"/>
        <s v="ZINET MEDIA GLOBAL S.L."/>
        <s v="DIGITAL CARDIG, S.L.L."/>
        <s v="DIGITAL VALLADOLID S.L."/>
        <s v="CAIXABANK S.A."/>
        <s v="CALIDAD DE AMBIENTE, S.L."/>
        <s v="DISTRIBUCION DE PAPEL CASTILLA Y LEON, S.A."/>
        <s v="DISTROMEL, S.A."/>
        <s v="DIVISA INFORMATICA Y TELECOMUNICACIONES, S.A."/>
        <s v="DRAGER SAFETY HISPANIA S.A."/>
        <s v="CALORVENT S.L."/>
        <s v="DREW MARINE SIGNAL &amp; SAFETY SPAIN, S.L."/>
        <s v="DS SMITH RECYCLING SPAIN S.A."/>
        <s v="DUCO PROMOCION EMPRESARIAL,S.L."/>
        <s v="CANYCAT PETS, SL.L"/>
        <s v="EDITORIAL CASTELLANA DE IMPRESIONES S.L."/>
        <s v="ZEPHYR MENSAJEROS, S.L."/>
        <s v="EIFFAGE ENERGIA S.L.U."/>
        <s v="EL ACCESORIO HERRANZ Y VELASCO S.L."/>
        <s v="CLAIRE MARTINE STEWART"/>
        <s v="EL CORTE INGLES, S.A."/>
        <s v="EL MUNDO-UNIDAD EDITORIAL S.A."/>
        <s v="EL NORTE DE CASTILLA, S.A."/>
        <s v="ZANFONA PROYECTOS S.L."/>
        <s v="V-TRES APLICACIONES INDUSTRIALES S.L."/>
        <s v="VIVES Y HERRERO S.L."/>
        <s v="COMUNICACIONES Y OCIO INTERACTIVO, S.L."/>
        <s v="EPTISA SERVICIOS DE INGENIERIA SL"/>
        <s v="ELECNOR SERVICIOS Y PROYECTOS,S.A.U"/>
        <s v="ELECNOR, S.A."/>
        <s v="ELECTROCASTILLA 2000 S.L."/>
        <s v="ELECTRO-INDUX, S.L."/>
        <s v="ELECTROTECNIA CASTILLA Y LEON SL"/>
        <s v="ELITE BAGS"/>
        <s v="CONSORCIO DE MANIPULADO Y SERVICIOS POSTALES SL"/>
        <s v="CONSTRUCCIÓN, ARTE Y RESTAURACIÓN GARSAN, S.L."/>
        <s v="CONSTRUCCIONES RAUL FERNANDEZ ALEGRE SL"/>
        <s v="EMMA GOMEZ  GOMEZ"/>
        <s v="EMPRESA CABRERO, S.A."/>
        <s v="CONTENEDORES CASTRO, S.L."/>
        <s v="ENERGINOBA BATERÍAS Y MANTENIMIENTOS, S.L."/>
        <s v="EXCLUSIVAS MAOR, S.L."/>
        <s v="EYLO MOTOR, S.L."/>
        <s v="ENTREVECINOS SERVICIOS INTEGRALES S. COOP."/>
        <s v="ERNESTO DOMENECH  CENTELLES"/>
        <s v="ESERGUI DISTESER, S.L."/>
        <s v="ESPASA CALPE, S.A."/>
        <s v="ESTELA LLORENTE DEL RIO"/>
        <s v="ESTRELLA RESCO LOPEZ"/>
        <s v="ESTUDIO DE DISEÑO Y ARQUITECTURA WORLD DESIGN, S.L."/>
        <s v="VIVE DISFRUTANDO, S.L.L."/>
        <s v="ESTUDIOS Y CONTROLES BIOLOGICOS, S.L. (BIECON)"/>
        <s v="CUMULUS CITY, S.L."/>
        <s v="DAVID ANDRÉS MORO"/>
        <s v="DISPAL ASTUR SA (SOCIEDAD UNIPERSONAL)"/>
        <s v="VIDRA FOC SA"/>
        <s v="DYNAMYCA SOSTENIBLE SL"/>
        <s v="VEOLIA SERVICIOS LECAM,S.A.U."/>
        <s v="VALLAPAPEL, S.L."/>
        <s v="EUROPEAN GREEN PROTECTION, S.L."/>
        <s v="EVANGELINA VALDESPINO  HERRERO"/>
        <s v="FIRST STOP SOUTHWEST, S.A.U."/>
        <s v="FLUME S.L."/>
        <s v="VALLAOCIO, S.L."/>
        <s v="VACODE, S.A."/>
        <s v="FARAHDIVA, S.L."/>
        <s v="FED.ASOC.PERSONAS SORDAS CASTILLA"/>
        <s v="FERRETERIA ORTIZ VALLADOLID, S.L."/>
        <s v="FLORISTERIA YERBA, COMUNIDAD DE BIENES"/>
        <s v="FLUIDOS INDUST.Y CERRAMIENTOS S.L."/>
        <s v="FORTUNATO GUTIERREZ CEA"/>
        <s v="FORUM SPORT, S.A."/>
        <s v="FRANCISCO J. ARROYO RODRIGUEZ"/>
        <s v="FRANCISCO MENDEZ HERMIDA"/>
        <s v="FRANCISCO SALVADOR PARRAVICINI, S.L.N.E."/>
        <s v="UTE LIMPIEZA DEPENDENCIAS AYUNTAMIENTO DE VALLADOLID"/>
        <s v="ENTIDAD NACIONAL DE ACREDITACION"/>
        <s v="FUND.TUTELAR CASTE-LEONESA PERSONAS DISCAP.INTEL.O DESARROLLO - FUTUDIS"/>
        <s v="FUNDACIÓN EMPRESA-UNIVERSIDAD GALLEGA (FEUGA)"/>
        <s v="URBAN TECHNOLOGY, S.L."/>
        <s v="FUNDACION GENERAL DE LA UNIVERSIDAD VALLADOLID"/>
        <s v="URALA SOLUTIONS, S.L."/>
        <s v="EMCO VIDEO INDUSTRIAL, S.L.U."/>
        <s v="UNIVERSIDAD DE VALLADOLID"/>
        <s v="UNIVERSAL PARTNER, S.L.U."/>
        <s v="UNIFORMES Y VESTUARIO LABORAL, S.L."/>
        <s v="EMPROSOFT S.A."/>
        <s v="TYPUS GRAFICAS Y PUBLICIDAD, S.L.U."/>
        <s v="TRULYESPAÑA, S.L."/>
        <s v="SERVICIOS OSGA, S.L."/>
        <s v="TRESBOLILLO TEATRO &amp; MAPPING"/>
        <s v="TRANSVAPA, S.L."/>
        <s v="TRANSPORTES OLID Y CIA, S.L."/>
        <s v="TRANSDUERO S.L."/>
        <s v="GENERALI  ESPAÑA, S.A. DE SEGUROS Y REASEGUROS"/>
        <s v="TRANSDIESEL, S.L."/>
        <s v="TRADUCTORES E INTERPRETES EURO:TEXT, S.L."/>
        <s v="TOTAL CONTROL BIONIC SL"/>
        <s v="TITANIA COMPAÑIA EDITORIAL, S.L."/>
        <s v="TINTORERIA LUCIMAR, C.B."/>
        <s v="TINLOHI, S.L."/>
        <s v="THE FREAK CABARET CIRCUS, S.L."/>
        <s v="TELEFONICA DE ESPAÑA, S.A.U."/>
        <s v="TEKNOKROMA ANALITICA, S.A."/>
        <s v="TECNOLOGIA INFORMATICA 2000"/>
        <s v="TECNICAS DEL FUEL, S.L."/>
        <s v="EZOS S.L."/>
        <s v="TARGET TECNOLOGIA, S.A."/>
        <s v="TANIA DOMINGUEZ MAESTRO"/>
        <s v="TALLERES GOCA,C.B."/>
        <s v="SYNLAB DIAGNÓSTICOS GLOBALES, S.A."/>
        <s v="SUMINISTROS SEHICA, S.L."/>
        <s v="HERRERO Y NUÑEZ MOTOR, S.L."/>
        <s v="SUMINISTROS JAVIER, S.L."/>
        <s v="SUMINISTROS INDUSTRIALES AZAN, S.A."/>
        <s v="FUNDACION ENTRETANTOS"/>
        <s v="SUMINISTROS GRAFICOS POLGRAF, S.L."/>
        <s v="SRCL CONSENUR, S.L.U."/>
        <s v="SOMHAIRLE WATSON"/>
        <s v="SOLUCIONES METALICAS  CERRINOX, S.L."/>
        <s v="SOLIBRI OY"/>
        <s v="SOCIEDAD MIXTA PARA PROMOCIÓN TURISMO S.L."/>
        <s v="GLOBAL ROSETTA S.L.U."/>
        <s v="IDEOTUR, S.L.L."/>
        <s v="GRUPO ELECTRO STOCKS, S.L."/>
        <s v="SKYNET INFORMATICA SL"/>
        <s v="SISTEMAS Y VEHICULOS DE ALTA TECNOLOGIA, S.A."/>
        <s v="SISTEMAS METÁLICOS Y CURVADOS, S.L."/>
        <s v="SERVIGRAMA INDUSTRIAL PUBLICIDAD S.L."/>
        <s v="SERVICIOS INTEGRALES BERZOSAS XXI S.L."/>
        <s v="MONTAJES ESCENICOS GLOBALES, S.L."/>
        <s v="SERVICIOS DE LIMPIEZA Y SERVICIOS DE ASISTENCIA, S.L.U."/>
        <s v="SERVICIOS DE CONTROL E INSPECCION S.A"/>
        <s v="SERVICIO DE LIMPIEZA DOMESTICA COMODIN, S.L."/>
        <s v="SERMANINT HISPANIA, S.L. (SERVICIOS DE MNTO INTEGRAL)"/>
        <s v="SEICER INGENIERÍA, S.L."/>
        <s v="SEGOPI S.L."/>
        <s v="INCOPE CONSULTORES, S.L"/>
        <s v="SDAD. ESPAÑOLA CARBUROS METALICOS, S.A."/>
        <s v="SCHARLAB, S.L."/>
        <s v="MOI INTERIORISMO Y EQUIPAMIENTO SOCIEDAD LIMITADA"/>
        <s v="PERIS TAMARIT, SL"/>
        <s v="SARA BURGOS PANERO"/>
        <s v="SANZ ROTULOS S.L."/>
        <s v="SANTIAGO CARRILLO GRACIA"/>
        <s v="SANDRA YOLIMA GAMBOA HURTADO"/>
        <s v="SAFETY-KLEEN ESPAÑA, S.A.U."/>
        <s v="SAFETY METHS SEGURIDAD INDUSTRIAL S.L."/>
        <s v="RUDELGRAF, S.L."/>
        <s v="IBECON 2003, S.L."/>
        <s v="RUBEN PEREZ DELGADO"/>
        <s v="RUBEN HERRANZ  VILLACE"/>
        <s v="IBERICA DE SALES S.A."/>
        <s v="RUBEN BORJAS ESCUDERO"/>
        <s v="RQR IMAGEN DE EMPRESA, S.L."/>
        <s v="ROSENBAUER ESPAÑOLA, S.A."/>
        <s v="ROS ROCA, S.A."/>
        <s v="REHABILITACION CONSTRUCCION PROMOCION NUCLEO, S.A."/>
        <s v="INDRA SOLUCIONES TECNOLOGICAS DE LA INFOMACION S.L.U."/>
        <s v="MARIA SONIA SEVILLANO  TEJERA"/>
        <s v="SHS  CONSULTORES S L"/>
        <s v="NEMOKINOS SLU"/>
        <s v="SERVICIOS INTEGRALES DE FINCAS URBANAS DE MADRID"/>
        <s v="REIRES LOZANO CONSTRUCCIONES S.L."/>
        <s v="ESRI ESPAÑA SOLUCIONES GEOESPACIALES, S.L."/>
        <s v="HERMANOS GUTIERREZ MARCOS 1988, S.L."/>
        <s v="STRATEGIA INFINITA, S.L."/>
        <s v="NOVAELEC SISTEMAS, S.L."/>
        <s v="OBRAS HERZACO, S.L."/>
        <s v="INETUM ESPAÑA S.A."/>
        <s v="SISTEMAS INTEGRALES DE CASTILLA Y LEÓN, S.L."/>
        <s v="HUELLAS VET PET, S.L."/>
        <s v="RED ESPAÑOLA DE SERVICIOS, S.A.U."/>
        <s v="IPROGES CONSULTING, S.L."/>
        <s v="INDUSMEC ORTIZ, S.L."/>
        <s v="IMPERIAL DE EXPLOTACIONES HOTELERAS, S.L."/>
        <s v="SISTEMAS DE INFORMACION INTELIGENTES PARA LA GESTION, S.L."/>
        <s v="LOYU 2000 SL"/>
        <s v="JAHOSVA, S.L."/>
        <s v="MARIA JOSE ANDRES  CONDE"/>
        <s v="SCAFO EVENTOS, S.L."/>
        <s v="HARDTRONIC, S.L."/>
        <s v="PARAMOTIONS FILMS, SRL"/>
        <s v="GRUPOGO EDICIONES, S.L."/>
        <s v="EUROPA PRESS DELEGACIONES, S.A."/>
        <s v="FUNDACION ALDABA"/>
        <s v="MUDANZAS JULIAN SAEZ E HIJOS, S L"/>
        <s v="INFO TECHNOLOGY SUPPLY LIMITED"/>
        <s v="INFOPRODUCTS, S.L."/>
        <s v="JESÚS GUTIÉRREZ  SIERRA"/>
        <s v="LA GRANADA CULTURA S.L."/>
        <s v="MIGUEL  SANABRIA MURCIEGO"/>
        <s v="JESUS SUMINISTROS INDUSTRIALES, S.A."/>
        <s v="PROCOMAR VALLADOLID ACOGE PROMOC.COLECT."/>
        <s v="GRUPO SIFU CASTILLA Y LEON SL"/>
        <s v="INSTITUTO CONSTRUCCION DE CASTILLA-LEON"/>
        <s v="INSTITUTO MINUSVALIDO ASTUR S.A.L."/>
        <s v="JOSE CARLOS PUELLES DE LA CAL"/>
        <s v="MARIA LUISA RODRIGUEZ  ALZOLA"/>
        <s v="INVESTIGACION &amp; CONSULTING S.A."/>
        <s v="FERNANDO DONCEL HERRERO"/>
        <s v="MACOSARFER S.L."/>
        <s v="FUNDACIÓN CARTIF"/>
        <s v="IN PULSO MUSICAL SOCIEDAD COOPERATIVA"/>
        <s v="JOSE DANIEL MARTINEZ RUIZ"/>
        <s v="HECTOR SIERRA  OCAÑA"/>
        <s v="EVENTOS CONGRESOS Y COMUNICACION S.L."/>
        <s v="INGENIERIA Y DESARROLLO SOSTENIBLE DEL SIGLO XXI, S.L."/>
        <s v="TOPODUERO, S.L. (TOPOGRAFÍA Y DRONES)"/>
        <s v="PIEDRAS HERNANDO, S.L."/>
        <s v="ISABEL REVILLA  RODRIGUEZ"/>
        <s v="KILLGERM, S.A."/>
        <s v="I-CATALIST, S.L."/>
        <s v="GILSON INTERNACIONAL BV SUCURSAL EN ESPAÑA"/>
        <s v="JOSE MANUEL CIMAS  ORDUÑA"/>
        <s v="DIARIO DE PRENSA DIGITAL, S.L."/>
        <s v="MANUEL SANCHEZ  DEL RIO"/>
        <s v="INDRA SISTEMAS, S.A."/>
        <s v="LABORATORIO DE CALIDAD DE MATERIALES, S.L.L."/>
        <s v="NORTHMATIC INGENIERIA, S.L.U."/>
        <s v="IVAN PEREZ  TOMILLO"/>
        <s v="FERNANDO RINCON CHICHES"/>
        <s v="MARTA MARÍA HERRARTE SANZ"/>
        <s v="PAULEON AUTOMOCION, S.L."/>
        <s v="OPT&amp;AUDIO LUIS E HIJOS SOCIEDAD LIMITADA"/>
        <s v="MARÍA ROSARIO VALLEJO CRESPO"/>
        <s v="MONCOBRA, S.A."/>
        <s v="ISABEL BENITO GARCIA"/>
        <s v="MERCADOS CENTRALES DE ABASTECIMIENTO SA"/>
        <s v="IKEI RESEARCH &amp;CONSULTANCY, S.A."/>
        <s v="GRUPO MANTENIMIENTO E INSTALACIONES GRUMAN, S.L."/>
        <s v="LOMIMAR, S.L."/>
        <s v="KEYCOES COMUNICACION S.L."/>
        <s v="LUBRICANTES LOMAR, S.L.U."/>
        <s v="GABRIEL ALEJANDRO REYES GONZÁLEZ"/>
        <s v="GALERA PUBLICIDAD, S.L."/>
        <s v="GESTION Y ESTUDIOS AMBIENTALES, S. COOP."/>
        <s v="MIGUEL ANGEL JURADO  NARANJO"/>
        <s v="INDUSTRIAS SALUDES, S.A."/>
        <s v="RED PRODUCCIONES, S.L."/>
        <s v="JOSE CARLOS CASTILLO GOMEZ"/>
        <s v="GLAXOSMITHKLINE, S.A."/>
        <s v="GRAFICAS 81 S.L."/>
        <s v="MARIA JOSE LARENA  GOROSTIAGA"/>
        <s v="JOMAR SEGURIDAD, SL"/>
        <s v="GRUPO DE TEATRO MUTIS"/>
        <s v="JOSÉ MARÍA CEBRIÁN RUIZ"/>
        <s v="GLOBAL PROJECTS &amp; SUPPLIES, S.L."/>
        <s v="JOSE GARCIA GONZALEZ"/>
        <s v="RECICLADOS PUCELANOS, S.L.U."/>
        <s v="FUNDACION PARA EL FOMENTO DE LA INNOVACION INDUSTRIAL"/>
        <s v="MARINO DE LA FUENTE, S.A."/>
        <s v="MULTICARTEL, C.B."/>
        <s v="LABORES DE REPARACION Y REFORMA-7 S.L."/>
        <s v="NURIA MONTERO MARCOS"/>
        <s v="FUNDACIÓN PARQUE CIENTÍFICO UNIVERSIDAD DE VALLADOLID"/>
        <s v="HERMANOS VELAZQUEZ GOMEZ, S.L.U."/>
        <s v="INNOCAN SISTEMAS S.L."/>
        <s v="OBRAS HERGON, S.A."/>
        <s v="GEESINK NORBA SPAIN, S.L.U."/>
        <s v="ISELMA 2003, S.L."/>
        <s v="RAYUELA PRODUCCIONES TEATRALES, S.L."/>
        <s v="OXILID S.L."/>
        <s v="JOSE RAMON FERNANDEZ  SUAREZ"/>
        <s v="INSTALACIONES ELECTRICAS 2023 SERVILUX, S.L."/>
        <s v="METAFORA DE COMUNICACION SLL"/>
        <s v="TEIRLOG INGENIERIA SL"/>
        <s v="JUAN ANTONIO HUIDOBRO PIRIZ"/>
        <s v="MARIA FELISA ALONSO ACUÑA"/>
        <s v="HIJO DE CIRIACO SANCHEZ S.L."/>
        <s v="PINTURAS BROCH S.L."/>
        <s v="MANUEL CARDEÑAS BELTRAN"/>
        <s v="IGNACIO BARCELÓ BLANCO-STEGER"/>
        <s v="PLAN CONSULTING ECONOMISTAS S.L.P."/>
        <s v="JOSE ANTONIO RODRIGUEZ SASTRE"/>
        <s v="NEUMATICOS ESGUEVA, S.L."/>
        <s v="ORONA S. COOP."/>
        <s v="INNOVATIVE SOLUTIONS IN CHEMISTRY, S.L."/>
        <s v="MULTIPARK ESPECTACULOS, SOCIEDAD LIMITADA"/>
        <s v="IBERPATENT, S.L."/>
        <s v="M2SENSORS, S.L."/>
        <s v="KALFRISA, S.A.U."/>
        <s v="PLACAS Y ROTULOS INDUSTRIALES, SOCIEDAD LIMITADA"/>
        <s v="MERCEDES PEREDA  RUIZ"/>
        <s v="PABLO MANUEL SALVIEJO DELGADO"/>
        <s v="LIBNOVA, S.L."/>
        <s v="LINEAS Y CABLES S.A."/>
        <s v="LOCUS AVIS S.L."/>
        <s v="MARSDIGITAL, S.L."/>
        <s v="INGENIA SOLUCIONES GRUPO ELECTRICAS HERMANOS CAMPOS, S.L."/>
        <s v="JOSÉ MIGUEL SEBASTIÁN  PASTOR"/>
        <s v="RBA REVISTAS, S.L."/>
        <s v="SUSTEC OUTSOURCING, S.L."/>
        <s v="META 4 SPAIN, S.A."/>
        <s v="OCU EDICIONES, S.A."/>
        <s v="NURIA MARTIN  SANZ"/>
        <s v="EDITORIAL CULTURA ACTIVA S.L."/>
        <s v="MICRONET, S.A."/>
        <s v="MERCK LIFE SCIENCE SLU"/>
        <s v="HEWLETT-PACKARD INTERNATIONAL BANK PLC."/>
        <s v="OFI-SUTEMAN, S.L."/>
        <s v="MOTORPRESS IBERICA, S.A. SOC.UNIPERSONAL"/>
        <s v="NIT LUX, SA"/>
        <s v="FRIHER S.A. (TERCERO ANTIGUO)"/>
        <s v="FRIHER, S.L. (TERCERO NUEVO)"/>
        <s v="OCA INSPECCION CONTROL Y PREVENCION, S.A.U."/>
        <s v="INGENIERIA INTEGRAL DE PROYECTOS ABCONSULTORES S.L."/>
        <s v="MACOGLASS, S.L."/>
        <s v="EDITORIAL TORRE DE PAPEL, S.L."/>
        <s v="FICHERO DE CARGOS ESTIRADO, S.A."/>
        <s v="NEUMATICA HIDRAULICA BECO, S.A."/>
        <s v="PRODUCTOS CALTER,  S.L."/>
        <s v="MATA DIGITAL, S.L."/>
        <s v="ILUSTRE COLEGIO DE ABOGADOS VALLADOLID"/>
        <s v="MANTENIMIENTOS EURO-SARONI, S.L."/>
        <s v="HEARST MAGAZINES, S.L."/>
        <s v="FUNDACION ALONSO QUIJANO"/>
        <s v="PERFECT PROJECT, S.L."/>
        <s v="GESTION DE SERVICIOS INTEGRALES, S.A."/>
        <s v="JAVIER NAVARRO  ORDOÑEZ"/>
        <s v="REVISTA EMPRENDEDORES S.L."/>
        <s v="INTEGRAL DE AUTOMOCION 2000, S.A."/>
        <s v="OMEGA PERIPHERALS, S.L."/>
        <s v="JESUS PUEBLA  SANZ"/>
        <s v="JESUS SILVERIO CAVIA CAMARERO"/>
        <s v="MAQUITER AUTOMOCION, S.L."/>
        <s v="RADIADORES PALACIOS S.A."/>
        <s v="RADIADORES VALLADOLID, S.L."/>
        <s v="MOVICODERS, S.L."/>
        <s v="RECAMBIOS POMAUTO, S L"/>
        <s v="HERMANOS SALGADO DE LA HERA CB"/>
        <s v="ORANGE ESPAGNE SA"/>
        <s v="KACHE DISEÑO GRAFICO, C.B"/>
        <s v="PROTEC SOLANA,S.L."/>
        <s v="REUQAV INGENIEROS S.L."/>
        <s v="REPUESTOS SAENZ S.A."/>
        <s v="LA CANDELA TEATRO Y COMUNIDAD"/>
        <s v="ECOLOGISTAS EN ACCION-CODA"/>
        <s v="TALWAR TECHNOLOGIES, S.L.L."/>
        <s v="JESUS CABRERO  PEREZ"/>
        <s v="LAURA PEREZ BENITO"/>
        <s v="LEADER MEDIA,S.L."/>
        <s v="PUERTAS FAHER S.L.L."/>
        <s v="RECICLAJE DE CONSUMIBLES OFIMÁTICOS IBAIZABAL, S. L."/>
        <s v="KARCHER, S.A."/>
        <s v="FUNDACION MUNICIPAL DE DEPORTES"/>
        <s v="MARIA PILAR  CARBAJO RODRIGUEZ"/>
        <s v="SANE-RIEGO, S.A."/>
        <s v="HYBRID CAR,S.A."/>
        <s v="JUAN CARLOS GOMEZ  POLA"/>
        <s v="RESTAURACIÓN ESTRUCTURAL S.L."/>
        <s v="LUBRIDUERO, S.L."/>
        <s v="GRAU MAQUINARIA I SERVEI INTEGRAL, S.A."/>
        <s v="MARIA DEL ROSARIO JAULAR MARTÍN"/>
        <s v="MARIA RAQUEL ARRANZ VELEZ"/>
        <s v="MARÍA VANESA CALZADA RODRIGUEZ"/>
        <s v="JORGE NEIRA DEL CAMPO"/>
        <s v="NATALIA DIEZ WIRTON"/>
        <s v="PATRIMONIO INTELIGENTE CASTILLA Y LEÓN, S.L."/>
        <s v="REMICA SA"/>
        <s v="OKARINO TRAPISONDA TEATRO TITERES, S.L."/>
        <s v="MAXYMAS SUMINISTROS HOSTELEROS, S.L."/>
        <s v="INDUSTRIAS METALICAS VALLISOLETANAS, S.L."/>
        <s v="PROMOTORA DE EMPRESAS HOTELERAS, S.A."/>
        <s v="GONZÁLEZ HIGUERA E HIJOS, S.L."/>
        <s v="SAGRES S.L."/>
        <s v="OSCARESCALANTE S.L.U."/>
        <s v="MEDIA MARKT VALLADOLID VIDEO-TV-HIFI-ELEKTRO-COMPUTER-FOTO, S.A."/>
        <s v="OSCAR MANUEL DEL AMO  DE ANDRES"/>
        <s v="RENTOKIL INITIAL ESPAÑA, S.A."/>
        <s v="RADHANIL"/>
        <s v="SEIDOR S.A."/>
        <s v="SERINZA SOLUTIONS S.L."/>
        <s v="PILAR SOLA  PIZARRO"/>
        <s v="GESTION SANITARIA CONTROL VETERINARIO, S.L."/>
        <s v="MULTIPRENSA DE CASTILLA Y LEÓN, S.L."/>
        <s v="LIBRERIA OLETUM, SOCIEDAD LIMITADA"/>
        <s v="JAVIER CACHO GOMEZ"/>
        <s v="PAPELERIA DE LA OFICINA, S.L."/>
        <s v="LABORATORIO DE IMPRESIÓN KIROLAB 3D, C.B."/>
        <s v="MORALES Y ABELLA, S.A."/>
        <s v="LA CLAVE SPORT, S.L."/>
        <s v="SERVICIOS MICROINFORMATICA, S.A.  (SEMIC)"/>
        <s v="QUIMICOS LOPEZ ESCUDERO,S.L"/>
        <s v="INGENIERIA DE GESTION INDUSTRIAL, S.L."/>
        <s v="RENTA GRUPO EDITORIAL, S.A."/>
        <s v="REVISTA DE DERECHO URBANISTICO"/>
        <s v="SOLRED S.A."/>
        <s v="JAVIER SACRISTAN PEREZ"/>
        <s v="SM SISTEMAS MEDIOAMBIENTALES S.L."/>
        <s v="MOVIMIENTO CONTRA LA INTOLERANCIA"/>
        <s v="MARTA RUIZ DE VIÑASPRE RIPA"/>
        <s v="MAPFRE VIDA S.A. DE SEGUROS Y REASEGUROS SOBRE LA VIDA HUMANA"/>
        <s v="SUMINISTROS GARCICHAO, S.L."/>
        <s v="IMPRENTA MANOLETE SL"/>
        <s v="SUMINISTROS INDUSTRIALES SYRESA, S.L."/>
        <s v="SUMINISTROS INDUSTRIALES VALLADOLID, S.L."/>
        <s v="PROTEXVALL SOCIEDAD COOPERATIVA"/>
        <s v="TALLERES ELECTROMECANICOS ARFER, S.L."/>
        <s v="TALLERES F. FERNANDEZ, SOCIEDAD LIMITADA"/>
        <s v="PERSIANAS MONJA SC"/>
        <s v="PRODUCCIONES CAVE CANEN S.L."/>
        <s v="LIMPIEZAS ANTON, S.L."/>
        <s v="TECNICA VALLISOLETANA DEL CLIMA, S.L."/>
        <s v="GRUAS Y TRANSPORTES EL MADRILEÑO, S.A."/>
        <s v="TECNICAS DE AHORRO ENERGETICO, S.L."/>
        <s v="MARMOLERA VALLISOLETANA, S.A."/>
        <s v="MAPFRE ESPAÑA, COMPAÑIA DE SEGUROS Y REASEGUROS, S.A."/>
        <s v="MEZZO-PIANO, S.L."/>
        <s v="PABLO  NUÑEZ IZARD"/>
        <s v="SONEPAR IBERICA SPAIN S.A.U."/>
        <s v="SOLUCIONES EMPRESARIALES Y AUDITORIA, S.L."/>
        <s v="OCA-DIDO, S.L."/>
        <s v="GUERRO PAPELERIAS, S.L."/>
        <s v="TEVASEÑAL S.A."/>
        <s v="GIL SOTO, S.L."/>
        <s v="JORGE DIEZ MARCOS"/>
        <s v="TÜV SÜD ATISAE, S.A.U."/>
        <s v="U.T.E. VODAFONE-ONO-AYUNTAMIENTO DE VALLADOLID"/>
        <s v="TATARANA, S.L."/>
        <s v="MARIA DEL PILAR GARCÍA AGUADO"/>
        <s v="GRÁFICAS MALPICA, S.L."/>
        <s v="JESUS MARIA SAN JOSE PEREZ"/>
        <s v="VALLADOLID AUTOMOVIL S.A."/>
        <s v="VEHICULOS CALLEJA, S.L."/>
        <s v="SERVICIOS DE PRENSA COMUNICAPLUS, S.A."/>
        <s v="TRIBUNA CONTENIDOS DIGITALES, S.L."/>
        <s v="VOLQUETES ESCALANTE, S.L"/>
        <s v="WILLIS IBERIA CORREDURIA DE SEGUROS Y REASEGUROS, S.A."/>
        <s v="W.R.BERKLEY EUROPE AG, SUCURSAL EN ESPAÑA"/>
        <s v="ZARDOYA OTIS, S.A."/>
        <s v="ZENIT INGENIERIA Y CONSULTORIA SLP"/>
        <s v="ZURICH INSURANCE PLC SUCURSAL EN ESPAÑA"/>
        <s v="SUMINISTROS CARTAGENA S.L." u="1"/>
        <s v="GRUPO LITERARIO TEATRO TÚ Y YO" u="1"/>
        <s v="ANDRES MARTIN  REBOLLO" u="1"/>
        <s v="DANIEL CASIMIRO RODRIGUEZ RODRIGUEZ" u="1"/>
        <s v="ENRIQUE CUESTA GOM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SPACIO VALLADOLID, S.A.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HIJOS DEL TERCER ACORDE" u="1"/>
        <s v="JESÚS CARLOS  ARRIBAS VILLÁN" u="1"/>
        <s v="INSTITUCION FERIAL CASTILLA-LEON" u="1"/>
        <s v="DAITONA MOTOS, SL" u="1"/>
        <s v="J. FRANCISCO CONTRERAS  SANZ" u="1"/>
        <s v="AIRCOMVA, SLL" u="1"/>
        <s v="ECCOLID,S.L." u="1"/>
        <s v="LUIS MIGUEL AVILA  MARTIN" u="1"/>
        <s v="NATALIA GRANDE RUA" u="1"/>
        <s v="ASOC. CULTURAL CINEMATOGRAFICA&quot;&quot;LA FILA&quot;&quot;" u="1"/>
        <s v="EUROMASTER AUTOMOCION Y SERVICIOS, S.A." u="1"/>
        <s v="ACCIONA CONSTRUCCION S.A." u="1"/>
        <s v="EUROVAL CONTROL,S.A." u="1"/>
        <s v="ANDRES  PEREZ ORTEGA" u="1"/>
        <s v="ECOOLID,S.L." u="1"/>
        <s v="GRUPO V, S.L." u="1"/>
        <s v="SETEX APARKI, S A" u="1"/>
        <s v="ASOC. JUGADORES PATOLOGICOS REHABILITADOS DE VALLADOLID" u="1"/>
        <s v="IRON MOUNTAIN" u="1"/>
        <s v="LUISA DE  LAS MORAS ALAMO" u="1"/>
        <s v="NECLAPAL EQUIPAMIENTOS Y SERVICIOS, S.R.L.L." u="1"/>
        <s v="BAYARD REVISTAS, S.A.U." u="1"/>
        <s v="MARKETARIA, S.L." u="1"/>
        <s v="JUCENA TRABAJOS FORESTALES S.L." u="1"/>
        <s v="BRAMMER IBERIA, S.A." u="1"/>
        <s v="CONGENIA CYL, S.L." u="1"/>
        <s v="ISABEL MARTIN DE LA CRUZ" u="1"/>
        <s v="PLATAFORMA REDOMI" u="1"/>
        <s v="BRICOCEX S.L." u="1"/>
        <s v="INGENIERIA Y SERVICIOS DE EFICIENCIA ENERGÉTICA S.L.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DICIONES LA MESETA, S.L." u="1"/>
        <s v="EZSA SANIDAD AMBIENTAL, S.L." u="1"/>
        <s v="ASOCIACION PROFESIONAL DE TÉCNICOS DE BOMBEROS" u="1"/>
        <s v="AUDIOTEC AISLAMIENTOS ACUSTICOS, S.A." u="1"/>
        <s v="EVANGELINA MARTIN LOZANO" u="1"/>
        <s v="EDUCAINGENIO TECNOLOGIA" u="1"/>
        <s v="TECNICA GOMAR, S.L.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JUAN ANDRES CATALINA MORENO" u="1"/>
        <s v="MANUSA DOOR SYSTEMS SL U" u="1"/>
        <s v="IVAN SORIA ABON" u="1"/>
        <s v="ASOCIACIÓN DE INDUSTRIALES DEL MERCADO DEL VAL" u="1"/>
        <s v="MARCO ANTONIO BLANCO LOBATO" u="1"/>
        <s v="UTE PASEO DEL CAUCE VALLADOLID" u="1"/>
        <s v="MCV,S.A" u="1"/>
        <s v="ER.ASSESSMENT CENTER SL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OLMO MORALES ALBARRÁN" u="1"/>
        <s v="CARLOS  GUTIERREZ MARTIN" u="1"/>
        <s v="PEDRO JOSÉ  MANZANO ORTEGA" u="1"/>
        <s v="ASOCIACION CULTURAL PINCELART.OLID" u="1"/>
        <s v="CONSTRUCCIONES Y OBRAS PUBLICAS CALLE DE LOS FRANCOS, S.L." u="1"/>
        <s v="ARAMARK SERVICIOS DE CATERING S.L." u="1"/>
        <s v="MARIA BEGOÑA DIEZ  NIETO" u="1"/>
        <s v="WAGEN GROUP RETAIL ESPAÑA S.A.U.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IMPLASER 99 S.L.L." u="1"/>
        <s v="SOLIMEF IBERICA S.L." u="1"/>
        <s v="INGENIERÍA ROMÁNICA, S.L." u="1"/>
        <s v="ACTIU BERBEGAL Y FORMAS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WINNERS CARS S.L." u="1"/>
        <s v="BORIS  APARICIO TEJIDO" u="1"/>
        <s v="PAPELERIA SAN FERNANDO SL" u="1"/>
        <s v="FREEAUTONOMOS, S. COOP." u="1"/>
        <s v="AUTOBUSES URBANOS VALLADOLID" u="1"/>
        <s v="ANGEL GUERRA,S.L." u="1"/>
        <s v="JAVIER  MARCHENA ORTEGA" u="1"/>
        <s v="SISTEMAS TECNICOS INTERACTIVOS S.L." u="1"/>
        <s v="GASTROSENSACIONES, SOCIEDAD LIMITADA" u="1"/>
        <s v="ALINER CONSULTORES, S.L." u="1"/>
        <s v="ASOCIACION ATHENEA TEATRO" u="1"/>
        <s v="AURELIO MARTIN  ARAGUZ" u="1"/>
        <s v="DISTRIBUCIONES PROFESIONALES PUERTO, S.L." u="1"/>
        <s v="ASOCIACION CULTURAL AMIGOS DEL PISUERGA" u="1"/>
        <s v="GESTORIA SAN MIGUEL MIERES, S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MUMECA S.A." u="1"/>
        <s v="FUNDACION SIGLO PARA EL TURISMO Y LAS ARTES DE CASTILLA Y LEON" u="1"/>
        <s v="DIEGO GARRIDO ABRIL" u="1"/>
        <s v="ANGEL DIEZ  RIVERA" u="1"/>
        <s v="ALVARO LORENZO CARMONA" u="1"/>
        <s v="MONTAJES LEONESES SL" u="1"/>
        <s v="INSTALAC.CLIMATIZAC.TECNICAS DEL AIRE SL" u="1"/>
        <s v="DESGUACES Y GRUAS CANO, S.L.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JOSE ISIDRO TORRES, S.L." u="1"/>
        <s v="DEL VALLE MUEBLES DE COCINA,S.L" u="1"/>
        <s v="DTS OABE, S.L." u="1"/>
        <s v="GPI  CARPAS Y SERVICIOS S.L." u="1"/>
        <s v="ASOCIACIÓN  AZACAN" u="1"/>
        <s v="MARIA BEGOÑA VELASCO GARCIA" u="1"/>
        <s v="INGERNOVA SOLUCIONES DE INGENIERÍA, S.L." u="1"/>
        <s v="CESPA COMPAÑIA ESPAÑOLA DE SERVICIOS PUBLICOS AUXILIARES, S.A." u="1"/>
        <s v="EURO DRIVER CAR S.L." u="1"/>
        <s v="JUAN CARLOS FERNÁNDEZ LÓPEZ" u="1"/>
        <s v="ZTRAINING INNOVACIÓN CASTILLA Y LEÓN S.L." u="1"/>
        <s v="STRATO, S.L." u="1"/>
        <s v="HIDROBOMBA, S.L.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TELEFÓNICA MÓVILES ESPAÑA, S.A." u="1"/>
        <s v="CESAR LAHOZ SERRANO" u="1"/>
        <s v="ALMA GARCIA REPISO" u="1"/>
        <s v="FECARDE SLU" u="1"/>
        <s v="ALFONSO ARAMBURU PARDO" u="1"/>
        <s v="DANIEL GUTIERREZ  SANZ" u="1"/>
        <s v="AQM LABORATORIOS,S.L" u="1"/>
        <s v="ARPAPE S.L." u="1"/>
        <s v="NUEVAS VENTAJAS,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JADE MUSICAL,S.L." u="1"/>
        <s v="INDUSTRIAL SECURITY PLAN, S.L" u="1"/>
        <s v="PRODUCTOS Y EQUIPOS RESTAURACION S,L" u="1"/>
        <s v="JUAN PEREZ GARCIA" u="1"/>
        <s v="FERNANDO CEBRIAN ARNANZ" u="1"/>
        <s v="PABLO LUIS GARCÍA ZAMORA" u="1"/>
        <s v="ANA BELEN DIEZ DE LA CALLE" u="1"/>
        <s v="UTE TELEFONICA DE ESPAÑA S.A. UNIPERSONAL Y TELEFONICA MOVILES ESPAÑA S.A." u="1"/>
        <s v="CASERTEL COMUNICACIONES, S.L.U." u="1"/>
        <s v="PROYECTOS Y OBRAS EZGONSA S.L." u="1"/>
        <s v="SORIGUÉ  S.A." u="1"/>
        <s v="INSTALACION Y MANTENIMIENTO DE FRIO Y CALOR, S.L." u="1"/>
        <s v="MARGEN LIBROS, S.L." u="1"/>
        <s v="TEATRO DEL AZAR, S.L." u="1"/>
        <s v="FONTCLYMA" u="1"/>
        <s v="VECTIA INGENIERIA" u="1"/>
        <s v="JOSE MARIA ROMERO GUIJO" u="1"/>
        <s v="ROAN MONTAJES INDUSTRIALES" u="1"/>
        <s v="INGENIERÍA DE OBRAS Y SERVICIOS, S.A." u="1"/>
        <s v="CAMARA OFICIAL DE COMERCIO, INDUSTRIA Y SERVICIOS DE VALLADOLID" u="1"/>
        <s v="DAVID GONZALEZ HOLGADO" u="1"/>
        <s v="JUAN ANTONIO IGLESIAS  FIGUEROS" u="1"/>
        <s v="OKODIA S.L.U.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MAP CIVITATIS, S.L." u="1"/>
        <s v="SOLUCIONES TECNICAS INDUSTRIALES Y DE INGENIERIA 2NC S.L." u="1"/>
        <s v="SILICON RADIO, S.L." u="1"/>
        <s v="BLAPE, S.L." u="1"/>
        <s v="CHIQUIOCIO CULTURAL, S.L" u="1"/>
        <s v="INVINET SISTEMAS 2003 SL" u="1"/>
        <s v="NECROPOLIS DE VALLADOLID, S.A." u="1"/>
        <s v="ISAAC PRIETO  CONDE" u="1"/>
        <s v="ALEJANDRA SANZ FERNADEZ-SOTO" u="1"/>
        <s v="NÁUTICA CÁDIZ, S.L." u="1"/>
        <s v="JAVIER IGELMO  HEREDERO" u="1"/>
        <s v="UTE CANTERAC VALLADOLID" u="1"/>
        <s v="TRABAJOS EN HORMIGÓN CASTILLA, S.L." u="1"/>
        <s v="BRONCE 7 ARGALES, S.L." u="1"/>
        <s v="STEFANIA LILIANA CIRLAN" u="1"/>
        <s v="EQUILIBRIO GOGAR, S.L." u="1"/>
        <s v="NUEVO DIARIO DE VALLADOLID, S.A." u="1"/>
        <s v="ARTE DIGITAL 2012 S.L." u="1"/>
        <s v="JESÚS SAN JOSÉ PÉREZ" u="1"/>
        <s v="EXCELLENCE INNOVA CONSULTORIA Y FORMACION, S.L" u="1"/>
        <s v="U.T.E. BROCOLI-SIFU MADRID CENTROS CIVICOS AYUNTAMIENTO DE VALLADOLID" u="1"/>
        <s v="ASOC. ESPAÑOLA DE PARQUES Y JARDINES" u="1"/>
        <s v="GARDEN CENTER CAMPO GRANDE" u="1"/>
        <s v="ALMACENES GONZALEZ BOMBIN,S.L." u="1"/>
        <s v="TECOPY, S.A." u="1"/>
        <s v="GREGORIO HERNANDEZ MARTINEZ" u="1"/>
        <s v="TALLERES ZARATAN MOTOR S.L.L." u="1"/>
        <s v="TEKNOSERVICE S.L." u="1"/>
        <s v="WOENE STUDIO SOCIEDAD LIMITADA" u="1"/>
        <s v="OMBUDS COMPAÑIA DE SEGURIDAD S.A." u="1"/>
        <s v="ALCAÑIZ Y FRESNOS, S.A." u="1"/>
        <s v="EDICIONES CONDE NAST, S.A." u="1"/>
        <s v="FERNANDO MARTINEZ  BERMEJO" u="1"/>
        <s v="ATEGRUS" u="1"/>
        <s v="FONESVALL INSTALACIONES, S.L.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DISTRIBUIDORA CASTELLANA DE ELEMENTOS MANUTENCIÓN, S.L. (DICELMASA)" u="1"/>
        <s v="GRAÑEDA, S.A." u="1"/>
        <s v="EXTREMO BIKE SL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O.C.A. SA Y OPAIN SL UT.E." u="1"/>
        <s v="LUIS ANTONIO  SACRISTAN  GONZALEZ" u="1"/>
        <s v="SUMINISTROS Y TECNOLOGIA PARA EL ALUMINIO S.L." u="1"/>
        <s v="MARÍA CAROLINA MORENO GIVAJA" u="1"/>
        <s v="GRUPO PUROCLOUD, S.L." u="1"/>
        <s v="LUIS FERNANDEZ MIERES, S.L.L." u="1"/>
        <s v="TOLDOLID S.L.U." u="1"/>
        <s v="S.L. RECICLADOS PUCELANOS" u="1"/>
        <s v="MASISPRO HUSO S.L.U." u="1"/>
        <s v="SCIENCE &amp; INNOVATION LINK OFFICE, S.L." u="1"/>
        <s v="GRAFICAS CELARAYN S.A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ESCUELA SUPERIOR DE DISEÑO DE VALLADOLID, S.L." u="1"/>
        <s v="PALMIRA SOLER MONTOLIO" u="1"/>
        <s v="MARGARITA SANCHEZ ROMERO" u="1"/>
        <s v="VOLVO GROUP ESPAÑA S.A." u="1"/>
        <s v="EDUARDO PÉREZ MELÉNDEZ" u="1"/>
        <s v="REANTEL,S.L." u="1"/>
        <s v="NUTRIPLANT Y FARMACAMP, S.L." u="1"/>
        <s v="COLECTIVO FRESAS CON NATA SL" u="1"/>
        <s v="TRAMA COMUNICACION Y DISEÑO S.L." u="1"/>
        <s v="SCHILLER ESPAÑA, S.A.U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LATAFORMAS BER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AUTOCARES INTERBUS, S.L." u="1"/>
        <s v="MELIA HOTELS INSTERNATIONAL, S.A." u="1"/>
        <s v="OLGA RADA SERENO" u="1"/>
        <s v="EDICIONES DEUSTO, S.A" u="1"/>
        <s v="RECAUCHUTADOS ANTONIO NIETO, S.L.U." u="1"/>
        <s v="SERVICIOS Y REPUESTOS JOSE MIGUEL, SA" u="1"/>
        <s v="ANGEL RAPADO LLANOS" u="1"/>
        <s v="MIGUEL ANGEL ALONSO MAESTRO" u="1"/>
        <s v="LEOPOLDO ADIEGO SANZ" u="1"/>
        <s v="SUMINISTROS SUMATEM, S.L.L." u="1"/>
        <s v="MARCO ANTONIO BLANCO  LOBATO" u="1"/>
        <s v="MANPER SUMINISTROS INDUSTRIALES, C.B." u="1"/>
        <s v="ESCID S.L." u="1"/>
        <s v="INSERTA INNOVACION SOCIAL, S.L." u="1"/>
        <s v="DIKINSON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TABERNA OBREGON, S L" u="1"/>
        <s v="EXFOVA-2001, S.L." u="1"/>
        <s v="COTOVERDE OBRAS Y SERVICIOS S.A." u="1"/>
        <s v="3OES LEADING SOFTWARE, SL.L" u="1"/>
        <s v="THINK BRANDED CONTENT, S.L." u="1"/>
        <s v="FUNDACION SPLORA" u="1"/>
        <s v="COMERCIAL RENOIL,S.A." u="1"/>
        <s v="CRUZ ROJA ESPAÑOLA" u="1"/>
        <s v="GREGORIO HERNANDEZ  MARTIN" u="1"/>
        <s v="ASOCIACION MUSICAL YAMPARAMPAN" u="1"/>
        <s v="STEMAB RESTAURACION DOCUMENTAL, S.L." u="1"/>
        <s v="BOWE SYSTEC, S.A." u="1"/>
        <s v="TALLERES Y GRUAS AVILA S.L." u="1"/>
        <s v="SUPERCALOR S.A." u="1"/>
        <s v="MERCK CHEMICALS AND LIFE SCIENCE, S.A.U." u="1"/>
        <s v="GAM NOROESTE,S.L.U." u="1"/>
        <s v="TALLERES MALGON, S.L." u="1"/>
        <s v="ISCAR SOFTWARE DE ARQUITECTURA, S.L." u="1"/>
        <s v="RECACOR SA" u="1"/>
        <s v="LUEL DIGITAL C.B." u="1"/>
        <s v="ISFRAMY SECURITY SL" u="1"/>
        <s v="CBYA AUDITORES DE CUENTAS SLP" u="1"/>
        <s v="ISMAEL J. SANZ  ALMOHALLA" u="1"/>
        <s v="RACCOON PLANET ESP J" u="1"/>
        <s v="GIM GEOMATICS, S.L.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ASA POR EL TEJADO 2013" u="1"/>
        <s v="JOYERÍA RELOJERÍA ZURRO" u="1"/>
        <s v="ELENA TORIBIO  RODRIGUEZ" u="1"/>
        <s v="PUBLICESA XXI, S.L." u="1"/>
        <s v="ALKI-OLID S.L." u="1"/>
        <s v="CLIMATIZACION MARTIN S.L." u="1"/>
        <s v="E. DE HOSTELERÍA Y CLIMATIZACIÓN VALLADOLID, S.L." u="1"/>
        <s v="ENSUMA EMPLEO SOCIAL, S.L." u="1"/>
        <s v="ASOC CASA DE JUVENTUD ALESTE" u="1"/>
        <s v="PLAY GENERATION, SOCIEDAD LIMITADA" u="1"/>
        <s v="MIGUEL ANGEL ZAPATA ZAPATA" u="1"/>
        <s v="INGENIERIA, ESTUDIOS Y PROYECTOS EUROPEOS S.L." u="1"/>
        <s v="FRIHER S.A." u="1"/>
        <s v="U.T.E. PLANTA DE TRATAMIENTO DE VALLADOLID" u="1"/>
        <s v="DIARIO ABC, S.L." u="1"/>
        <s v="RAFAEL IGLESIAS FERNÁNDEZ" u="1"/>
        <s v="PEÑAFIEL COMERDIST, S.L.U." u="1"/>
        <s v="ASOCIACION EL CALABACIN ERRANTE COLECTIVO DE ARTE" u="1"/>
        <s v="MEDICOS DEL MUNDO" u="1"/>
        <s v="JFP TECNIGAS S.L." u="1"/>
        <s v="COLEGIO PERITOS E INGENIEROS TÉCNICOS INDUSTRIALES DE VALLADOLID" u="1"/>
        <s v="COOL AND CHIC ATELIER, S.L." u="1"/>
        <s v="MARIA ROSARIO GONZALEZ MUÑOZ" u="1"/>
        <s v="ABC DOMABRA S.L." u="1"/>
        <s v="LIBRERIA MAXTOR, SOCIEDAD LIMITADA" u="1"/>
        <s v="ANGELA ORTEGA GONZALEZ" u="1"/>
        <s v="MARÍA TERESA VICENTE, S.A." u="1"/>
        <s v="ABONOS EMUPA, S.L." u="1"/>
        <s v="FUNDACION RONDILLA" u="1"/>
        <s v="ASOC ESTARIVEL, DESARROLLO SOCIAL Y ACTIVIDADES EDUCATIVAS" u="1"/>
        <s v="CASTILLA Y LEON RADIO, S.A." u="1"/>
        <s v="AIRE ACONDICIONADO JESUS MARTIN E HIJOS, S.L." u="1"/>
        <s v="DISTRIVET S.L." u="1"/>
        <s v="BEATRIZ MARIA QUINTANA VEGA" u="1"/>
        <s v="PILAR TRIGUEROS  MARTIN" u="1"/>
        <s v="FUNDACION JUAN SOÑADOR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CENTRO DE ESTUDIOS CONSTITUCIONALES" u="1"/>
        <s v="PINTURAS Y SUMINISTROS PINMAHER S.L.L." u="1"/>
        <s v="ELECTROSON CASTILLA S.A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ALEJOP OCIO, S.L.U." u="1"/>
        <s v="ASOC.COMISION CATOLICA ESPAÑOLA MIGRACIO" u="1"/>
        <s v="KISS PUBLICIDAD VALLADOLID 2005, SOCIEDAD LIMITADA UNIPERSONAL" u="1"/>
        <s v="DOORCATS S.L." u="1"/>
        <s v="ESTUDIOS Y CONTROLES BIOLOGICOS, S.L." u="1"/>
        <s v="MALBATEX, S.L.U." u="1"/>
        <s v="EXCLUSIVAS HISPANOLUSAS, S.L." u="1"/>
        <s v="SISTEMAS MATÁLICOS Y CURVADOS, S.L." u="1"/>
        <s v="SYMBIOSIS STRATEGY MANAGEMENT CONSULTING S.L.L." u="1"/>
        <s v="PREFABRICADOS NAVA, S.A." u="1"/>
        <s v="MARIA LOURDES GONZALEZ MORRONDO" u="1"/>
        <s v="TRABAJOS OBRA CIVIL INGENIERIA S.L.L." u="1"/>
        <s v="CLIMATIZACION ALONSO, S.L." u="1"/>
        <s v="CARPET CLEANING CENTRO ESPECIAL DE EMPLEO, SOCIEDAD LIMITADA" u="1"/>
        <s v="OFINNOVA 3D S.L." u="1"/>
        <s v="J.M.B.ALCAÑIZ, S.L." u="1"/>
        <s v="BEATRIZ PONTIJAS  RAMIRO" u="1"/>
        <s v="CENTRO INVESTIGACION ENERGETICO MEDIO AMBIENTE Y TECNOLOGICO" u="1"/>
        <s v="VERSYS EDICIONES TECNICAS, S.L.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ALCOFER LOGÍSTICA, S.L." u="1"/>
        <s v="ASOCIACION POETA BULULU" u="1"/>
        <s v="LAURA ASENSIO GONZALO" u="1"/>
        <s v="CODICE CARTOGRAFIA Y DISEÑO, S.L." u="1"/>
        <s v="FUGOROBA INSTALACIONES Y SERVICIOS, S.L." u="1"/>
        <s v="SILPA LA FAROLA, S.L." u="1"/>
        <s v="OBRAS TABIUR,S.L." u="1"/>
        <s v="NUEVOS CLASTOS, S.L." u="1"/>
        <s v="JUAN CARLOS JIMENO  VELASCO" u="1"/>
        <s v="EL LEÓN DE EL ESPAÑOL PUBLICACIONES, S.A." u="1"/>
        <s v="P.I.B. MEDIOAMBIENTAL S.L." u="1"/>
        <s v="ASOCIACIÓN LECTURA FÁCIL" u="1"/>
        <s v="DEIMOS SPACE S.L.U." u="1"/>
        <s v="NAMEN COLOR, S.L." u="1"/>
        <s v="OSCAR BARAJAS  SÁNCHEZ" u="1"/>
        <s v="PARGROUP VALLADOLID, S.L" u="1"/>
        <s v="OSCAR PEREZ  MEDINA" u="1"/>
        <s v="CIA. DE ASFALTOS DE MAESTU S.A.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MACRODISCO TONY,S.L." u="1"/>
        <s v="BELLA PROPORZIONE, SL" u="1"/>
        <s v="ATHENEA MUSICAL" u="1"/>
        <s v="HERMEX IBERICA S.L." u="1"/>
        <s v="INDUSTRIAS GONZALEZ HNOS, S.A." u="1"/>
        <s v="LAS ALDABAS PREMIUM, SOCIEDAD LIMITADA" u="1"/>
        <s v="SALMA SUMINISTROS INTEGRALES, S.L." u="1"/>
        <s v="ACLAD, ASOCIACION DE AYUDA" u="1"/>
        <s v="MARUQUESA CONSTRUCCIONES Y SERVICIOS,S.L" u="1"/>
        <s v="IÑIGO GARCIA VILLAFRANCA" u="1"/>
        <s v="UTE PARQUE JUAN DE AUSTRIA" u="1"/>
        <s v="FORAMEN S,L." u="1"/>
        <s v="FEDERACIÓN ANDALUCÍA ACOGE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JESUS CARLOS ARRIBAS VILLAN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DATAMARS IBÉRICA, S.L.U." u="1"/>
        <s v="TALLERES F. FERNANDEZ, S.L." u="1"/>
        <s v="GASFAL S.L." u="1"/>
        <s v="IMPRENTA BENLIS, S.L." u="1"/>
        <s v="SISTEMAS DE AUTOMATISMO Y CONTROL, S.A.U." u="1"/>
        <s v="FERROVIAL AGROMAN, S.A." u="1"/>
        <s v="eBOGA SOLUCIONES Y SERVICIOS DE SEGURIDAD INTEGRAL" u="1"/>
        <s v="ANGÉLICA VEINTIMILLA GONZÁLEZ" u="1"/>
        <s v="WILLIS TOWERS WATSON AG SUSCRIPCION SL" u="1"/>
        <s v="CLECE SA-ONET IBERIA SOLUCIONES SA" u="1"/>
        <s v="EQUIPOS Y SERVICIOS OFIMATICOS DE VALLADOLID, S.L." u="1"/>
        <s v="TURBAS MUÑOZ, S.L." u="1"/>
        <s v="LUCIA VILLAR VAQUERO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3MC MACROCOPY S.L." u="1"/>
        <s v="EVENTO ORGANIZACION SERVICIOS PLENOS, S.L" u="1"/>
        <s v="CODISOIL, S.A." u="1"/>
        <s v="CUALTIS, S.L.U." u="1"/>
        <s v="SOLUCIONES EN PINTURA Y RESINAS,S.L." u="1"/>
        <s v="RECAUCHUTADOS CASTILLA, S.A." u="1"/>
        <s v="EIC ESTUDIO DE INGENIERIA CIVIL S.L." u="1"/>
        <s v="MANUEL MONTERO GIL" u="1"/>
        <s v="AUDIOVISUAL ESPAÑOLA 2.000, S.A." u="1"/>
        <s v="FRANCISCO JAVIER PEREZ RODRIGUEZ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JESÚS RODRÍGUEZ  SÁNCHEZ" u="1"/>
        <s v="ÁVORIS RETAIL DIVISION, S.L." u="1"/>
        <s v="VIVESAN RESIDENCIAL PROMOCIONES S.L." u="1"/>
        <s v="Asociacion Musical Cucu Band" u="1"/>
        <s v="IGNACIO RODRIGUEZ, S.A." u="1"/>
        <s v="RDNEST, S.L" u="1"/>
        <s v="ROTUVALL 2009 S.L" u="1"/>
        <s v="DISCOUNT INFORMATICO S.L." u="1"/>
        <s v="BODYTONE INTERNATIONAL SPORT, S.L." u="1"/>
        <s v="TECNOLOGIA PLEXUS S.L" u="1"/>
        <s v="ITURRI S.A." u="1"/>
        <s v="FUNDACION RED INCOLA" u="1"/>
        <s v="RICARDO ALONSO MUÑOZ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OPQ SYSTEMS MAQUINARIA GRAFICA, S.L." u="1"/>
        <s v="CANON ESPAÑA S.A" u="1"/>
        <s v="CRIST-MAR DECORACION, S.L." u="1"/>
        <s v="MRBYTE TECH SOLUTIONS, S.L." u="1"/>
        <s v="LA PARRILLA DE SAN LORENZO, S.A." u="1"/>
        <s v="TECNO VALLADOLID,S.L." u="1"/>
        <s v="HIJOS DE AMBROSIO PELAZ, S.A." u="1"/>
        <s v="IGNACIO GARCIA SEVILLANO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TALLERES ASISTENCIA MECÁNICA BARCELONA, S.L." u="1"/>
        <s v="MIGUEL ANGEL DEL POZO CACERES" u="1"/>
        <s v="JUEGOS KOMPAN, S.A." u="1"/>
        <s v="INMEVA INFRAESTRUCTURAS, S.L." u="1"/>
        <s v="CARTONLIFE SL" u="1"/>
        <s v="FITOSANITARIA REGIONAL CASTELLANO-LEONESA, S.L" u="1"/>
        <s v="MONTAJES ELECTRICOS SARMENTERO SL" u="1"/>
        <s v="INDALO MILENIUM, S.L." u="1"/>
        <s v="GRAÑEDA S.A." u="1"/>
        <s v="CABORNERO BUS,S.L." u="1"/>
        <s v="DANIEL PRIETO REDONDO" u="1"/>
        <s v="DIVACEL,S.L." u="1"/>
        <s v="ARTE &amp; MEMORIA, S.L." u="1"/>
        <s v="CASTELLANA DE AFILADOS, SOCIEDAD LIMITADA" u="1"/>
        <s v="WOLTERS KLUWER ESPAÑA, S.A.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RED ARQUITECTURA E INTERIORISMO S.L." u="1"/>
        <s v="JOSE JAVIER VAZQUEZ  MINGUELA" u="1"/>
        <s v="RECTIFICADOS CARRION, S.A." u="1"/>
        <s v="PLATAFORMA COMERCIAL DE RETAIL S.A.U." u="1"/>
        <s v="IBERDROLA DISTRIBUCION ELECTRICA S.A.U." u="1"/>
        <s v="COMPAS MEDITERRANEO, S.L." u="1"/>
        <s v="RADOSTINA PETEVA RUSINOVA" u="1"/>
        <s v="PARALCAMPO, S.L" u="1"/>
        <s v="SELLADOS Y APLICACIONES INTECNIA, S.L." u="1"/>
        <s v="CARLOS CANAL, S.L." u="1"/>
        <s v="LABORATORIO DR.F.ECHEVARNE ANALISIS SA" u="1"/>
        <s v="UNIFORMES COSTA DEL SOL SL" u="1"/>
        <s v="MOVIMIENTOS, OBRAS PUBLICAS, INDUSTRIALES Y SERVICIOS AGRICOLAS,SL" u="1"/>
        <s v="SIMON MORETON AUDITORES SL" u="1"/>
        <s v="IBER STAND, S.L." u="1"/>
        <s v="CASMANSER SOCIEDAD LIMITADA" u="1"/>
        <s v="CASTELLANA DE IMPRESIÓN, S.L.U." u="1"/>
        <s v="ASOCIACIÓN CULTURAL LA LUZ DE LAS DELICIAS" u="1"/>
        <s v="CIBERGRAF, S.L." u="1"/>
        <s v="Injeccio Amac, S.L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EDITORIAL FUNDAMENTOS" u="1"/>
        <s v="COMERCIAL CUATRO, S.L." u="1"/>
        <s v="HIDRAULICA INDUSTRIAL S.A." u="1"/>
        <s v="MUNDANAL RUIDO TEATRO A.C." u="1"/>
        <s v="ZANHE S.L." u="1"/>
        <s v="MARIA OLIVA CACHAFEIRO  BERNAL" u="1"/>
        <s v="DIARIO AS, S.L." u="1"/>
        <s v="ROCIO DEL PILAR GALVEZ BARACALDO" u="1"/>
        <s v="FRAILE TELECOMUNICACIONES, S.L." u="1"/>
        <s v="NORSOL ELÉCTRICA,S.L." u="1"/>
        <s v="OPEN ENERGY 2012 SL" u="1"/>
        <s v="FUTURO OPTIMISTA, S.L." u="1"/>
        <s v="TELECYL, S.A." u="1"/>
        <s v="GRUAS HOMANSER S.L." u="1"/>
        <s v="GERONTOLOGIA Y AYUDAS TECNICAS S.L." u="1"/>
        <s v="RIRECALMAR, S.L." u="1"/>
        <s v="SIRKUM INGENIEROS SL" u="1"/>
        <s v="EDIGRUP PRODUCCIONES TV, S.A." u="1"/>
        <s v="CERAMICAS SANCHEZ S.L." u="1"/>
        <s v="FRANCISCO JOSÉ VALLÉS MORATINOS" u="1"/>
        <s v="EDEX FUNDACION" u="1"/>
        <s v="CDAD.PROPIETARIOS LA VICTORIA 1" u="1"/>
        <s v="CARLOS ALFONSO SOTO  COBOS" u="1"/>
        <s v="AUDIOVISUAL EXPERIENCE S.L." u="1"/>
        <s v="MARIA NEGRO LUENGO" u="1"/>
        <s v="MARÍA DEL CARMEN PORRAS  LUQUE" u="1"/>
        <s v="ILIONE, S.L." u="1"/>
        <s v="JOSE ANDRES ADAN ALEGRE" u="1"/>
        <s v="GASES Y SOLDADURA DE CASTILLA, S.L." u="1"/>
        <s v="ALPEX DIGITAL, S.L." u="1"/>
        <s v="JULIO GARCIA  FALAGAN" u="1"/>
        <s v="ESFERA OCHO PRODUCCIONES SL" u="1"/>
        <s v="SASEGUR, S.L." u="1"/>
        <s v="BEGOÑA TRILLO  MANZANO" u="1"/>
        <s v="LUIS CARLOS GARCILLAN OTERO" u="1"/>
        <s v="SERVICIOS INFORMATICOS POLIEDRO, S.L." u="1"/>
        <s v="LONGEMADERA, S.L." u="1"/>
        <s v="DIARIO CINCO DIAS SA" u="1"/>
        <s v="PEDRO MONJE BARROS" u="1"/>
        <s v="CLINIMARK, S.L." u="1"/>
        <s v="JAIME LAFUENTE  SEBASTIAN" u="1"/>
        <s v="MARIA  LOBATO DE LAS MORAS" u="1"/>
        <s v="IDATEL NETWORKS, S.L." u="1"/>
        <s v="JOSE ANTONIO FERNANDEZ  LOBATO" u="1"/>
        <s v="CAREN S.A." u="1"/>
        <s v="GRUPO B2 SPORT EQUIPAMIENTOS DEPORTIVOS, S.A." u="1"/>
        <s v="HOTELERA ZENTRAL PARQUE, S.L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FOIMA S.A." u="1"/>
        <s v="PIQL IBERIA" u="1"/>
        <s v="KISS PUBLICIDAD VALLADOLID 2005, S.L.U." u="1"/>
        <s v="HILARIO PRADOS VALLES" u="1"/>
        <s v="FUNDACION INTERMON OXFAM" u="1"/>
        <s v="EL EJIDILLO VIVEROS INTEGRALES S.L." u="1"/>
        <s v="A&amp;M ARTES GRÁFICAS S.L." u="1"/>
        <s v="PLUSMARKA GLOBAL, S.L.U." u="1"/>
        <s v="CASTILLA-LEON INTERNATIONAL MOVERS, SL" u="1"/>
        <s v="AUTOREPARACIONES REYES Y DELGADO, S.L." u="1"/>
        <s v="A. SAORIN MONTAJE DE STAND, S.L." u="1"/>
        <s v="CONSUELO MARTÍN ESTEBAN" u="1"/>
        <s v="DISTRIASVY SOCIEDAD LIMITADA" u="1"/>
        <s v="AGRUPACIÓN VALLISOLETANA DE COMERCIO" u="1"/>
        <s v="AXA SEGUROS GENERALES, S.A. DE SEGUROS Y REASEGUROS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ROPER MADRID S.L." u="1"/>
        <s v="GRUPO PAGINA, S.L." u="1"/>
        <s v="DIGIAMBLES,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IMPRESOS ANGELMA S.A." u="1"/>
        <s v="CERCAOLID, S.L." u="1"/>
        <s v="FERROVIAL CONSTRUCCION SA" u="1"/>
        <s v="PACO GARCIA PRENDAS Y ARTICULOS DE UNIFORMIDAD, S.A." u="1"/>
        <s v="SARAH JANE MC LAUGHLIN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AC CAMERFIRMA,S.A" u="1"/>
        <s v="JUAN ANTONIO MARIGIL MORENO" u="1"/>
        <s v="TECSIDEL, S,A" u="1"/>
        <s v="TRAZADOS VIALES, S.L." u="1"/>
        <s v="FUNDACION OBRA SOCIAL DE CASTILLA Y LEON (FUNDOS)" u="1"/>
        <s v="JOSE ALBERTO SANZ LOPEZ" u="1"/>
        <s v="LAURA GARCIA SERRANO" u="1"/>
        <s v="CARLOS HERRERO PEREZ" u="1"/>
        <s v="DIANA SANCHIS LOBATO" u="1"/>
        <s v="GRUPO SCORPIO, S.L." u="1"/>
        <s v="PEDRO DEL BOSQUE  ABRIL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NA  HERNANGOMEZ DE PEDRO" u="1"/>
        <s v="ANTONIO RODRIGUEZ ILUMINACIÓN Y SONIDO, S.L." u="1"/>
        <s v="VIAJES HALCON, S.A.U." u="1"/>
        <s v="CRONORENT, S.L." u="1"/>
        <s v="SEMIC S.A." u="1"/>
        <s v="INCIPRESA, S.A." u="1"/>
        <s v="EUROFINS MEGALAB SA" u="1"/>
        <s v="ASOCIACIÓN LATROVADORA" u="1"/>
        <s v="ELSA MARIA CALVO TUTOR" u="1"/>
        <s v="EUROBOOK L.IDIOMAS S.L.A" u="1"/>
        <s v="MANTENIMIENTOS ELÉCTRICOS Y SOLARES, S.L." u="1"/>
        <s v="CARGRAF  ARTES GRAFICAS, S.L." u="1"/>
        <s v="I-DE REDES ELECTRICAS INTELIGENTES S.A." u="1"/>
        <s v="CASTILLA Y LEON SERVICIOS INTEGRALES DE COMUNICACION, S.L." u="1"/>
        <s v="HEGARDT, S.L." u="1"/>
        <s v="ARIAS GARRIDO ARQUITECTOS, S.L.P." u="1"/>
        <s v="MIL TRES CIENTOS MILIGRAMOS, S.L." u="1"/>
        <s v="HORMIGONES ZARZUELA, S.L." u="1"/>
        <s v="IMPÚLSAME, CONSULTORÍA Y ESTRATEGIA S.L." u="1"/>
        <s v="AVIVA OBRAS INTEGRALES S.L." u="1"/>
        <s v="ASOCIACION PARA LA DEFENSA DEL PATRIMONIO INDUSTRIAL TICCIH - ESPAÑA" u="1"/>
        <s v="DAVID TUTOR DE LA IGLESIA" u="1"/>
        <s v="CUBIERTAS Y MONTAJES P. FERRERAS, SL" u="1"/>
        <s v="INGEOLID PROYECTOS S.L." u="1"/>
        <s v="SYNLAB DIAGNÓSTICOS GLOGALES, S.A." u="1"/>
        <s v="ASOCIACION &quot;&quot;PERICO Y KINO-PAYASOS&quot;&quot;" u="1"/>
        <s v="RECICLAJES ROMAIZ, S.L." u="1"/>
        <s v="FUNDACION MUNICIPAL DE CULTURA" u="1"/>
        <s v="ASOCIACIÓN CULTURAL MUSICAL KORAI" u="1"/>
        <s v="SUREVA, S.A." u="1"/>
        <s v="ODÓN GARCÍA PRIMO" u="1"/>
        <s v="MARIA ISABEL SAN MIGUEL MUÑOZ" u="1"/>
        <s v="REPARACIONES TÉCNICAS DE CONTENEDORES, S.L." u="1"/>
        <s v="JOSMAR SUMINISTROS, S.L." u="1"/>
        <s v="SERVIOLID 2001, S.L." u="1"/>
        <s v="ASOCIACIÓN LUCIÉRNAGAS TEATRO" u="1"/>
        <s v="HISPAMAST, S.L." u="1"/>
        <s v="LUIS GONZALO SANCHEZ ROBLEDO" u="1"/>
        <s v="FIRMAPROFESIONAL,S.A.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REPSOL BUTANO, S.A." u="1"/>
        <s v="ASE-PSIKE, S.L." u="1"/>
        <s v="TECHFRIENDLY SL" u="1"/>
        <s v="CRISANTO VEGA  CALLEJA" u="1"/>
        <s v="PLENA INCLUSION CASTILLA Y LEON" u="1"/>
        <s v="CAROLINA NIETO RODRIGUEZ" u="1"/>
        <s v="ANGEL RODRIGUEZ  SAN JOSÉ" u="1"/>
        <s v="PRISA BRAND SOLUTIONS S.L." u="1"/>
        <s v="ENRIQUE ÁLVAREZ SÁNCHEZ" u="1"/>
        <s v="CULTURA &amp; COMUNICACION SERVICIOS ESPECIALIZADOS DE COMUNICACION, S.L." u="1"/>
        <s v="LAS CHAMANAS" u="1"/>
        <s v="MANUEL RAMOS MUÑIZ" u="1"/>
        <s v="PROMOCION Y GESTION EDUCATIVO SOCIAL,SL." u="1"/>
        <s v="MIGUEL LOPEZ JEREZ" u="1"/>
        <s v="ADECCO FORMACION SA" u="1"/>
        <s v="TELLOCARDENALURRUCHI, ARQUITECTURA Y DISEÑO, S.L.P." u="1"/>
        <s v="LEICA GEOSYSTEMS,S.L" u="1"/>
        <s v="MAQUINA TEATRAL TELONCILLO, S.L." u="1"/>
        <s v="LAND ART STUDIO 2002, S.L." u="1"/>
        <s v="TATO IMPERMEABILIZACIONES, S.L." u="1"/>
        <s v="BABEL AG DIGITAL SLU" u="1"/>
        <s v="CMD SALUD CALIDAD INTEGRAL S.L." u="1"/>
        <s v="ZOYA BORISOVA IVOVA" u="1"/>
        <s v="IMASDEAS INNOVACION CULTURAL Y DESARROLLO TURISTICO S.L." u="1"/>
        <s v="TECNICAS REUNIDAS DE ARTES GRAFICAS S.L." u="1"/>
        <s v="OUTSIDE COMUNICACION INTEGRAL S,L" u="1"/>
        <s v="TECNICAS DE CONTROL, PREVENCION Y GESTION AMBIENTAL, S.L (GEPRECON, S.L.)" u="1"/>
        <s v="JUAN MANUEL PEREZ PEREZ" u="1"/>
        <s v="ACTION SERVICE PLEITE VIEDMA S.L." u="1"/>
        <s v="CENTRO ORTOPEDICO PEREZ GALDOS, S R L" u="1"/>
        <s v="FRANCISCO JAVIER RODRIGUEZ CONDE" u="1"/>
        <s v="CONSERVACION Y RESTAURACION MENESES Y GOMEZ S.L." u="1"/>
        <s v="SOLUCIONES INTEGRALES VALIDAS, S.L. (SOINVA)" u="1"/>
        <s v="LUIS FERNANDO REGUERA" u="1"/>
        <s v="ENGRANAJES CASTILLA S.L." u="1"/>
        <s v="GRUPO UNDANET S.L." u="1"/>
        <s v="CALORTER, S.L." u="1"/>
        <s v="ECOVISC PROTECCION TEXTIL SOSTENIBLE S.L." u="1"/>
        <s v="ARQUITECTOS RODRÍGUEZ MARTÍN S.L." u="1"/>
        <s v="INDUSTRIAS R.SOTO C.B." u="1"/>
        <s v="GRUPO CULTURAL TIEMPO LIBRE STO.TORIBIO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MARTINEZ CURIEL SL" u="1"/>
        <s v="LUIS TEÓFILO CARRERAS LOYAR" u="1"/>
        <s v="PUBLIGER IGLESIAS Y NAVARRO, S.L." u="1"/>
        <s v="21 MERMIT, S.A." u="1"/>
        <s v="PREVENSAL INGENIEROS, S.L." u="1"/>
        <s v="ESMERALDA MARUGAN GARCÍA" u="1"/>
        <s v="ARQUITECTURA E INGENIERIA IMAE, S.L." u="1"/>
        <s v="DELTA PRODUCCIONES S.L." u="1"/>
        <s v="HIJO DE CIRIACO SANCHEZ S.A." u="1"/>
        <s v="IMPRENTA M. SANDONIS, S.L." u="1"/>
        <s v="JOSE MIGUEL SANCHEZ PIQUERO" u="1"/>
        <s v="PLASTIC HOME, S.L.L." u="1"/>
        <s v="MARS DIGITAL, S.L." u="1"/>
        <s v="ASOCIACION CULTURAL DANZ@BIERTA Y AMIGOS. VALLADOLID" u="1"/>
        <s v="PILAR BORREGO MALMIERCA" u="1"/>
        <s v="VALTECSA" u="1"/>
        <s v="SERESCO S.A." u="1"/>
        <s v="CVC DESINFECCION CASTILLA Y LEON, S.L" u="1"/>
        <s v="DUOMO REGALOS, S.L." u="1"/>
        <s v="CENTRO DE FORMACIÓN RONDA DEL SUR S.L." u="1"/>
        <s v="SAN CRISTOBAL ENCUADERNACIONES S.A." u="1"/>
        <s v="FAUSTINO GONZALEZ E HIJOS, S.L." u="1"/>
        <s v="FLORISTERÍA YERBA, C.B." u="1"/>
        <s v="ILUMINACIONES XIMENEZ, S.A." u="1"/>
        <s v="MEDELAND EVENTS S.L." u="1"/>
        <s v="HUNE RENTAL, S.L." u="1"/>
        <s v="TUKAN SOMOS IMPRESORES S.L.L" u="1"/>
        <s v="SOCEVALL HERMANOS VALLES, S.L." u="1"/>
        <s v="TEMA INGENIERIA, S.L." u="1"/>
        <s v="ASOCIACION CULTURAL ARTESANO DE INSTRUMENTOS MUSICALES" u="1"/>
        <s v="RAINBOWWEAR, S.L." u="1"/>
        <s v="DAYTONA MOTOS,S.L." u="1"/>
        <s v="PAVIMENTOS TORDESILLAS, S.L." u="1"/>
        <s v="SOLAGUA S.L." u="1"/>
        <s v="ASCENSORES TRESA, S.A." u="1"/>
        <s v="SEMCAL, S.A." u="1"/>
        <s v="MARIGE PARQUES Y SERVICIOS, S.L." u="1"/>
        <s v="FERNANDO(VESTYPRO) RINCON CHICHES" u="1"/>
        <s v="SUSANA PÉREZ HERNÁNDEZ" u="1"/>
        <s v="ASOCIACION HERRERA TEATRO" u="1"/>
        <s v="VERSATIL SERVIZOS EDITORIAIS S.L.U." u="1"/>
        <s v="SCHINDLER, S.A." u="1"/>
        <s v="SOFTWARE AG ESPAÑA, S.A." u="1"/>
        <s v="BEATRIZ MAJO TOME" u="1"/>
        <s v="WOENE STUDIO,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EDICIONES EL PAIS, S.L." u="1"/>
        <s v="CENTROLID, S.A." u="1"/>
        <s v="FRANCISCO JAVIER BARBERO IGLESIAS" u="1"/>
        <s v="UNIPREX,S.A.U." u="1"/>
        <s v="PEGAMO PISUERGA, S.L." u="1"/>
        <s v="COMERCIAL DANIEL SASTRE, S.L." u="1"/>
        <s v="ROYAL CLEAN, S.L." u="1"/>
        <s v="VIAJES EL CORTE INGLES" u="1"/>
        <s v="CENTRO DE ESTUDIOS DE MATERIALES Y CONTROL DE OBRAS, S.A." u="1"/>
        <s v="ELISEO SACRISTAN NIELFA" u="1"/>
        <s v="ENCLAVE FORMACIÓN, S.L.U." u="1"/>
        <s v="ISABEL IMELDA GONZALEZ GUTIERREZ" u="1"/>
        <s v="AMILCAR CUBIERTAS Y PIZARRAS S.A." u="1"/>
        <s v="FRAILE TELECOMUNICACIONES, S L." u="1"/>
        <s v="J·JIMENO, S.A." u="1"/>
        <s v="OFFICE DEPOT, S.L." u="1"/>
        <s v="ALFONSO CORRAL  BERMEJO" u="1"/>
        <s v="MARIO CORREA PARDO" u="1"/>
        <s v="CHIQUIOCIO CULTURAL, S L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RECAMBIOS POMAUTO,S.L." u="1"/>
        <s v="MARIA VICTORIA VARONA GARROSA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KOMBU DATA SERVICES S.L.U." u="1"/>
        <s v="PATRICIA  GARCIA  BERRUGUETE" u="1"/>
        <s v="INTERCREATIVA COMUNICACION S.L." u="1"/>
        <s v="FERRETERIA SANTIAGO RODRIGUEZ S.L." u="1"/>
        <s v="INDUSTRIAS TECNIPOL RENEDO,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OTOS DE IMPORTACIÓN, S.L." u="1"/>
        <s v="MUNDO INFORMÁTICO VALLADOLID, S.L." u="1"/>
        <s v="ADD4U SOLUCIONES PARA GESTION Y DESAROLLO SL" u="1"/>
        <s v="SERVICIOS TURISTICOS DE VALLADOLID SLU" u="1"/>
        <s v="EDUARDO DAROCA BELLO" u="1"/>
        <s v="TEODOSIO RODRIGUEZ  GONZALEZ" u="1"/>
        <s v="JUAN GONZALEZ ROMERA" u="1"/>
        <s v="WATSON SOMHAIRLE" u="1"/>
        <s v="CORAL HERRERA GOMEZ" u="1"/>
        <s v="DHITELFON S.L." u="1"/>
        <s v="NO TE RINDAS, S.L." u="1"/>
        <s v="NORENDE S.L.U." u="1"/>
        <s v="QUIMICA IINDUSTRIAL MEDITERRANEA, S.L.U" u="1"/>
        <s v="SERVICIOS TECNICOS LIM.MIGUEL ARIAS S.L." u="1"/>
        <s v="MONICA ALARIO GAVILÁN" u="1"/>
        <s v="CARLOS MARTIN NIETO" u="1"/>
        <s v="EUROPAC RECICLA, S.A.U." u="1"/>
        <s v="FOMENTO DE CONSTRUCCIONES Y CONTRATAS, S.A." u="1"/>
        <s v="SERGIO NICOLAS CASTRO  MARTINEZ" u="1"/>
        <s v="FERROINDUSTRIAS YUSTOS S.L" u="1"/>
        <s v="SUITE 22 SL" u="1"/>
        <s v="ESGUEVA REFORMAS PINTURA Y CONSTRUCCION, S.L." u="1"/>
        <s v="ASOCIACIÓN CULTURAL GENEXT. ES" u="1"/>
        <s v="RADIO POPULAR S.A.-COPE" u="1"/>
        <s v="ESTUDIOS Y SISTEMAS ENERGETICOS RENOVABLES S.L." u="1"/>
        <s v="LAERDAL MEDICAL  AS" u="1"/>
        <s v="ALVARO SANCHA CARMONA" u="1"/>
        <s v="GRUPO EMPRESARIAL DAALPA, S.L." u="1"/>
        <s v="BICICLETAS CARRIL BICI 2012 S.L." u="1"/>
        <s v="HUIDOBRO DE GASOLEOS, S.L." u="1"/>
        <s v="MIL TRESCIENTOS GRAMOS, S.L." u="1"/>
        <s v="OSCAR IVAN DIEZ DEL OLMO" u="1"/>
        <s v="PALOMA FERNANDEZ BENITO" u="1"/>
        <s v="NAUTILUS OCEÁNICA S.L." u="1"/>
        <s v="GRUPO SOCIO CULTURAL TEATRO LORCA" u="1"/>
        <s v="PLAY 360 EQUIPAMIENTOS URBANOS, S.L." u="1"/>
        <s v="CONSULTING CASTILLA 21, S.L." u="1"/>
        <s v="INICIATIVAS-CSE S.COOP.MAD." u="1"/>
        <s v="SOCIEDAD GENERAL DE AUTORES Y EDITORES" u="1"/>
        <s v="DAVID BELTRÁN PEROTE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A HOLDING Y HÁBITAT, ECOLOGÍA Y RESTAURACIÓN AMBIENTAL, S.L." u="1"/>
        <s v="HERMANOS A.C. C.B." u="1"/>
        <s v="JUAN FELIPE CARRASCO  CUENCA" u="1"/>
        <s v="MONTAJES PEREZ NIETO CB" u="1"/>
        <s v="ELOY DELGADO LOPEZ" u="1"/>
        <s v="FRANYAL, S.L." u="1"/>
        <s v="ELECTRICIDAD RINCON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SOLYVEN INGENIERIA, S.L." u="1"/>
        <s v="CARLOS BURGOS  DIEZ" u="1"/>
        <s v="PEDRO DEL OLMO MARTIN" u="1"/>
        <s v="RICARDO FERNANDEZ  HERNANDO" u="1"/>
        <s v="ASOCIACIÓN DE PROFESIONALES DE LA DANZA, CYL" u="1"/>
        <s v="PROMOCION EDUCATIVA SDAD. COOPERATIVA" u="1"/>
        <s v="VICTOR ANTON TOBAL" u="1"/>
        <s v="AGC AUTORENTING, S.L." u="1"/>
        <s v="INFORMATICA IMAZ &amp; MATE S.L." u="1"/>
        <s v="PAPELES Y PLASTICOS S.L." u="1"/>
        <s v="VICUÑA HERRAMIENTAS TECNICAS, S.L.U." u="1"/>
        <s v="CEPILLOS GUILLEM, S.L." u="1"/>
        <s v="MARCOS PASTOR  ALLUE" u="1"/>
        <s v="FEDERACIONI TAURINA DE VALLADOLID" u="1"/>
        <s v="IMAGINA FUTURA ARTE VISUAL, S.L." u="1"/>
        <s v="CAMINO GOMEZ S.L." u="1"/>
        <s v="SULO IBÉRICA ,S.A." u="1"/>
        <s v="RODRIGO MACON  CHICO" u="1"/>
        <s v="LA FLECHA MOTOR, S.L." u="1"/>
        <s v="FUNDACION DEMOCRACIA Y GOBIERNO LOCAL" u="1"/>
        <s v="ACRE, S.L." u="1"/>
        <s v="EDICIONES DESNIVEL, S.L." u="1"/>
        <s v="SEÑALIZACIÓN Y CONSERVACIÓN CASTILLA, S.L.U.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UTE HARAL 12 Servicios y Obras, S.L.Const.Prieto Sierra S.A." u="1"/>
        <s v="PRIA, S.A.U." u="1"/>
        <s v="FORMACION Y  TECNOLOGIA EDUCATIVA EN CASTILLA Y LEON, S.L." u="1"/>
        <s v="CASA COLEGIO MAYOR MENENDEZ PELAYO PROVINCIA DE ESPAÑA" u="1"/>
        <s v="PROLISER S.L." u="1"/>
        <s v="ELSAMEX, S.A." u="1"/>
        <s v="JAVIER CARTON GONZALEZ" u="1"/>
        <s v="TRADESEGUR, S.A." u="1"/>
        <s v="GRUPO INNOVANDO SERVICIOS JURIDICOS, SLP" u="1"/>
        <s v="YOLANDA DOMINGUEZ MAGDALENO" u="1"/>
        <s v="CIENCIA E INGENIERIA ECONOMICA Y SOCIAL, S.L." u="1"/>
        <s v="UTE CDIT" u="1"/>
        <s v="ACOVALL ACOMETIDAS Y SANEAMIENTOS DE VALLADOLID S.L." u="1"/>
        <s v="OSCAR MANUEL DEL DEL AMO  DE ANDRES" u="1"/>
        <s v="MARTA MARÍA HERRETE SANZ" u="1"/>
        <s v="INEDET CASTILLA Y LEON SL" u="1"/>
        <s v="EQUIPOS DE PROTECCION LABORAL S.L." u="1"/>
        <s v="WURTH ESPAÑA, S.A." u="1"/>
        <s v="CRISTALERIA ZARATAN,S.L" u="1"/>
        <s v="CARROCERIAS Y GRUAS M. TORRE S.L.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REPROGRAFICAS OFTECO S.A." u="1"/>
        <s v="ASOC CULTURAL HISTORICA TORRE DEL HOMENAJE" u="1"/>
        <s v="ASOCIACION CULTURAL EXDEPA" u="1"/>
        <s v="INSTOP CATALUNYA SLU" u="1"/>
        <s v="LUBERR,S.L" u="1"/>
        <s v="MARIA LOBATO DE LAS MORAS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NEZTA, CONSTRUCCIONES Y SERVICIOS, S.L." u="1"/>
        <s v="CONYTRAIR,S.L." u="1"/>
        <s v="JESÚS CARLOS ARRIBAS VILLÁN" u="1"/>
        <s v="PLASTIC-OMNIUM SISTEMAS URBANOS" u="1"/>
        <s v="PUERTAS METÁLICAS SÁNCHEZ, S.L." u="1"/>
        <s v="PINTURAS ANTRUEJO, S.A." u="1"/>
        <s v="ALVAROMAN REGALOS PUBLICITARIOS, S.L." u="1"/>
        <s v="ISABEL URGELLÉS SARDÓN" u="1"/>
        <s v="AGOSA ELECTRICIDAD TELECOMUNICACIONES,  S.A" u="1"/>
        <s v="CARPAS ZARAGOZA S L" u="1"/>
        <s v="VICENTE QUERO  PARDO" u="1"/>
        <s v="TINSA Tasaciones Inmobiliarias SAU" u="1"/>
        <s v="DAZA DISEÑO &amp; COMUNICACION, S.L." u="1"/>
        <s v="TALLERES POLI, S.L." u="1"/>
        <s v="MARIANO ÁLVAREZ DIENTE" u="1"/>
        <s v="OHL SERVICIOS-INGESAN S.A." u="1"/>
        <s v="FUNDICIONES Y PROYECTOS FERNANDEZ, S.L." u="1"/>
        <s v="GUILLERMO PUERTA GALVAN" u="1"/>
        <s v="TRANSPORTES ALJAMI, S.L." u="1"/>
        <s v="MARIA ESTHER PEREZ  ARRIBAS" u="1"/>
        <s v="UTILMAX CABELLO, S.L." u="1"/>
        <s v="SERVICIOS Y LOGISTICA DE RESCATE" u="1"/>
        <s v="INDRA SOLUCIONES TECNOLÓGICAS DE LA INFORMACIÓN S.L.U." u="1"/>
        <s v="LUIS BLANCO  VICENTE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LAURA  CASTRILLO  ROMÓN" u="1"/>
        <s v="GESTION INTEGRAL DE PROYECTOS Y CONSTRUCCIONES DDR S.L." u="1"/>
        <s v="ROYALJUEZ S.L." u="1"/>
        <s v="FERROVIAL SERVICIOS, S.A." u="1"/>
        <s v="SERIGRAFIA HERNANDEZ MURCIA, S.L." u="1"/>
        <s v="PAPELERIA SOMAR, S.L." u="1"/>
        <s v="JUSTINO ASENJO PAREDES" u="1"/>
        <s v="APLICACIONES Y PÁGINAS WEB OCIOMERCADO, S.L." u="1"/>
        <s v="UNICAJA BANCO S.A.U." u="1"/>
        <s v="TICTAC SOLUCIONES INFORMATICAS, SL" u="1"/>
        <s v="PAULA DOMINGO ALONSO" u="1"/>
        <s v="MERCEDES ACEBES MARTÍNEZ" u="1"/>
        <s v="JOSÉ JAVIER PECIÑA LORENZO" u="1"/>
        <s v="COMERCIAL DE FUNDICION VALLISOLETANA,S.L" u="1"/>
        <s v="CESAR DIEZ RODRIGUEZ" u="1"/>
        <s v="MARÍA ISABEL BARRIENTOS PABLOS" u="1"/>
        <s v="SATARA SEGURIDAD S.L." u="1"/>
        <s v="JORDI SANCLEMENTE SANCHEZ" u="1"/>
        <s v="PROCESO DIGITAL DE AUDIO, S.L." u="1"/>
        <s v="RALI HIDRODINAMICA S.L." u="1"/>
        <s v="FELIX INGENIERÍA CULTURA, S.L." u="1"/>
        <s v="EXTEALDE DISTRIBUCIONES, S.L." u="1"/>
        <s v="S.I. PROTECNIS, S.L." u="1"/>
        <s v="ARCHTEAM, S.L.U." u="1"/>
        <s v="AL AIR LIQUIDE ESPAÑA, S.A." u="1"/>
        <s v="ASOCIACIÓN CULTURAL LA CORTE EN VALLADOLID" u="1"/>
        <s v="ABMA1977, S.L." u="1"/>
        <s v="HIGINIO LÓPEZ BURGUEÑO" u="1"/>
        <s v="MARTA VALDIVIELSO DONOSO" u="1"/>
        <s v="JOSE MANUEL  PEREZ MEDINA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ALLIANZ COMPANÍA DE SEGUROS Y REASEGUROS, S.A.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FRIGORIFICOS BENITO S.L." u="1"/>
        <s v="BANDERAS PUERTA DE HIERRO" u="1"/>
        <s v="TECNICAS PANTRA, S.L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ALMACENES JAVIER, S.A." u="1"/>
        <s v="ALVAC S.A." u="1"/>
        <s v="CARPET CLEANING CEE S.L." u="1"/>
        <s v="NAVARRO APLIC.TERMICAS E HIDRAULICAS S.A" u="1"/>
        <s v="EVA GUTIERREZ GARCÍA" u="1"/>
        <s v="OKY MI CERRAJERO, S.L.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PRODUCCIONES VIGO S.L." u="1"/>
        <s v="EUROBOOK LIBRERIA DE IDIOMAS SL" u="1"/>
        <s v="TODO DEPORTE VALLADOLID 2017, S.L.L." u="1"/>
        <s v="SEGURIDAD INDUSTRIAL, MEDIO AMBIENTE Y CALIDAD, S.L." u="1"/>
        <s v="TEC CUATRO S.A." u="1"/>
        <s v="JORGE ESTEBAN, S.L." u="1"/>
        <s v="TALLERES OÑATE,S.L." u="1"/>
        <s v="TODO CATERING OLID S.L.L." u="1"/>
        <s v="FUNDACION EME" u="1"/>
        <s v="BEATRIZ FERNANDEZ MAGAZ" u="1"/>
        <s v="ESPECTÁCULOS MIGUEL, S.L." u="1"/>
        <s v="TELE ONDAS, S.L." u="1"/>
        <s v="JOSE LUIS DEL OLMO RESA" u="1"/>
        <s v="NICOLE NDONGALA NZOIWIDI" u="1"/>
        <s v="PROYECYL S.L.N.E." u="1"/>
        <s v="VIAJES DORAL, S.L." u="1"/>
        <s v="ANDOS ASESORES, S.L." u="1"/>
        <s v="ARTURO ACOSTA MARTINEZ" u="1"/>
        <s v="ABUGEST SL" u="1"/>
        <s v="MARIO  TORRES ORIOLA" u="1"/>
        <s v="VIVERO ESCUELA EL PILAR S.L." u="1"/>
        <s v="ASOCIACIÓN CULTURAL DE TEATRO MIGUEL CERVANTES" u="1"/>
        <s v="MARGARITA TORREMOCHA HERNÁNDEZ" u="1"/>
        <s v="TOLTEN CONSULTORIA DE NEGOCIO, SL" u="1"/>
        <s v="ASOCIACION LIBRE DE IDEAS PARA UNA LITERATURA TRANSFORMADORA !LA LECHE!" u="1"/>
        <s v="HOSTELERIA Y LAVANDERIA VALL, S.L.U.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JOSE ALBERTO BLANCO PARRA" u="1"/>
        <s v="FIATC MUTUA SEGUROS" u="1"/>
        <s v="LUISA DE LAS MORAS ALAMO" u="1"/>
        <s v="JUAN REPRESA MARCOS" u="1"/>
        <s v="LACERA SERVICIOS Y MANTENIMIENTO, S.A." u="1"/>
        <s v="TRANSPORTES Y SERVICIOS A LA CONSTRUC.SL" u="1"/>
        <s v="PATRICIA LÓPEZ VILLALÓN" u="1"/>
        <s v="PIANORENT, S.L." u="1"/>
        <s v="FERNANDO JOSÉ FUENTES  SANTAMARTA" u="1"/>
        <s v="Prensa y Servicios de la Lengua SLU" u="1"/>
        <s v="A &amp; B LABORATORIOS DE BIOTECNOLOGÍA, S.A.U." u="1"/>
        <s v="DIEGO SANCHEZ MARISCAL RODRIGUEZ" u="1"/>
        <s v="RUBICIN S.L." u="1"/>
        <s v="THYSSENKRUPP ELEVADORES, S.L.U." u="1"/>
        <s v="SOCIEDAD ESPAÑOLA DE RADIODIFUSION,S.L." u="1"/>
        <s v="4 SINGULAR ESTRATEGIA &amp; INNOVACION, S.L." u="1"/>
        <s v="UTE CONSERVACION VALLADOLID 2018" u="1"/>
        <s v="ENRIQUE GARCIA  VAZQUEZ" u="1"/>
        <s v="FUNDUCTIL TARREGA S.L" u="1"/>
        <s v="ASOCIACION ESPAÑOLA DE AMIGOS DEL LIBRO" u="1"/>
        <s v="GEMA POVEDA MONTES" u="1"/>
        <s v="DAVID PARA CURIEL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TIMINA BARBERO DE SANTIAGO" u="1"/>
        <s v="PATRICIA DE LA FUENTE HIDALGO" u="1"/>
        <s v="GRUPO MECANICA DEL VUELO SISTEMAS, S.A." u="1"/>
        <s v="MARIO GALLEGO DE DIOS" u="1"/>
        <s v="ASOCIACIÓN OTRO TIEMPO" u="1"/>
        <s v="OSVENTOS INNOVACION EN SERVIZOS S.L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Obras - De Obras"/>
        <s v="ServPubl - De gestión de servicios públicos"/>
        <s v="Suministro - De suministro"/>
        <s v="Otros - Otros"/>
        <s v="Mixto - Mixto"/>
        <s v="CarAdEsp - De caracter administrativo especial"/>
        <s v="Patrim - Patrimoniales"/>
        <s v="No contrato - No contractual" u="1"/>
        <s v="MIXto-Mixto" u="1"/>
        <s v="ConcsOP - De concesion de obra publica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49">
      <sharedItems count="11">
        <s v="Procedimiento abierto"/>
        <s v="Acuerdo marco"/>
        <s v="Contratación menor"/>
        <s v="Procedimiento negociado sin publicidad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Tercero" u="1"/>
        <s v="Cuarto" u="1"/>
        <s v="Segundo" u="1"/>
      </sharedItems>
    </cacheField>
    <cacheField name="CAPITULO" numFmtId="0">
      <sharedItems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10. Servicios sociales y mediación comunitaria"/>
        <s v="08. Movilidad y espacio urbano"/>
        <s v="06. Educación, infancia, juventud e igualdad"/>
        <s v="05. Innovación, desarrollo económico, empleo y comercio"/>
        <s v="07. Medio ambiente y desarrollo sostenible"/>
        <s v="04. Planificación y recursos"/>
        <s v="11. Salud pública y seguridad ciudadana"/>
        <s v="02. Planeamiento urbanístico y vivienda"/>
        <s v="03. Participación ciudadana y deportes"/>
        <s v="01. Alcaldía"/>
        <s v="09. Cultura y turismo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/>
    </cacheField>
    <cacheField name="PROGRAMA EN TEXTO" numFmtId="0">
      <sharedItems/>
    </cacheField>
    <cacheField name="ARTICULO" numFmtId="0">
      <sharedItems/>
    </cacheField>
    <cacheField name="CONCEP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6">
  <r>
    <n v="220209000369"/>
    <s v="AD"/>
    <d v="2022-01-01T00:00:00"/>
    <n v="22022000188"/>
    <s v="2022 10 2311 22799"/>
    <n v="10862800"/>
    <x v="0"/>
    <s v="contrato ayuda a domicilio -lote 1- años 2021, 2022 y enero a agosto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1261"/>
    <s v="AD"/>
    <d v="2022-01-01T00:00:00"/>
    <n v="22022001990"/>
    <s v="2022 08 1341 609"/>
    <n v="4885760.24"/>
    <x v="1"/>
    <s v="Contrato de obras de instalación de elevadores urbanos ladera este de Parquesol (expediente 50/2021 SEMEU)"/>
    <s v="220"/>
    <s v="NARÓN"/>
    <s v="A CORUÑA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1096"/>
    <s v="AD"/>
    <d v="2022-01-01T00:00:00"/>
    <n v="22022001982"/>
    <s v="2022 08 1341 609"/>
    <n v="3652071.36"/>
    <x v="2"/>
    <s v="CONTRATO DE OBRAS PARA LA INSTALACIÓN DE ELEVADORES MECÁNICOS EN LA LADERA NORTE DE PARQUESOL. EXP: 42/2021 SEMEU"/>
    <s v="220"/>
    <s v="NARON"/>
    <s v="LA CORUÑA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179000024"/>
    <s v="AD"/>
    <d v="2022-01-01T00:00:00"/>
    <n v="22022000145"/>
    <s v="2022 08 1341 22799"/>
    <n v="3087691.92"/>
    <x v="3"/>
    <s v="AJUSTE ANUALIDADES CONTRATO GESTIÓN SERVICIO PÚBLICO REGULACIÓN ESTACIONAMIENTO VEHÍCULOS VÍA PÚBLICA EN VALLADOLID"/>
    <s v="220"/>
    <s v="MADRID"/>
    <s v="MADRID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9001224"/>
    <s v="AD"/>
    <d v="2022-01-01T00:00:00"/>
    <n v="22022002194"/>
    <s v="2022 08 1532 619"/>
    <n v="3000000"/>
    <x v="4"/>
    <s v="SEGUNDA PRÓRROGA LOTE 1 CONTRATO CONSERVACIÓN. PRESUPUESTO ORDINARIO. EXP: 11/2018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3174"/>
    <s v="AD"/>
    <d v="2022-03-29T00:00:00"/>
    <n v="22022002973"/>
    <s v="2022 08 1651 22100"/>
    <n v="2354400"/>
    <x v="5"/>
    <s v="Contrato de energía eléctrica para alumbrado público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2"/>
    <s v="22100"/>
  </r>
  <r>
    <n v="220219000860"/>
    <s v="AD"/>
    <d v="2022-01-01T00:00:00"/>
    <n v="22022000605"/>
    <s v="2022 10 2311 22799"/>
    <n v="2224000"/>
    <x v="0"/>
    <s v="2ª AMPLIACION CONTRATO SERVICIO AYUDA A DOMICILIO-LOTE 1- MAYOR DEMANDA E INCREMENTO FINANCIACION-AÑO2022 Y ENE-AG 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730"/>
    <s v="AD"/>
    <d v="2022-01-01T00:00:00"/>
    <n v="22022000265"/>
    <s v="2022 06 3232 22700"/>
    <n v="1829885.98"/>
    <x v="6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19000592"/>
    <s v="AD"/>
    <d v="2022-01-01T00:00:00"/>
    <n v="22022002000"/>
    <s v="2022 08 1651 619"/>
    <n v="1607001"/>
    <x v="7"/>
    <s v="LOTE 1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7921"/>
    <s v="D"/>
    <d v="2022-03-07T00:00:00"/>
    <n v="22022002051"/>
    <s v="2022 0550 4312 632"/>
    <n v="1559550.85"/>
    <x v="8"/>
    <s v="ADJUDICACIÓN CONTRATO OBRAS REMODELACIÓN MERCADO RONDILLA STA TERESA"/>
    <s v="300"/>
    <s v="PEREIRO DE AGUIAR"/>
    <s v="OURENSE"/>
    <x v="1"/>
    <s v="PrAbier - Procedimiento Abierto"/>
    <s v="MultiC - MultiCriterio"/>
    <x v="0"/>
    <x v="0"/>
    <s v="2"/>
    <s v="2. Gastos corrientes en bienes y servicios"/>
    <s v="05"/>
    <x v="3"/>
    <s v="0 43"/>
    <e v="#N/A"/>
    <s v="2 "/>
    <s v="2 632"/>
  </r>
  <r>
    <n v="220219001264"/>
    <s v="AD"/>
    <d v="2022-01-01T00:00:00"/>
    <n v="22022002104"/>
    <s v="2022 08 1532 619"/>
    <n v="1500000"/>
    <x v="9"/>
    <s v="SEGUNDA PRORROGA Contrato Conservación de Vías Públicas. LOTE 2. AGLOMERAD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739"/>
    <s v="AD"/>
    <d v="2022-01-01T00:00:00"/>
    <n v="22022002060"/>
    <s v="2022 07 1711 610"/>
    <n v="1416112.72"/>
    <x v="10"/>
    <s v="PRORROGA CONTRATO MANTENIMIENTO JARDINES ZONAS SUR Y ESTE-LOTE 1, HASTA 30/9/2022."/>
    <s v="220"/>
    <s v="ALCOBENDAS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19001222"/>
    <s v="AD"/>
    <d v="2022-01-01T00:00:00"/>
    <n v="22022001986"/>
    <s v="2022 08 1532 622"/>
    <n v="1347850.5"/>
    <x v="11"/>
    <s v="Ejercicio 2022. Traslado Parque Vías Públicas (Fase 2. Lote 1). Expte 30/2021   SEMEU."/>
    <s v="220"/>
    <s v="ARANDA DE DUERO"/>
    <s v="BURGOS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9000880"/>
    <s v="AD"/>
    <d v="2022-01-01T00:00:00"/>
    <n v="22022002011"/>
    <s v="2022 08 1341 619"/>
    <n v="1312449.3999999999"/>
    <x v="12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262"/>
    <s v="AD"/>
    <d v="2022-01-01T00:00:00"/>
    <n v="22022002103"/>
    <s v="2022 08 1532 619"/>
    <n v="1300000"/>
    <x v="4"/>
    <s v="SEGUNDA PRORROGA Contrato de Conservación Vías Públicas. Lote 1. Actuaciones de Presupuestos Participativos 2022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367"/>
    <s v="AD"/>
    <d v="2022-01-01T00:00:00"/>
    <n v="22022000187"/>
    <s v="2022 10 2311 22799"/>
    <n v="1258400"/>
    <x v="13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300"/>
    <s v="D"/>
    <d v="2022-03-21T00:00:00"/>
    <n v="22022000672"/>
    <s v="2022 04 9231 22201"/>
    <n v="1050000"/>
    <x v="14"/>
    <s v="CONTRATO SERVICIOS POSTALES AYTO. VALLADOLID - AÑOS 2022 - LOTE 1"/>
    <s v="30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19001223"/>
    <s v="AD"/>
    <d v="2022-01-01T00:00:00"/>
    <n v="22022001987"/>
    <s v="2022 08 1532 609"/>
    <n v="930069.35"/>
    <x v="4"/>
    <s v="Ejercicio 2022. Obras Urbanización Traslado Parque Vías Públicas (Fase 2. Lote 2). Expte. 30/2021  SEMEU.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20006724"/>
    <s v="AD"/>
    <d v="2022-02-28T00:00:00"/>
    <n v="22021002448"/>
    <s v="2022 10 2312 622"/>
    <n v="844014.44"/>
    <x v="15"/>
    <s v="OBRA NUEVA CPM PARQUESOL CON SED-(AÑO 2020:288.339,03)    AÑO 2021:2.069.082,85 -2022:145.521,11-TOTAL ADJ:2.502.942,99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09000418"/>
    <s v="AD"/>
    <d v="2022-02-28T00:00:00"/>
    <n v="22021000736"/>
    <s v="2022 10 2312 622"/>
    <n v="449654.55"/>
    <x v="15"/>
    <s v="REAJUSTE DE ANUALIDADES X REDUCCION DE PLAZO DE EJECUCION DE 20 A 16 MESES-OBRA CPM PARQUESOL Y SED- AÑO 2021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9000190"/>
    <s v="AD"/>
    <d v="2022-01-01T00:00:00"/>
    <n v="22022002059"/>
    <s v="2022 07 1711 610"/>
    <n v="430415.49"/>
    <x v="16"/>
    <s v="CONTRATO MANTENIMIENTO JARDINES ZONA CENTRO, HASTA 13/5/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09000531"/>
    <s v="AD"/>
    <d v="2022-01-01T00:00:00"/>
    <n v="22022000208"/>
    <s v="2022 11 1621 22103"/>
    <n v="800000"/>
    <x v="17"/>
    <s v="CONTRATO SUMINISTRO GASÓLEO PARA VEHICULOS DEL SERVICIO DE LIMPIEZA PARA LOS EJERCICIOS 2021 Y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871"/>
    <s v="AD"/>
    <d v="2022-01-01T00:00:00"/>
    <n v="22022000609"/>
    <s v="2022 11 1321 22701"/>
    <n v="770000"/>
    <x v="18"/>
    <s v="1ª PRÓRROGA CONTRATO DE VIGILANCIA DEPENDENCIAS AYUNTAMIENTO DEL 1 DE ENERO AL 31 DE DICIEMBRE DE 2022."/>
    <s v="220"/>
    <s v="VALDEMORO"/>
    <s v="MADR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19000623"/>
    <s v="AD"/>
    <d v="2022-01-01T00:00:00"/>
    <n v="22022002003"/>
    <s v="2022 06 3231 622"/>
    <n v="767499.09"/>
    <x v="19"/>
    <s v="SE-EIJI 21/2021. CONTRATO DE OBRAS EJECUCIÓN DE ESCUELA INFANTIL EN C/SEMINARIO  C/V A C/TIRSO DE MOLINA. 01/01 A 15/08."/>
    <s v="220"/>
    <s v="MADRID"/>
    <s v="MADRID"/>
    <x v="1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199000764"/>
    <s v="AD"/>
    <d v="2022-01-01T00:00:00"/>
    <n v="22022000163"/>
    <s v="2022 10 2312 22799"/>
    <n v="710749.31"/>
    <x v="20"/>
    <s v="CONTRATACION SERVICIO DE ESTANCIAS DIURNAS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122"/>
    <s v="AD"/>
    <d v="2022-01-01T00:00:00"/>
    <n v="22022000036"/>
    <s v="2022 10 2311 22799"/>
    <n v="655780.19999999995"/>
    <x v="21"/>
    <s v="CONTRATO SERV. GESTION ALBERGUE MUNICIPAL  PARA ATENCIÓN A PERSONAS SIN HOGAR DE 1 ENERO 2022 A 31 MARZO 2024. COVID-19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28593"/>
    <s v="AD"/>
    <d v="2022-02-28T00:00:00"/>
    <n v="22021001304"/>
    <s v="2022 02 1511 609"/>
    <n v="587352.04"/>
    <x v="22"/>
    <s v="ADJUDICAR EXPTE.LOTE 3 DE LA FASE II DE LA ACTUACION EN ARU 29 OCTUBRE EN C/VILLABAÑEZ"/>
    <s v="220"/>
    <s v="MEDINA DEL CAMPO"/>
    <s v="VALLADOLID"/>
    <x v="1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0054967"/>
    <s v="AD"/>
    <d v="2022-02-28T00:00:00"/>
    <n v="22021005135"/>
    <s v="2022 08 1532 619"/>
    <n v="578785.22"/>
    <x v="4"/>
    <s v="Contrato de Conservación Vías Públicas. LOTE 1. Actuaciones de Presupuestos Participativos 2021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199"/>
    <s v="AD"/>
    <d v="2022-01-01T00:00:00"/>
    <n v="22022000400"/>
    <s v="2022 06 3232 22102"/>
    <n v="524800"/>
    <x v="23"/>
    <s v="PR-SE 10/2021.(PS 3 EXPTE SE 10/2019). PRORROGA SUMINISTRO DE GAS EN COLEGIOS PUBLICO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19000188"/>
    <s v="AD"/>
    <d v="2022-01-01T00:00:00"/>
    <n v="22022002058"/>
    <s v="2022 07 1711 610"/>
    <n v="507708.96"/>
    <x v="24"/>
    <s v="CONTRATO MANTENIMIENTO JARDINES ZONA NORTE, HASTA 31/5/22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09000646"/>
    <s v="AD"/>
    <d v="2022-01-01T00:00:00"/>
    <n v="22022000222"/>
    <s v="2022 10 2311 22799"/>
    <n v="483240"/>
    <x v="25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185"/>
    <s v="AD"/>
    <d v="2022-03-18T00:00:00"/>
    <n v="22022002862"/>
    <s v="2022 0550 4312 632"/>
    <n v="407.94"/>
    <x v="26"/>
    <s v="CONTRATO CONTROL DE CALIDAD OBRA DE ADAPTACION P29 DEL MERCADO LAS DELICIAS PARA PUNTO LIMPIO DE PROXIMIDAD"/>
    <s v="220"/>
    <s v="SANT CUGAT DEL VALLES"/>
    <s v="BARCELONA"/>
    <x v="0"/>
    <s v="PrAbier - Procedimiento Abierto"/>
    <s v="MultiC - MultiCriterio"/>
    <x v="1"/>
    <x v="0"/>
    <s v="2"/>
    <s v="2. Gastos corrientes en bienes y servicios"/>
    <s v="05"/>
    <x v="3"/>
    <s v="0 43"/>
    <e v="#N/A"/>
    <s v="2 "/>
    <s v="2 632"/>
  </r>
  <r>
    <n v="220219000924"/>
    <s v="AD"/>
    <d v="2022-01-01T00:00:00"/>
    <n v="22022000120"/>
    <s v="2022 03 9241 22100"/>
    <n v="480000"/>
    <x v="5"/>
    <s v="ENERGÍA ELÉCTRICA SERVICIO DE PARTICIPACIÓN CIUDADANA"/>
    <s v="220"/>
    <s v="BILBAO"/>
    <s v="VIZCAYA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100"/>
  </r>
  <r>
    <n v="220219000916"/>
    <s v="AD"/>
    <d v="2022-01-01T00:00:00"/>
    <n v="22022000112"/>
    <s v="2022 06 3232 22100"/>
    <n v="460000"/>
    <x v="5"/>
    <s v="PR-SE 13/2021. NUEVO CONTRATO SUMINISTRO DE ENERGÍA ELÉCTRICA AYUNTAMIENTO DE VALLADOLID. COLEGIOS PÚBLICO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0"/>
  </r>
  <r>
    <n v="220219001204"/>
    <s v="AD"/>
    <d v="2022-01-01T00:00:00"/>
    <n v="22022001832"/>
    <s v="2022 04 9204 216"/>
    <n v="459792.96"/>
    <x v="27"/>
    <s v="ASISTENCIA TÉCNICA OPERACIÓN, CAU, Y MTO  DEL SOFTWARE DE BASE Y COMUNICACIONES LOTE 2, DEL 8/2/22  AL 7/2/23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1202"/>
    <s v="AD"/>
    <d v="2022-01-01T00:00:00"/>
    <n v="22022001985"/>
    <s v="2022 03 9241 632"/>
    <n v="426730.78"/>
    <x v="8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20012380"/>
    <s v="AD"/>
    <d v="2022-03-23T00:00:00"/>
    <n v="22022002453"/>
    <s v="2022 0550 4312 632"/>
    <n v="1587.13"/>
    <x v="28"/>
    <s v="CONTRATO CONTROL DE CALIDAD OBRAS REMODELACIÓN GALERIAS MUNICIPALES DE ALIMENTACIÓN RONDILLA STA.. TERESA (LOTE 1)"/>
    <s v="220"/>
    <s v="MALAGA"/>
    <s v="MALAGA"/>
    <x v="0"/>
    <s v="PrAbier - Procedimiento Abierto"/>
    <s v="MultiC - MultiCriterio"/>
    <x v="1"/>
    <x v="0"/>
    <s v="2"/>
    <s v="2. Gastos corrientes en bienes y servicios"/>
    <s v="05"/>
    <x v="3"/>
    <s v="0 43"/>
    <e v="#N/A"/>
    <s v="2 "/>
    <s v="2 632"/>
  </r>
  <r>
    <n v="220219000256"/>
    <s v="AD"/>
    <d v="2022-01-01T00:00:00"/>
    <n v="22022000059"/>
    <s v="2022 11 1321 22799"/>
    <n v="423742"/>
    <x v="29"/>
    <s v="CONTRATACIÓN DEL MANTENIMIENTO DEL SERVICIO DE TELECOMUNICACIONES DE  POLICÍA Y SEISPC EJERCICIO 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20012381"/>
    <s v="AD"/>
    <d v="2022-03-23T00:00:00"/>
    <n v="22022002454"/>
    <s v="2022 0550 4312 632"/>
    <n v="10794.24"/>
    <x v="30"/>
    <s v="CONTRATO CONTROL DE CALIDAD OBRAS REMODELACIÓN GALERIAS MUNICIPALES DE ALIMENTACIÓN RONDILLA STA. TERESA (LOTE 2)"/>
    <s v="220"/>
    <s v="ZARATAN"/>
    <s v="VALLADOLID"/>
    <x v="0"/>
    <s v="PrAbier - Procedimiento Abierto"/>
    <s v="MultiC - MultiCriterio"/>
    <x v="1"/>
    <x v="0"/>
    <s v="2"/>
    <s v="2. Gastos corrientes en bienes y servicios"/>
    <s v="05"/>
    <x v="3"/>
    <s v="0 43"/>
    <e v="#N/A"/>
    <s v="2 "/>
    <s v="2 632"/>
  </r>
  <r>
    <n v="220219000907"/>
    <s v="AD"/>
    <d v="2022-01-01T00:00:00"/>
    <n v="22022000617"/>
    <s v="2022 06 3261 22799"/>
    <n v="417000"/>
    <x v="31"/>
    <s v="SE-EIJI 1/2019 PS 2. PRORROGA CONTRATO DE SERVICIO DEL PROGRAMA &quot;&quot;APRENDIZAJE A LO LARGO DE LA VIDA&quot;&quot; HASTA EL 31/07/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19000548"/>
    <s v="AD"/>
    <d v="2022-01-01T00:00:00"/>
    <n v="22022000564"/>
    <s v="2022 11 1621 22700"/>
    <n v="414800.93"/>
    <x v="32"/>
    <s v="PRORROGA CONTRATO SERVICIO MANTENIMIENTO Y LAVADO CONTENEDORES DEL Sº LIMPIEZA DEL 1-1 AL 30-9-2022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19000407"/>
    <s v="AD"/>
    <d v="2022-01-01T00:00:00"/>
    <n v="22022002013"/>
    <s v="2022 08 1532 619"/>
    <n v="409008.71"/>
    <x v="4"/>
    <s v="Obras de Urbanización de la calle NUEVA DEL CARMEN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26136"/>
    <s v="AD"/>
    <d v="2022-03-11T00:00:00"/>
    <n v="22021002514"/>
    <s v="2022 11 1621 634"/>
    <n v="824957.43"/>
    <x v="33"/>
    <s v="ADQUISICIÓN 3 VEHICULOS CARGA LATERAL PARA EL SERVICIO DE LIMPIEZA"/>
    <s v="220"/>
    <s v="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199000334"/>
    <s v="AD"/>
    <d v="2022-01-01T00:00:00"/>
    <n v="22022000156"/>
    <s v="2022 08 1341 22799"/>
    <n v="406016.97"/>
    <x v="3"/>
    <s v="AMPLIACIÓN ÁREA REGULADA ORA 2020 - 2026"/>
    <s v="220"/>
    <s v="MADRID"/>
    <s v="MADRID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0026137"/>
    <s v="AD"/>
    <d v="2022-03-11T00:00:00"/>
    <n v="22021003782"/>
    <s v="2022 11 1621 634"/>
    <n v="824957.43"/>
    <x v="33"/>
    <s v="ADQUISICION 3 VEHIUCLOS CARGA LATERAL PARA EL SERVICIO DE LIMPIEZA"/>
    <s v="220"/>
    <s v="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10087660"/>
    <s v="AD"/>
    <d v="2022-02-28T00:00:00"/>
    <n v="22021007258"/>
    <s v="2022 03 9241 632"/>
    <n v="480279.17"/>
    <x v="8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09000561"/>
    <s v="AD"/>
    <d v="2022-01-01T00:00:00"/>
    <n v="22022000218"/>
    <s v="2022 03 9241 22700"/>
    <n v="405540.64"/>
    <x v="34"/>
    <s v="LIMPIEZA CENTROS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0"/>
  </r>
  <r>
    <n v="220210050354"/>
    <s v="AD"/>
    <d v="2022-02-28T00:00:00"/>
    <n v="22021004191"/>
    <s v="2022 06 3231 622"/>
    <n v="383845.68"/>
    <x v="19"/>
    <s v="SE-EIJI 21/2021. CONTRATO DE OBRAS EJECUCIÓN DE ESCUELA INFANTIL EN C/SEMINARIO C/V  A C/TIRSO DE MOLINA. 15/08 A 31/1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219000117"/>
    <s v="AD"/>
    <d v="2022-01-01T00:00:00"/>
    <n v="22022002182"/>
    <s v="2022 02 1501 619"/>
    <n v="45374.99"/>
    <x v="35"/>
    <s v="ADJ.CONTRATO SEGURIDAD Y SALUD LOTE 1 OBRAS EN EDIFICACIONES DEL (2.01. A 15.10.2022)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01"/>
    <s v="1501. Dirección del área de urbanismo"/>
    <s v="61"/>
    <s v="619"/>
  </r>
  <r>
    <n v="220209000360"/>
    <s v="AD"/>
    <d v="2022-02-28T00:00:00"/>
    <n v="22021000734"/>
    <s v="2022 06 3321 622"/>
    <n v="375092.98"/>
    <x v="15"/>
    <s v="ADJUD REAJUS ANUALIDADES X REDUCCION DE PLAZO DE EJECUCION DE 20 A 16 MESES-OBRA BIBLIOTECA PARQUESOL-AÑOS OBRA 20,21,2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1098"/>
    <s v="AD"/>
    <d v="2022-01-01T00:00:00"/>
    <n v="22022002160"/>
    <s v="2022 04 9204 22200"/>
    <n v="374383.08"/>
    <x v="36"/>
    <s v="TELEFONÍA FIJA , MÓVIL Y DATOS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19000932"/>
    <s v="AD"/>
    <d v="2022-01-01T00:00:00"/>
    <n v="22022000128"/>
    <s v="2022 07 1711 22100"/>
    <n v="340000"/>
    <x v="5"/>
    <s v="CONTRATO SUMINISTRO ENERGIA ELECTRICA, SERVICIO DE PARQUES Y JARDINES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0"/>
  </r>
  <r>
    <n v="220209000460"/>
    <s v="AD"/>
    <d v="2022-01-01T00:00:00"/>
    <n v="22022000192"/>
    <s v="2022 06 3231 22799"/>
    <n v="357080"/>
    <x v="37"/>
    <s v="EXPTE. SE-EIJI 10/2020. CTTO GESTION EIM PRINCIPITO LOTE 3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09000464"/>
    <s v="AD"/>
    <d v="2022-01-01T00:00:00"/>
    <n v="22022000196"/>
    <s v="2022 06 3231 22799"/>
    <n v="348080"/>
    <x v="38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12379"/>
    <s v="AD"/>
    <d v="2022-03-23T00:00:00"/>
    <n v="22022002144"/>
    <s v="2022 0550 4312 632"/>
    <n v="5677.81"/>
    <x v="35"/>
    <s v="Control de Seguridad y Salud - Obra de acondicionamiento de Mercado Rondilla de Santa Teresa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3"/>
    <s v="0 43"/>
    <e v="#N/A"/>
    <s v="2 "/>
    <s v="2 632"/>
  </r>
  <r>
    <n v="220219001191"/>
    <s v="AD"/>
    <d v="2022-01-01T00:00:00"/>
    <n v="22022002196"/>
    <s v="2022 07 1721 633"/>
    <n v="343283.85"/>
    <x v="39"/>
    <s v="VS 3/17 PRÓRROGA DEL CONTRATO RELATIVO AL MANTENIMIENTO INTEGRAL DE LA RCCAVA. SERVICIO MEDIO AMBIENTE."/>
    <s v="220"/>
    <s v="LLANERA"/>
    <s v="ASTURIAS"/>
    <x v="0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20006723"/>
    <s v="AD"/>
    <d v="2022-02-28T00:00:00"/>
    <n v="22021002447"/>
    <s v="2022 06 3321 622"/>
    <n v="322440.57"/>
    <x v="15"/>
    <s v="OBRA NUEVA BIBLIOTECA PARQUESOL (AÑO 2020:220.258,98)  AÑO 2021: 1.580.549,39 - 2022:111.161,95 TOTAL ADJ: 1.911.970,3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0416"/>
    <s v="AD"/>
    <d v="2022-01-01T00:00:00"/>
    <n v="22022000552"/>
    <s v="2022 11 1621 22700"/>
    <n v="142375.84"/>
    <x v="40"/>
    <s v="PRORROGA CONTRATO SERVICIO MANTENIMIENTO PLATAFORMAS SOTERRADAS AYUNTAMIENTO DE VALLADOLID, 1-1 AL 31-8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0004089"/>
    <s v="D"/>
    <d v="2022-02-18T00:00:00"/>
    <n v="22022000902"/>
    <s v="2022 11 1631 214"/>
    <n v="1649.05"/>
    <x v="40"/>
    <s v="AC MARCO EXP SPSC 23/2020: REPARACION DE FURGON 1277-KMD: MANO DE OBRA Y MATERIALES // TERMOSTATO, VEHÍCULO 1307-KMD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0334"/>
    <s v="AD"/>
    <d v="2022-03-21T00:00:00"/>
    <n v="22022002911"/>
    <s v="2022 03 9241 22609"/>
    <n v="400"/>
    <x v="41"/>
    <s v="Concierto de Paco Díez en el CC Bailarín Vicente Escudero el día 20/03/2022. MFS"/>
    <s v="220"/>
    <s v="MUCIENTE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662"/>
    <s v="AD"/>
    <d v="2022-01-01T00:00:00"/>
    <n v="22022002215"/>
    <s v="2022 08 1341 619"/>
    <n v="320833.32"/>
    <x v="42"/>
    <s v="PRÓRROGA LOTE 2 SEÑALIZACIÓN HORIZONTAL &quot;&quot;CONTRATO SEÑALIZACIÓN VIAL EN VALLADOLID&quot;&quot; EXP. 11/2018 (PS 1) enero-jul 202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007"/>
    <s v="AD"/>
    <d v="2022-01-01T00:00:00"/>
    <n v="22022000320"/>
    <s v="2022 03 9241 203"/>
    <n v="1000"/>
    <x v="43"/>
    <s v="PRÓRROGA CONTRATO IMPRESIÓN CORPORATIV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19000008"/>
    <s v="AD"/>
    <d v="2022-01-01T00:00:00"/>
    <n v="22022000321"/>
    <s v="2022 01 9312 213"/>
    <n v="60"/>
    <x v="43"/>
    <s v="PRORROGA CONTRATO COPIAS MAQUINA KYOCERA 4053 SERIE RFC9Y20562 INTERVENCION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9000009"/>
    <s v="AD"/>
    <d v="2022-01-01T00:00:00"/>
    <n v="22022000323"/>
    <s v="2022 01 9312 203"/>
    <n v="70"/>
    <x v="43"/>
    <s v="PRORROGA CONTRATO ALQUILER KYOCERA 4053 RFC9Y20464 DEPARTAMENTO DE CONTABILIDAD HASTA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9000010"/>
    <s v="AD"/>
    <d v="2022-01-01T00:00:00"/>
    <n v="22022000324"/>
    <s v="2022 08 1301 203"/>
    <n v="850"/>
    <x v="43"/>
    <s v="Alquiler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0"/>
    <s v="203"/>
  </r>
  <r>
    <n v="220219000011"/>
    <s v="AD"/>
    <d v="2022-01-01T00:00:00"/>
    <n v="22022000325"/>
    <s v="2022 08 1301 213"/>
    <n v="1250"/>
    <x v="43"/>
    <s v="Consumos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1"/>
    <s v="213"/>
  </r>
  <r>
    <n v="220219000012"/>
    <s v="AD"/>
    <d v="2022-01-01T00:00:00"/>
    <n v="22022000326"/>
    <s v="2022 04 9341 213"/>
    <n v="600"/>
    <x v="43"/>
    <s v="SISTEMAS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19000013"/>
    <s v="AD"/>
    <d v="2022-01-01T00:00:00"/>
    <n v="22022000327"/>
    <s v="2022 01 9312 203"/>
    <n v="70"/>
    <x v="43"/>
    <s v="PRORROGA CONTRATO ALQUILER KYOCERA 4053 SERIE RFC9Y20567 INTERVENCION GENERAL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9000014"/>
    <s v="AD"/>
    <d v="2022-01-01T00:00:00"/>
    <n v="22022000328"/>
    <s v="2022 01 9312 213"/>
    <n v="70"/>
    <x v="43"/>
    <s v="PRORROGA CONTRATO COPIAS KYOCERA 4053 SERIE RFC9Y20464 DEPARTAMENTO DE CONTABILIDAD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9000015"/>
    <s v="AD"/>
    <d v="2022-01-01T00:00:00"/>
    <n v="22022000329"/>
    <s v="2022 04 9311 203"/>
    <n v="250"/>
    <x v="43"/>
    <s v="ESTIMACION COPIAS FOTOCOPIADORA (TIPO 6) DE LA OFICINA PRESUPUESTARIA DEL 1 ENERO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0016"/>
    <s v="AD"/>
    <d v="2022-01-01T00:00:00"/>
    <n v="22022000330"/>
    <s v="2022 04 9311 203"/>
    <n v="98.79"/>
    <x v="43"/>
    <s v="ALQUILER FOTOCOPIADORA (TIPO 6) DE LA OFICINA PRESUPUESTARIA DEL 1 DE ENERO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0017"/>
    <s v="AD"/>
    <d v="2022-01-01T00:00:00"/>
    <n v="22022000331"/>
    <s v="2022 01 9206 213"/>
    <n v="55"/>
    <x v="43"/>
    <s v="COPIAS 2 FOTOCOPIADORAS KYOCERA (B&amp;N Y COLOR) PARA EL ARCHIVO, DEL 1 DE ENERO DE 2022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9000018"/>
    <s v="AD"/>
    <d v="2022-01-01T00:00:00"/>
    <n v="22022000332"/>
    <s v="2022 01 9206 203"/>
    <n v="185"/>
    <x v="43"/>
    <s v="ALQUILER DE DOS FOTOCOPIADORAS KYOCERA (TIPOS 5 Y 6) PARA EL ARCHIVO, DEL 1 DE ENERO DE 2022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9000019"/>
    <s v="AD"/>
    <d v="2022-01-01T00:00:00"/>
    <n v="22022000333"/>
    <s v="2022 05 4331 203"/>
    <n v="1000"/>
    <x v="43"/>
    <s v="PRORROGA CONTRATO CENTRALIZADO ALQUILER Y COPIASM FOTOCOPIADORAS AGENCIA INNOVACION (3 máquinas)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0"/>
    <s v="203"/>
  </r>
  <r>
    <n v="220219000021"/>
    <s v="AD"/>
    <d v="2022-01-01T00:00:00"/>
    <n v="22022000335"/>
    <s v="2022 04 9204 213"/>
    <n v="100"/>
    <x v="43"/>
    <s v="PRÓRROGA DEL SUMINISTRO DE LA IMPRESIÓN CORPORATIVA , CDIT"/>
    <s v="220"/>
    <s v="VALLADOLID"/>
    <s v="VALLADOL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022"/>
    <s v="AD"/>
    <d v="2022-01-01T00:00:00"/>
    <n v="22022000336"/>
    <s v="2022 02 1501 203"/>
    <n v="3000"/>
    <x v="43"/>
    <s v="PRORROGA CONTRATO IMPRESION CORPORATIVA, (FOTOCOPIADORAS), SE 53-2019. DE 01-01 A 08-02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1501"/>
    <s v="1501. Dirección del área de urbanismo"/>
    <s v="20"/>
    <s v="203"/>
  </r>
  <r>
    <n v="220219000023"/>
    <s v="AD"/>
    <d v="2022-01-01T00:00:00"/>
    <n v="22022000337"/>
    <s v="2022 11 1621 213"/>
    <n v="250"/>
    <x v="43"/>
    <s v="PRORROGA CONTRATO SISTEMAS DE IMPRESIÓN Y FOTOCOPIADO (SERVICIO DE LIMPIEZA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0024"/>
    <s v="AD"/>
    <d v="2022-01-01T00:00:00"/>
    <n v="22022000338"/>
    <s v="2022 02 9331 203"/>
    <n v="200"/>
    <x v="43"/>
    <s v="PRÓRROGA  CONTRATO ALQUILER FOTOCOPIADORA DEPARTAMENTO DE PATRIMONIO ENERO-FEBRERO 2022 (EXPTE SE 53/2019)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0"/>
    <s v="203"/>
  </r>
  <r>
    <n v="220219000025"/>
    <s v="AD"/>
    <d v="2022-01-01T00:00:00"/>
    <n v="22022000339"/>
    <s v="2022 02 9331 213"/>
    <n v="1200"/>
    <x v="43"/>
    <s v="PRÓRROGA CONTRATO FOTOCOPIADORA DPTO DE PATRIMONIO ESTIMACIÓN COPIAS ENERO-FEBRERO 2022 (EXP. SE 53/2019)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20008631"/>
    <s v="AD"/>
    <d v="2022-03-11T00:00:00"/>
    <n v="22022002716"/>
    <s v="2022 09 3341 22609"/>
    <n v="1700"/>
    <x v="44"/>
    <s v="COLABORACION PROYECCION PELICULA POR LA IGUALDAD DE LA MUJER. ACCION RED CIUDADES CREATIVAS UNESCO, VA CITY OF FILM"/>
    <s v="220"/>
    <s v="VALLADOLID"/>
    <s v="VALLADOLID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09"/>
  </r>
  <r>
    <n v="220219000026"/>
    <s v="AD"/>
    <d v="2022-01-01T00:00:00"/>
    <n v="22022000340"/>
    <s v="2022 04 9209 203"/>
    <n v="450"/>
    <x v="43"/>
    <s v="IMPRESIÓN Y FOTOCOPIADO CONCEJALÍA/DIRECCIÓN Y SECRETARÍA EJECUTIVA DEL ÁREA DE PLANIFICACIÓN Y RECURSOS."/>
    <s v="220"/>
    <s v="VALLADOLID"/>
    <s v="VALLADOLID"/>
    <x v="3"/>
    <s v="PrAbier - Procedimiento Abierto"/>
    <s v="UniC - Único 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0027"/>
    <s v="AD"/>
    <d v="2022-01-01T00:00:00"/>
    <n v="22022000341"/>
    <s v="2022 11 1321 213"/>
    <n v="1500"/>
    <x v="43"/>
    <s v="IMPORTE DEL SERVICIO DE IMPRESIÓN CORPORATIVA DEL 1 DE ENERO AL 7 DE FEBRERO DE 2022 POLICIA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0028"/>
    <s v="AD"/>
    <d v="2022-01-01T00:00:00"/>
    <n v="22022000342"/>
    <s v="2022 06 2315 213"/>
    <n v="335.8"/>
    <x v="43"/>
    <s v="PRORROGA CONTRATO DE IMPRESION CORPORATIVA SERVICIO DE IGUALDAD 2 MAQUINAS 01/01/2022 AL 7/02/2022 SE74/2020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1"/>
    <s v="213"/>
  </r>
  <r>
    <n v="220219000029"/>
    <s v="AD"/>
    <d v="2022-01-01T00:00:00"/>
    <n v="22022000343"/>
    <s v="2022 06 3232 213"/>
    <n v="335.8"/>
    <x v="43"/>
    <s v="PRORROGA CONTRATO DE IMPRESION CORPORATIVA. SERVICIO DE EDUCACION. 2 MAQUINAS. 01/01/2022 A 07/02/2022. EXPTE SE 74/2020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0030"/>
    <s v="AD"/>
    <d v="2022-01-01T00:00:00"/>
    <n v="22022000344"/>
    <s v="2022 05 4301 203"/>
    <n v="500"/>
    <x v="43"/>
    <s v="PRORROGA CONTRATO DE IMPRESIÓN CORPORATIVA DESDE 1 DE ENERO DE 2022 HASTA E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3"/>
    <s v="4301"/>
    <s v="4301. Dirección del área de innovación"/>
    <s v="20"/>
    <s v="203"/>
  </r>
  <r>
    <n v="220219000033"/>
    <s v="AD"/>
    <d v="2022-01-01T00:00:00"/>
    <n v="22022000347"/>
    <s v="2022 04 9321 203"/>
    <n v="1000"/>
    <x v="43"/>
    <s v="EQUIPOS: FC11372, FC011304, FC011305 y FC011306. Servicios: GESTIÓN DE INGRESOS-INSPECCIÓN. De 1/1 a 7/2/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0036"/>
    <s v="AD"/>
    <d v="2022-01-01T00:00:00"/>
    <n v="22022000350"/>
    <s v="2022 01 9201 203"/>
    <n v="300"/>
    <x v="43"/>
    <s v="Alquiler fotocopiadoras Secretaría General, 1 enero a 8 febrero 2022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9000037"/>
    <s v="AD"/>
    <d v="2022-01-01T00:00:00"/>
    <n v="22022002571"/>
    <s v="2022 01 9201 213"/>
    <n v="300"/>
    <x v="43"/>
    <s v="Gastos fotocopias Secretaría General (1enero a 8 febrero 2022)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9000041"/>
    <s v="AD"/>
    <d v="2022-01-01T00:00:00"/>
    <n v="22022000353"/>
    <s v="2022 11 3111 203"/>
    <n v="400"/>
    <x v="43"/>
    <s v="PRORROGA CONTRATO IMPRESION CORPORATIVA SERVICIO SALUD 1 ENERO 2022 A 7 FEBRERO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0042"/>
    <s v="AD"/>
    <d v="2022-01-01T00:00:00"/>
    <n v="22022000354"/>
    <s v="2022 07 1721 203"/>
    <n v="1500"/>
    <x v="43"/>
    <s v="PRÓRROGA DEL CONTRATO DE IMPRESIÓN CORPORATIVA. EXPEDIENTE SE 53/2019. SERVICIO DE MEDIO AMBIENTE Y SECRETARÍA EJECUTIVA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0048"/>
    <s v="AD"/>
    <d v="2022-01-01T00:00:00"/>
    <n v="22022000361"/>
    <s v="2022 10 2312 213"/>
    <n v="605"/>
    <x v="43"/>
    <s v="CONTRATO MANTEN. COPIADORAS E IMPRESION  CPMS NO TRANSFERIDOS  Y SERVICIOS CENTRALES DEL  01/01/22 AL 07/0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0049"/>
    <s v="AD"/>
    <d v="2022-01-01T00:00:00"/>
    <n v="22022000362"/>
    <s v="2022 10 2312 213"/>
    <n v="1030"/>
    <x v="43"/>
    <s v="CONTRATO MANTEN. COPIADORAS E IMPRESION  CPMS TRANSFERIDOS  DEL  01/01/22 AL 07/0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0050"/>
    <s v="AD"/>
    <d v="2022-01-01T00:00:00"/>
    <n v="22022000363"/>
    <s v="2022 09 3301 213"/>
    <n v="760"/>
    <x v="43"/>
    <s v="PRÓRROGA CONTRATO IMPRESIÓN CENTRALIZADA MANTENIMIENTO Y COPIAS FOTOCOPIADORAS ÁREA DE CULTURA Y TURISMO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1"/>
    <s v="213"/>
  </r>
  <r>
    <n v="220219000051"/>
    <s v="AD"/>
    <d v="2022-01-01T00:00:00"/>
    <n v="22022000364"/>
    <s v="2022 11 1361 213"/>
    <n v="513.79999999999995"/>
    <x v="43"/>
    <s v="Contrato Impresión Corporativa Expte.:SE53/2019; Del 1/Enero/2022 al 7/Febrero/2022;SEISYPC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19000052"/>
    <s v="AD"/>
    <d v="2022-01-01T00:00:00"/>
    <n v="22022000365"/>
    <s v="2022 10 2313 213"/>
    <n v="300"/>
    <x v="43"/>
    <s v="CONTRATO MANT.FOTOCOP-IMPRESION CONCEJALIA-DIREC.AREA Y SECRET.EJEC.AREA SERV.SOC.Y MEDIACION COMUN DEL 1/1/ A 7/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9000053"/>
    <s v="AD"/>
    <d v="2022-01-01T00:00:00"/>
    <n v="22022000366"/>
    <s v="2022 10 2311 213"/>
    <n v="75"/>
    <x v="43"/>
    <s v="ALQUILER Y MANTENIMIENTO DE EQUIPOS IMPRESION Y FOTOCOP.COMEDOR SOCIAL (PROY.FIN.AF) DE 1-1 A 7-2-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054"/>
    <s v="AD"/>
    <d v="2022-01-01T00:00:00"/>
    <n v="22022000367"/>
    <s v="2022 10 2311 213"/>
    <n v="2200"/>
    <x v="43"/>
    <s v="ALQUILER Y MANTENIMIENTO DE EQUIPOS IMPRESION Y FOTOCOP.CEAS Y SERVICIOS CENTRALES DE 1 ENE A 7 FEB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055"/>
    <s v="AD"/>
    <d v="2022-01-01T00:00:00"/>
    <n v="22022000368"/>
    <s v="2022 10 2316 213"/>
    <n v="75"/>
    <x v="43"/>
    <s v="CONTRATO MANTENIMIENTO COPIADORA E IMPRESION DEL CENTRO DE ATENCION AL INMIGRANTE- DE 1 ENE A 7 FEB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9000179"/>
    <s v="AD"/>
    <d v="2022-01-01T00:00:00"/>
    <n v="22022000388"/>
    <s v="2022 10 2311 213"/>
    <n v="1060"/>
    <x v="43"/>
    <s v="ALQUILER Y MANTENIMIENTOS DE EQUIPOS IMPRESION Y FOTOCOP. VARIOS CEAS. DEL 1 ENERO AL 7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421"/>
    <s v="AD"/>
    <d v="2022-01-01T00:00:00"/>
    <n v="22022000555"/>
    <s v="2022 10 2412 213"/>
    <n v="300"/>
    <x v="43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0422"/>
    <s v="AD"/>
    <d v="2022-01-01T00:00:00"/>
    <n v="22022000556"/>
    <s v="2022 11 3111 203"/>
    <n v="50"/>
    <x v="43"/>
    <s v="SUSTITUCION IMPRESORA TIPO 4 POR TIPO 6 - Dº AREA SALUD PUBLICA Y SEGURIDAD CIUDADANA DE 1 ENERO A 7 FEBRERO 2022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0990"/>
    <s v="AD"/>
    <d v="2022-01-01T00:00:00"/>
    <n v="22022000439"/>
    <s v="2022 04 9204 213"/>
    <n v="644.12"/>
    <x v="43"/>
    <s v="SUMINISTRO DE LA IMPRESIÓN CORPORATIVA, CDIT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991"/>
    <s v="AD"/>
    <d v="2022-01-01T00:00:00"/>
    <n v="22022000440"/>
    <s v="2022 02 1501 203"/>
    <n v="8728.0400000000009"/>
    <x v="43"/>
    <s v="ADJUDICAR CONTRATO SUMINISTRO DE IMPRESIÓN CORPORATIVA DEL 8.02 A 31.12.22; 1.01.A 31.12.23; 1.01 A 7.02.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1501"/>
    <s v="1501. Dirección del área de urbanismo"/>
    <s v="20"/>
    <s v="203"/>
  </r>
  <r>
    <n v="220219000992"/>
    <s v="AD"/>
    <d v="2022-01-01T00:00:00"/>
    <n v="22022000441"/>
    <s v="2022 01 9205 203"/>
    <n v="119.24"/>
    <x v="43"/>
    <s v="ADJUDICA --&gt; EXPED PR-SE-40/2021 CONTRATO IMPRESIÓN CORPORATIVA 08/02/2022 a 31/12/2022 IMPRENTA máquina tipo IN4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0"/>
    <s v="203"/>
  </r>
  <r>
    <n v="220219000995"/>
    <s v="AD"/>
    <d v="2022-01-01T00:00:00"/>
    <n v="22022000442"/>
    <s v="2022 01 9205 213"/>
    <n v="14.63"/>
    <x v="43"/>
    <s v="ADJUDICA EXPED PR-SE-40/2021 COPIAS CONTRATO IMPRESIÓN CORPORATIVA 08/02/2022 a 31/12/2022 ---&gt; IMPRENTA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1"/>
    <s v="213"/>
  </r>
  <r>
    <n v="220219000998"/>
    <s v="AD"/>
    <d v="2022-01-01T00:00:00"/>
    <n v="22022000443"/>
    <s v="2022 01 9207 213"/>
    <n v="1136.8800000000001"/>
    <x v="43"/>
    <s v="ADJUDICA  EXPED PR-SE-40/2021 COPIAS IMPRESIÓN CORPORATIVA 08/02/2022 a 31/12/2022 GOBIERNO Y RELACIONES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1"/>
    <s v="213"/>
  </r>
  <r>
    <n v="220219001001"/>
    <s v="AD"/>
    <d v="2022-01-01T00:00:00"/>
    <n v="22022000444"/>
    <s v="2022 01 9207 203"/>
    <n v="2439.0700000000002"/>
    <x v="43"/>
    <s v="ADJUDICA EXPED PR-SE-40/2021 ALQUILER IMPRESIÓN CORPORATIVA 08/02/2022 a 31/12/2022 GOBIERNO Y RELACIONES: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9001002"/>
    <s v="AD"/>
    <d v="2022-01-01T00:00:00"/>
    <n v="22022003436"/>
    <s v="2022 11 3111 203"/>
    <n v="5375"/>
    <x v="43"/>
    <s v="ALQUILER/COPIAS IMPRESION Sº SALUD Y Dº Aª SALUD P. SEGURIDAD C./8 FB A 31 DC. 2022/1 EN A 31 DC.2023/1 EN A 7 FB 2024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1005"/>
    <s v="AD"/>
    <d v="2022-01-01T00:00:00"/>
    <n v="22022000445"/>
    <s v="2022 11 1621 213"/>
    <n v="2150"/>
    <x v="43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006"/>
    <s v="AD"/>
    <d v="2022-01-01T00:00:00"/>
    <n v="22022000446"/>
    <s v="2022 09 3301 213"/>
    <n v="2641.77"/>
    <x v="43"/>
    <s v="SUMINISTRO DE IMPRESIÓN CORPORATIVA PARA LA CONCEJALÍA DEL ÁREA DE CULTURA Y TURISMO Y  SECRETARÍA DEL ÁREA 202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1"/>
    <s v="213"/>
  </r>
  <r>
    <n v="220219001007"/>
    <s v="AD"/>
    <d v="2022-01-01T00:00:00"/>
    <n v="22022000447"/>
    <s v="2022 04 9209 203"/>
    <n v="2883.51"/>
    <x v="43"/>
    <s v="CONTRATO SUMINISTRO IMPRESIÓN CORPORATIVA (EQUIPOS MULTIFUNCIÓN CONCEJALÍA/DIRECCIÓN Y SECR. EJECUTIVA PLANIF. Y REC.).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1008"/>
    <s v="AD"/>
    <d v="2022-01-01T00:00:00"/>
    <n v="22022000448"/>
    <s v="2022 10 2312 213"/>
    <n v="5032.74"/>
    <x v="43"/>
    <s v="SUMINISTROS DE IMPRESION DE LOS CENTROS DEPERSONAS MAYORESTRANSFERIDOS DEL 8 DE FEBRERO DE 2022 AL 7 DE FEBRERO DE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009"/>
    <s v="AD"/>
    <d v="2022-01-01T00:00:00"/>
    <n v="22022000449"/>
    <s v="2022 10 2312 213"/>
    <n v="8922.7999999999993"/>
    <x v="43"/>
    <s v="SUMINIS. DE IMPRESION DE LOS C.P. MAYORES NO TRANSFERIDOS Y S. CENTRALES DEL 8 DE FEBRERODE2022 AL 7 DE FEBRERO DE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010"/>
    <s v="AD"/>
    <d v="2022-01-01T00:00:00"/>
    <n v="22022000450"/>
    <s v="2022 10 2412 213"/>
    <n v="2775"/>
    <x v="43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1011"/>
    <s v="AD"/>
    <d v="2022-01-01T00:00:00"/>
    <n v="22022000451"/>
    <s v="2022 10 2311 213"/>
    <n v="25489.27"/>
    <x v="43"/>
    <s v="ALQUILER Y COPIAS EQUIPOS IMPRES. SERV.CENTRALES Y CEAS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1012"/>
    <s v="AD"/>
    <d v="2022-01-01T00:00:00"/>
    <n v="22022000452"/>
    <s v="2022 10 2311 213"/>
    <n v="682.93"/>
    <x v="43"/>
    <s v="ALQUILER Y COPIAS EQ.MULTIF. COMEDOR SOCIAL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1019"/>
    <s v="AD"/>
    <d v="2022-01-01T00:00:00"/>
    <n v="22022000455"/>
    <s v="2022 04 9341 213"/>
    <n v="4200"/>
    <x v="43"/>
    <s v="PREVISIONES DE GASTO EQUIPOS DE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19001020"/>
    <s v="AD"/>
    <d v="2022-01-01T00:00:00"/>
    <n v="22022000456"/>
    <s v="2022 05 4331 203"/>
    <n v="5500"/>
    <x v="43"/>
    <s v="Adjudicación. Contrato centralizado de Suministro de Impresión Corporativa (dos años)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0"/>
    <s v="203"/>
  </r>
  <r>
    <n v="220219001021"/>
    <s v="AD"/>
    <d v="2022-01-01T00:00:00"/>
    <n v="22022000457"/>
    <s v="2022 08 1341 203"/>
    <n v="740"/>
    <x v="43"/>
    <s v="ALQUILER_FOTOCOPIADORA_CENTRO DE MOVILIDAD URBANA (8 febrero a 31 diciembre/2022/2023/1 enero a 7 febrero 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1022"/>
    <s v="AD"/>
    <d v="2022-01-01T00:00:00"/>
    <n v="22022000458"/>
    <s v="2022 05 4301 203"/>
    <n v="2000"/>
    <x v="43"/>
    <s v="Adjudicación Contrato Suministro Impresión Corporativa D.Á. Innovación (8/2 - 31/12/22) (1/1 - 31/12/23) (1/1 - 7/2/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3"/>
    <s v="4301"/>
    <s v="4301. Dirección del área de innovación"/>
    <s v="20"/>
    <s v="203"/>
  </r>
  <r>
    <n v="220219001023"/>
    <s v="AD"/>
    <d v="2022-01-01T00:00:00"/>
    <n v="22022000459"/>
    <s v="2022 08 1341 213"/>
    <n v="620"/>
    <x v="43"/>
    <s v="COPIAS_FOTOCOPIADORA_CENTRO DE MOVILIDAD URBANA (8 febrero a 31 diciembre/2022/2023/1 enero a 7 febrero 2024)ç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1024"/>
    <s v="AD"/>
    <d v="2022-01-01T00:00:00"/>
    <n v="22022000460"/>
    <s v="2022 08 1341 213"/>
    <n v="250"/>
    <x v="43"/>
    <s v="COPIAS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1025"/>
    <s v="AD"/>
    <d v="2022-01-01T00:00:00"/>
    <n v="22022000461"/>
    <s v="2022 08 1341 203"/>
    <n v="740"/>
    <x v="43"/>
    <s v="ALQUILER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1026"/>
    <s v="AD"/>
    <d v="2022-01-01T00:00:00"/>
    <n v="22022000462"/>
    <s v="2022 05 4312 203"/>
    <n v="1850"/>
    <x v="43"/>
    <s v="CONTRATO DEL SUMINISTRO DE IMPRESION CORPORATIVA PARA LAS DEPENDENCIAS DEL EXCMO . AYTO. DE VALLADOLID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0"/>
    <s v="203"/>
  </r>
  <r>
    <n v="220219001027"/>
    <s v="AD"/>
    <d v="2022-01-01T00:00:00"/>
    <n v="22022000463"/>
    <s v="2022 08 1301 213"/>
    <n v="9790"/>
    <x v="43"/>
    <s v="Consumos fotocopiadoras Área Mov. y Espacio Urbano (SEMEU-CONCEJ pta. 38, LIC pta.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1"/>
    <s v="213"/>
  </r>
  <r>
    <n v="220219001028"/>
    <s v="AD"/>
    <d v="2022-01-01T00:00:00"/>
    <n v="22022001480"/>
    <s v="2022 04 9231 213"/>
    <n v="5000"/>
    <x v="43"/>
    <s v="CONTRATO IMPRESION CORPORATIVA - SERV. INFORMACION Y ADMON. ELECTRONICA 2022-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1"/>
    <s v="213"/>
  </r>
  <r>
    <n v="220219001029"/>
    <s v="AD"/>
    <d v="2022-01-01T00:00:00"/>
    <n v="22022000464"/>
    <s v="2022 08 1301 203"/>
    <n v="6420"/>
    <x v="43"/>
    <s v="Alquiler fotocopiadoras Área Mov. y Espacio Urbano (SEMEU-CONCEJ pta. 38, LIC pta 19, SCIE pta 18 bis, INF. URB. pta 1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0"/>
    <s v="203"/>
  </r>
  <r>
    <n v="220219001030"/>
    <s v="AD"/>
    <d v="2022-01-01T00:00:00"/>
    <n v="22022000465"/>
    <s v="2022 04 9311 203"/>
    <n v="731.72"/>
    <x v="43"/>
    <s v="RC ALQUILER FOTOCOPIADORA TIPO MC3 PARA EL NUEVO CONTRATO  SUMINISTRO DE IMPRESION CORPORATIVA (8-02- 2022 A 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1"/>
    <s v="AD"/>
    <d v="2022-01-01T00:00:00"/>
    <n v="22022000466"/>
    <s v="2022 04 9311 203"/>
    <n v="614.65"/>
    <x v="43"/>
    <s v="RC COPIAS FOTOCOPIADORA MC3 NUEVO CONTRATO DE IMPRESION CORPORATIVA (08-02-2022 A 0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4"/>
    <s v="AD"/>
    <d v="2022-01-01T00:00:00"/>
    <n v="22022000469"/>
    <s v="2022 01 9312 203"/>
    <n v="332.7"/>
    <x v="43"/>
    <s v="ALQUILER FOTOCOPIADORA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9001035"/>
    <s v="AD"/>
    <d v="2022-01-01T00:00:00"/>
    <n v="22022000470"/>
    <s v="2022 01 9312 203"/>
    <n v="332.7"/>
    <x v="43"/>
    <s v="ALQUILER FOTOCOPIADORA PARA INTERVENCION GENERAL DESDE 8-2-2022 A 7-2-2024.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19001036"/>
    <s v="AD"/>
    <d v="2022-01-01T00:00:00"/>
    <n v="22022000471"/>
    <s v="2022 01 9312 213"/>
    <n v="98"/>
    <x v="43"/>
    <s v="ESTIMACION COPIAS MAQUINA FOTOCOPIADORA INTERVENCION GENERAL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9001269"/>
    <s v="AD"/>
    <d v="2022-01-01T00:00:00"/>
    <n v="22022001992"/>
    <s v="2022 04 9204 636"/>
    <n v="315391.25"/>
    <x v="45"/>
    <s v="SERVICIO DE MANTENIMIENTO Y REPARACIÓN DE LOS EQUIPOS DE TRATAMIENTO DE LA INFORMACIÓN. (S. I. CRÍTICOS)  LOTE 2"/>
    <s v="22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19001037"/>
    <s v="AD"/>
    <d v="2022-01-01T00:00:00"/>
    <n v="22022000472"/>
    <s v="2022 01 9312 213"/>
    <n v="217"/>
    <x v="43"/>
    <s v="ESTIMACION COPIAS BLANCO Y NEGRO Y COLOR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19001038"/>
    <s v="AD"/>
    <d v="2022-01-01T00:00:00"/>
    <n v="22022000473"/>
    <s v="2022 02 9331 203"/>
    <n v="1400"/>
    <x v="43"/>
    <s v="ALQUILER FOTOCOPIADORA DEL DPTO. PATRIMONIO.PERIODO:08-02 AL 31/12/2022 - 01/01 AL 31/12/2023 y 01/01 AL 07/02/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0"/>
    <s v="203"/>
  </r>
  <r>
    <n v="220219001039"/>
    <s v="AD"/>
    <d v="2022-01-01T00:00:00"/>
    <n v="22022000474"/>
    <s v="2022 11 1321 213"/>
    <n v="17000"/>
    <x v="43"/>
    <s v="IMPORTE SUMINISTRO DE IMPRESIÓN CORPORATIVA  POLICÍA MUNICIPAL. DEL 8 DE FEBRERO DE 2022 AL 7 DE FEBRERO DE 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1040"/>
    <s v="AD"/>
    <d v="2022-01-01T00:00:00"/>
    <n v="22022000475"/>
    <s v="2022 02 9331 213"/>
    <n v="4375"/>
    <x v="43"/>
    <s v="ESTIMACIÓN COPIAS FOTOCOPIADORA DPTO. PATRIMONIO. PERIODO: 08/02 AL 31/12/2022-01/01 AL 31/12/2023 y 01/01 AL 07/0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19001041"/>
    <s v="AD"/>
    <d v="2022-01-01T00:00:00"/>
    <n v="22022000476"/>
    <s v="2022 08 1532 203"/>
    <n v="2700"/>
    <x v="43"/>
    <s v="Contrato de ALQUILER DE FOTOCOPIADORAS  del S.E.P.I. entre el 8 de febrero y el 31 de diciembre de 2022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19001044"/>
    <s v="AD"/>
    <d v="2022-01-01T00:00:00"/>
    <n v="22022000477"/>
    <s v="2022 08 1532 213"/>
    <n v="2100"/>
    <x v="43"/>
    <s v="Contrato de COPIAS PARA FOTOCOPIADORAS del S.E.P.I. entre el 8 de febrero y el 31 de diciembre de 2022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19001047"/>
    <s v="AD"/>
    <d v="2022-01-01T00:00:00"/>
    <n v="22022000478"/>
    <s v="2022 03 9241 203"/>
    <n v="11000"/>
    <x v="43"/>
    <s v="CONTRATO IMPRESIÓN CORPORATIVA (DEL 8-02-2022 AL 7-02-2024)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19001048"/>
    <s v="AD"/>
    <d v="2022-01-01T00:00:00"/>
    <n v="22022000479"/>
    <s v="2022 06 3232 213"/>
    <n v="2964.81"/>
    <x v="43"/>
    <s v="CONTRATO SUMINISTRO DE IMPRESION CORPORATIVA. 08/02/2022 A 07/02/2024. EDUCACIÓN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049"/>
    <s v="AD"/>
    <d v="2022-01-01T00:00:00"/>
    <n v="22022000480"/>
    <s v="2022 06 3321 213"/>
    <n v="3360.48"/>
    <x v="43"/>
    <s v="CONTRATO SUMINISTRO DE IMPRESIÓN CORPORATIVO. 08/02/2022 A 07/02/2024. BIBLIOTECAS PÚBLICAS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050"/>
    <s v="AD"/>
    <d v="2022-01-01T00:00:00"/>
    <n v="22022000481"/>
    <s v="2022 06 2315 213"/>
    <n v="2796.79"/>
    <x v="43"/>
    <s v="CONTRATO SUMINISTRO DE IMPRESIÓN CORPORATIVA. 08/02/2022 A 07/02/2024. IGUALDAD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1051"/>
    <s v="AD"/>
    <d v="2022-01-01T00:00:00"/>
    <n v="22022000482"/>
    <s v="2022 04 9321 203"/>
    <n v="5000"/>
    <x v="43"/>
    <s v="Equipos para los Servicios de Gestión de Ingresos e Inspección Tributaria, de 8 de febrero a 31 de diciembr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1054"/>
    <s v="AD"/>
    <d v="2022-01-01T00:00:00"/>
    <n v="22022000483"/>
    <s v="2022 10 2316 213"/>
    <n v="476.97"/>
    <x v="43"/>
    <s v="ALQUILER Y COPIAS DE EQUIPOS MULTIFUNCIÓN DEL CAI - AÑOS DESDE 8 DE FEBRERO DE  2022, 2023, HASTA 7 DE FEBRERO DE 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9001055"/>
    <s v="AD"/>
    <d v="2022-01-01T00:00:00"/>
    <n v="22022000484"/>
    <s v="2022 10 2313 213"/>
    <n v="2608.15"/>
    <x v="43"/>
    <s v="SUM.IMPRESION DE CONCEJALIA, DIRECCION Y SECRET.EJECUTIVA .AREA SERVICIOS SOCIALES Y M.C.-DEL 8  FEB 2022 AL 7 FEB.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9001056"/>
    <s v="AD"/>
    <d v="2022-01-01T00:00:00"/>
    <n v="22022002572"/>
    <s v="2022 01 9201 203"/>
    <n v="2392"/>
    <x v="43"/>
    <s v="Contrato de alquiler fotocopiadoras de Secretaría General 2022-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9001057"/>
    <s v="AD"/>
    <d v="2022-01-01T00:00:00"/>
    <n v="22022000485"/>
    <s v="2022 01 9201 213"/>
    <n v="1787"/>
    <x v="43"/>
    <s v="Previsión gastos copias Secretaría General contrato de impresión 2022-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9001060"/>
    <s v="AD"/>
    <d v="2022-01-01T00:00:00"/>
    <n v="22022000488"/>
    <s v="2022 04 3121 213"/>
    <n v="1503.26"/>
    <x v="43"/>
    <s v="Alquiler y copias fotocopiadoras de 8-2-2022 a 7-2-2024. Servicio de Prevención y Salud Laboral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1061"/>
    <s v="AD"/>
    <d v="2022-01-01T00:00:00"/>
    <n v="22022000489"/>
    <s v="2022 07 1721 203"/>
    <n v="11330"/>
    <x v="43"/>
    <s v="CONTRATO PARA EL ALQUILER DE IMPRESORAS Y FOTOCOPIADORAS. SERVICIO DE MEDIO AMBI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1062"/>
    <s v="AD"/>
    <d v="2022-01-01T00:00:00"/>
    <n v="22022000490"/>
    <s v="2022 11 1361 213"/>
    <n v="1915.83"/>
    <x v="43"/>
    <s v="CONTRATO IMPRESIÓN CORPORATIVA DEL 8 DE FEBRERO AL 31 DE DICIEMBRE DE 2022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0284"/>
    <s v="ADO"/>
    <d v="2022-01-21T00:00:00"/>
    <n v="22022000908"/>
    <s v="2022 03 9241 203"/>
    <n v="30.19"/>
    <x v="43"/>
    <s v="COPIAS 01/10/2021 - 29/12/2021 //  N. SERIE RFC9Y20741 - FC011343 // CC DELICIAS"/>
    <s v="24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20000304"/>
    <s v="ADO"/>
    <d v="2022-01-21T00:00:00"/>
    <n v="22022001157"/>
    <s v="2022 04 9341 213"/>
    <n v="102.62"/>
    <x v="43"/>
    <s v="COPIAS 01/10/2021 - 29/12/2021 // N. SERIE RFC9Y2085 - FC011387 // SANTA ANA, SERV. DE PROCEDIMIENTO, 2º PLTA DCHA"/>
    <s v="24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20001603"/>
    <s v="AD/"/>
    <d v="2022-01-26T00:00:00"/>
    <n v="22022000555"/>
    <s v="2022 10 2412 213"/>
    <n v="-300"/>
    <x v="43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7"/>
    <s v="2022 10 2412 213"/>
    <n v="107.14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8"/>
    <s v="2022 10 2412 213"/>
    <n v="107.14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9"/>
    <s v="2022 10 2412 213"/>
    <n v="85.72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5"/>
    <s v="AD/"/>
    <d v="2022-01-26T00:00:00"/>
    <n v="22022000450"/>
    <s v="2022 10 2412 213"/>
    <n v="-2775"/>
    <x v="43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0450"/>
    <s v="2022 10 2412 213"/>
    <n v="395.2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3"/>
    <s v="2022 10 2412 213"/>
    <n v="296.24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4"/>
    <s v="2022 10 2412 213"/>
    <n v="1502.91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5"/>
    <s v="2022 10 2412 213"/>
    <n v="580.65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0191"/>
    <s v="AD"/>
    <d v="2022-01-01T00:00:00"/>
    <n v="22022000392"/>
    <s v="2022 03 9241 22102"/>
    <n v="315000"/>
    <x v="23"/>
    <s v="PRÓRROGA CONTRATO SUMINISTRO DE GAS (DEL 01/01 AL 30/09 DE 2022) SERVICIO DE PARTICIPACIÓN CIUDADANA"/>
    <s v="220"/>
    <s v="BARCELONA"/>
    <s v="BARCELONA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102"/>
  </r>
  <r>
    <n v="220220006733"/>
    <s v="D"/>
    <d v="2022-03-01T00:00:00"/>
    <n v="22022002272"/>
    <s v="2022 10 2311 22799"/>
    <n v="313217.95"/>
    <x v="46"/>
    <s v="lucha contra la exclusión en barriadas vulnerables de zona este-serv.y activ.-contrato 13 meses-inicio febrero 2022"/>
    <s v="30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5208"/>
    <s v="AD"/>
    <d v="2022-02-22T00:00:00"/>
    <n v="22022002224"/>
    <s v="2022 01 9203 213"/>
    <n v="2065.63"/>
    <x v="47"/>
    <s v="MANTENIMIENTO APLICACION INFORMATICA CONTROL HORARIO WCRONOS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1"/>
    <s v="213"/>
  </r>
  <r>
    <n v="220209000701"/>
    <s v="AD"/>
    <d v="2022-01-01T00:00:00"/>
    <n v="22022000249"/>
    <s v="2022 10 2311 22799"/>
    <n v="310000"/>
    <x v="13"/>
    <s v="servicio de restauración en comedor social para los años 2021 y 202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517"/>
    <s v="AD"/>
    <d v="2022-01-01T00:00:00"/>
    <n v="22022000204"/>
    <s v="2022 11 1621 22799"/>
    <n v="305083.90000000002"/>
    <x v="48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0009372"/>
    <s v="D"/>
    <d v="2022-03-16T00:00:00"/>
    <n v="22022001172"/>
    <s v="2022 10 2412 22199"/>
    <n v="995.62"/>
    <x v="49"/>
    <s v="KG. DE MARMOLINA BLANCA / KG. MARMOLINA VERDE / SACA PUZOLANA VOLCÁNICA // PROG. MIXTO PARQUES Y JARDINES III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809"/>
    <s v="D"/>
    <d v="2022-02-16T00:00:00"/>
    <n v="22022001593"/>
    <s v="2022 07 1711 22199"/>
    <n v="604.03"/>
    <x v="49"/>
    <s v="ACUERDO MARCO 2017/36, SUMINISTRO DE SUBSTRATO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4096"/>
    <s v="D"/>
    <d v="2022-02-18T00:00:00"/>
    <n v="22022001172"/>
    <s v="2022 10 2412 22199"/>
    <n v="248.6"/>
    <x v="49"/>
    <s v="SUMINISTRO DE  TIERRA MANTILLO (8 UNIDADES) // PROGR. MIXTO PARQUES Y JARDINES III DEL C. DE F.EMPLEO /DURACION 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910"/>
    <s v="AD"/>
    <d v="2022-01-01T00:00:00"/>
    <n v="22022000106"/>
    <s v="2022 02 9332 22100"/>
    <n v="250000"/>
    <x v="5"/>
    <s v="ADJUDICAR LOTE 1 EXPTE. SUMINISTRO ENERGÍA ELÉCTRICA PARA ÁREA PLANEAMIENTO URBANÍSTICO Y VIVIENDA"/>
    <s v="220"/>
    <s v="BILBAO"/>
    <s v="VIZCAYA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0"/>
  </r>
  <r>
    <n v="220220001745"/>
    <s v="D"/>
    <d v="2022-01-27T00:00:00"/>
    <n v="22022001593"/>
    <s v="2022 07 1711 22199"/>
    <n v="209.89"/>
    <x v="49"/>
    <s v="ACUERDO MARCO 2017/36, TIERRA VEGETAL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4098"/>
    <s v="D"/>
    <d v="2022-02-18T00:00:00"/>
    <n v="22022001172"/>
    <s v="2022 10 2412 22199"/>
    <n v="205.13"/>
    <x v="49"/>
    <s v="SUMINISTRO DE M3 TIERRA VEGETAL CRIBADA (7) /// CURSO: PROG MIXTO PARQUES Y JARDINES III Nº 47/0002/2021-DURACION 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934"/>
    <s v="D"/>
    <d v="2022-03-18T00:00:00"/>
    <n v="22022001172"/>
    <s v="2022 10 2412 22199"/>
    <n v="137.77000000000001"/>
    <x v="49"/>
    <s v="SUMINISTRO DE PV SACO PUZOLANA  VOLCÁNICA/ SACO MARMOLINA/ SACA CORTEZA DECORATIVA // PROG. MIXTO PARQUES Y JARDINES III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738"/>
    <s v="AD"/>
    <d v="2022-01-01T00:00:00"/>
    <n v="22022000589"/>
    <s v="2022 07 1711 22799"/>
    <n v="356414.9"/>
    <x v="10"/>
    <s v="PRORROGA CONTRATO MANTENIMIENTO JARDINES ZONAS SUR Y ESTE-LOTE 1, HASTA 30/9/2022."/>
    <s v="220"/>
    <s v="ALCOBENDAS"/>
    <s v="MADR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09000334"/>
    <s v="AD"/>
    <d v="2022-01-01T00:00:00"/>
    <n v="22022000186"/>
    <s v="2022 06 3261 22799"/>
    <n v="92000"/>
    <x v="50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0007049"/>
    <s v="D"/>
    <d v="2022-03-03T00:00:00"/>
    <n v="22022001172"/>
    <s v="2022 10 2412 22199"/>
    <n v="129.47999999999999"/>
    <x v="49"/>
    <s v="SUMINISTRO DE SACA PUZOLANA VOLCANICA,SACO MARMOLINA BLANCA (10) CURSO PARQUES Y JARDINES III (EXPT 47/0002/2021)-D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8417"/>
    <s v="D"/>
    <d v="2022-03-11T00:00:00"/>
    <n v="22022001593"/>
    <s v="2022 07 1711 22199"/>
    <n v="110.11"/>
    <x v="49"/>
    <s v="ACUERDO MARCO 2017/36, TIERRA VEGETAL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0110"/>
    <s v="AD"/>
    <d v="2022-01-20T00:00:00"/>
    <n v="22022001268"/>
    <s v="2022 10 2311 22799"/>
    <n v="6000"/>
    <x v="51"/>
    <s v="Provisión de plazas habitacionales de carácter integral con atención psicosocial para personas/familias sin hogar 2022"/>
    <s v="220"/>
    <s v="MADRID"/>
    <s v="MADR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19000929"/>
    <s v="AD"/>
    <d v="2022-01-01T00:00:00"/>
    <n v="22022000125"/>
    <s v="2022 08 1341 22100"/>
    <n v="210000"/>
    <x v="5"/>
    <s v="ENERGÍA ELÉCTRICA 2022-2023 _ CENTRO DE MOVILIDAD URBANA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100"/>
  </r>
  <r>
    <n v="220219001234"/>
    <s v="AD"/>
    <d v="2022-01-01T00:00:00"/>
    <n v="22022001483"/>
    <s v="2022 07 1711 619"/>
    <n v="282222.11"/>
    <x v="48"/>
    <s v="CONTRATO MANTENIMIENTO FUENTES PUBLICAS ORNAMENTALES Y CENTROS DE BOMBEO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13281"/>
    <s v="ADO"/>
    <d v="2022-03-30T00:00:00"/>
    <n v="22022002929"/>
    <s v="2022 07 1623 22700"/>
    <n v="281599.88"/>
    <x v="52"/>
    <s v="TONELADAS RECOGIDA ENSERES/ PODAS Y SIEGAS/ FRACCIÓN SECA/ FORM./ R.S.U. // SERVICIO TTO DE RESIDUOS // MES ENERO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3440"/>
    <s v="AD"/>
    <d v="2022-02-11T00:00:00"/>
    <n v="22022002037"/>
    <s v="2022 11 1621 203"/>
    <n v="740"/>
    <x v="53"/>
    <s v="MANTENIMIENTO FUENTE DE AGUA CONECTADA A RED (EQUIPO POU) DEL SERVICIO DE LIMPIEZA"/>
    <s v="220"/>
    <s v="TAMARES"/>
    <s v="SEVILLA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0"/>
    <s v="203"/>
  </r>
  <r>
    <n v="220220006707"/>
    <s v="AD"/>
    <d v="2022-02-25T00:00:00"/>
    <n v="22022002519"/>
    <s v="2022 01 9312 22699"/>
    <n v="600"/>
    <x v="53"/>
    <s v="CONTRATO MANTENIMIENTO MAQUINA Y SUMINISTRO BOTELLAS DE AGUA PARA INTERVENCION 2022"/>
    <s v="220"/>
    <s v="TAMARES"/>
    <s v="SEVILLA"/>
    <x v="5"/>
    <s v="AdDirec - Adjudicación Directa"/>
    <s v="SinC - Sin Criterio"/>
    <x v="2"/>
    <x v="0"/>
    <s v="2"/>
    <s v="2. Gastos corrientes en bienes y servicios"/>
    <s v="01"/>
    <x v="9"/>
    <s v="9312"/>
    <s v="9312. Intervención general"/>
    <s v="22"/>
    <s v="22699"/>
  </r>
  <r>
    <n v="220210066693"/>
    <s v="AD"/>
    <d v="2022-02-28T00:00:00"/>
    <n v="22021003909"/>
    <s v="2022 05 4331 609"/>
    <n v="277944.45"/>
    <x v="54"/>
    <s v="Adjudicación EJECUCION DE CONTRATO DE OBRAS DEL CORREDOR VERDE  (URBAN GreenUP G.A. nº 730426)"/>
    <s v="220"/>
    <s v="MADRID"/>
    <s v="MADRID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0"/>
    <s v="609"/>
  </r>
  <r>
    <n v="220219000978"/>
    <s v="AD"/>
    <d v="2022-01-01T00:00:00"/>
    <n v="22022002159"/>
    <s v="2022 06 3321 22799"/>
    <n v="272250"/>
    <x v="55"/>
    <s v="SE 20/21  LOTE 1 CTTO DE APOYO EN LA GESTIÓN DE LOS SERVICIOS EN LA RED DE BIBLIOTECAS MUNICIPALES."/>
    <s v="220"/>
    <s v="LAS PALMAS"/>
    <s v="LAS PALMAS"/>
    <x v="0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799"/>
  </r>
  <r>
    <n v="220220005214"/>
    <s v="AD"/>
    <d v="2022-02-22T00:00:00"/>
    <n v="22022002266"/>
    <s v="2022 11 1361 22199"/>
    <n v="1427.8"/>
    <x v="56"/>
    <s v="12 LINTERNAS DE INTERVENCION MOD. L-30 Y 100 CINTAS DE ACOPLE A CASCOS INTEGRALES///SERVICIO DE EXTINCION DE INCENDIOS"/>
    <s v="220"/>
    <s v="GIJON"/>
    <s v="OVIEDO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359"/>
    <s v="D"/>
    <d v="2022-02-25T00:00:00"/>
    <n v="22022001453"/>
    <s v="2022 11 1321 214"/>
    <n v="840.42"/>
    <x v="57"/>
    <s v="ACUERDO MARCO. Sustituir Distribucion y Reten Cigueñal / Filtro Aceite / Tapon Carter / Correa. Vehículo de POLICI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361"/>
    <s v="D"/>
    <d v="2022-02-25T00:00:00"/>
    <n v="22022001453"/>
    <s v="2022 11 1321 214"/>
    <n v="410.8"/>
    <x v="57"/>
    <s v="ACUERDO MARCO. PARACHOQUES TRASERO / PINTAR PARTES AFECTADAS AFECTADAS / MATERIALES PINTURA // POLICI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09000462"/>
    <s v="AD"/>
    <d v="2022-01-01T00:00:00"/>
    <n v="22022000194"/>
    <s v="2022 06 3231 22799"/>
    <n v="268640"/>
    <x v="58"/>
    <s v="EXPTE. SE-EIJI 10/2020. CTTO GESTION EIM LA COMETA LOTE 5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3454"/>
    <s v="AD"/>
    <d v="2022-02-11T00:00:00"/>
    <n v="22022000852"/>
    <s v="2022 01 9207 22001"/>
    <n v="9275.67"/>
    <x v="59"/>
    <s v="ACCESO AÑO 2022 AL SERVICIO DE NOTICIAS Y FOTOGRAFÍAS DE LA AGENCIA - GOBIERNO Y RELACIONES"/>
    <s v="220"/>
    <s v="BURGOS"/>
    <s v="BURGOS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2188"/>
    <s v="AD"/>
    <d v="2022-01-31T00:00:00"/>
    <n v="22022000851"/>
    <s v="2022 01 9207 22001"/>
    <n v="10950.84"/>
    <x v="60"/>
    <s v="ACCESO AL SERVICIO DE NOTICIAS TEXTO CASTILLA Y LEÓN AÑO 2022 - GOBIERNO Y RELACIONES"/>
    <s v="22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5804"/>
    <s v="AD"/>
    <d v="2022-02-23T00:00:00"/>
    <n v="22022002395"/>
    <s v="2022 07 1721 22199"/>
    <n v="2000"/>
    <x v="61"/>
    <s v="MATERIAL FUNGIBLE ESPECÍFICO DEL LABORATORIO DE MASAS. SERVICIO MEDIO AMBIENTE"/>
    <s v="220"/>
    <s v="LAS ROZAS"/>
    <s v="MADR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19000333"/>
    <s v="AD"/>
    <d v="2022-01-01T00:00:00"/>
    <n v="22022001977"/>
    <s v="2022 04 9204 626"/>
    <n v="266200"/>
    <x v="62"/>
    <s v="SUMINISTRO, INST., CONF. Y PUESTA EN MARCHA DE ORDENADORES PERSONALES Y MONITORES, LOTE 1 , ENERO 22 A JUNIO 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0002307"/>
    <s v="AD"/>
    <d v="2022-02-02T00:00:00"/>
    <n v="22022001791"/>
    <s v="2022 10 2412 22199"/>
    <n v="262.89999999999998"/>
    <x v="63"/>
    <s v="SUMINISTRO DE SEMILLAS  PARA EL CURSO DE PARQUES Y JARDINES III DEL C. DE F. PARA EL EMPLEO- DURACION 1 DIA"/>
    <s v="220"/>
    <s v="MAJADAHONDA"/>
    <s v="MADR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8287"/>
    <s v="AD"/>
    <d v="2022-03-10T00:00:00"/>
    <n v="22022002729"/>
    <s v="2022 11 1631 22110"/>
    <n v="1225"/>
    <x v="64"/>
    <s v="SUMINISTRO DE DECAPANTES PARA LA ELIMACIÓN DE PINTADAS POR EL SERVICIO DE LIMPIEZA VIARIA"/>
    <s v="220"/>
    <s v="TORREJON DE ARDOZ"/>
    <s v="MADR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110"/>
  </r>
  <r>
    <n v="220220012769"/>
    <s v="AD"/>
    <d v="2022-03-24T00:00:00"/>
    <n v="22022002918"/>
    <s v="2022 05 4331 203"/>
    <n v="520"/>
    <x v="65"/>
    <s v="ALQUILER Y MANTENIMIENTO DE FUENTE DE AGUA AGENCIA DE INNOVACIÓN C/ VEGA SICILIA 2. AÑO 2022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20002517"/>
    <s v="ADO"/>
    <d v="2022-02-02T00:00:00"/>
    <n v="22022001837"/>
    <s v="2022 05 4331 203"/>
    <n v="39.81"/>
    <x v="65"/>
    <s v="ALQUILER MENSUAL DE FUENTE DE AGUA EN C/ VEGA SICILIA, 2 (A.I.D.E.) // PERIODO: 05/08/2021 - 04/09/2021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20006818"/>
    <s v="ADO"/>
    <d v="2022-03-02T00:00:00"/>
    <n v="22022002510"/>
    <s v="2022 05 4331 203"/>
    <n v="39.81"/>
    <x v="65"/>
    <s v="Alquiler Mensual de Fuente de Agua //// C/ Vega Sicilia 2 ///   PERIODO: DE 05/12/2021  AL 04/01/2022 /// AGENCIA DE INN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19000859"/>
    <s v="AD"/>
    <d v="2022-01-01T00:00:00"/>
    <n v="22022000098"/>
    <s v="2022 04 9202 16205"/>
    <n v="12464.47"/>
    <x v="66"/>
    <s v="GASTO DE SEGURO DE RESPONSABILIDAD DE AUTORIDADES Y PERSONA EXP.71/2021, LOTE 5  1/04/2022 AL 30/09/2022."/>
    <s v="220"/>
    <s v="MADRID"/>
    <s v="MADRID"/>
    <x v="0"/>
    <s v="PrAbier - Procedimiento Abierto"/>
    <s v="MultiC - MultiCriterio"/>
    <x v="1"/>
    <x v="0"/>
    <s v="1"/>
    <s v="1. Gastos de personal"/>
    <s v="04"/>
    <x v="5"/>
    <s v="9202"/>
    <s v="9202. Gestión de recursos humanos"/>
    <s v="16"/>
    <s v="16205"/>
  </r>
  <r>
    <n v="220220003279"/>
    <s v="AD"/>
    <d v="2022-02-10T00:00:00"/>
    <n v="22022001537"/>
    <s v="2022 07 1721 22799"/>
    <n v="2884.76"/>
    <x v="67"/>
    <s v="TRATAMIENTO PROTECCIÓN CONTRA CORROSIÓN EN LA CABINA DE VALLADOLID SUR DE LA RCCAVA. PLAZO EJECUCION UN ME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3844"/>
    <s v="AD"/>
    <d v="2022-02-16T00:00:00"/>
    <n v="22022002267"/>
    <s v="2022 06 2315 22611"/>
    <n v="726"/>
    <x v="68"/>
    <s v="REALIZACIÓN DE 4 CONFERENCIAS SOBRE MUJER, IGUALDAD Y VIOLENCIA DE GENERO"/>
    <s v="220"/>
    <s v="LA CISTERNIGA (VALLADOLID)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689"/>
    <s v="AD"/>
    <d v="2022-01-01T00:00:00"/>
    <n v="22022000243"/>
    <s v="2022 02 9332 22700"/>
    <n v="261021.69"/>
    <x v="34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700"/>
  </r>
  <r>
    <n v="220219000339"/>
    <s v="AD"/>
    <d v="2022-01-01T00:00:00"/>
    <n v="22022000503"/>
    <s v="2022 11 1321 22799"/>
    <n v="259256.92"/>
    <x v="69"/>
    <s v="2ª PRÓRROGA CONTRATO RETIRADA DE VEHÍCULOS DE LA VÍA PÚBLICA DEL 1 DE ENERO AL 24 DE SEPTIEMBRE DE 2022."/>
    <s v="220"/>
    <s v="SEGOVIA"/>
    <s v="SEGOVIA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19000779"/>
    <s v="AD"/>
    <d v="2022-01-01T00:00:00"/>
    <n v="22022002007"/>
    <s v="2022 08 1532 619"/>
    <n v="259236.79"/>
    <x v="70"/>
    <s v="Adjudicación contrato obras de ensanche plataforma y firme, creación acera y carril bici Cañada Real (exp. 9/2021)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0312"/>
    <s v="ADO"/>
    <d v="2022-01-21T00:00:00"/>
    <n v="22022001271"/>
    <s v="2022 03 9241 212"/>
    <n v="70.48"/>
    <x v="71"/>
    <s v="RECAMBIO MONTURA CISTERNA / UNIFILL ALIMENTACION LAT. GEBERIT / DESCARGADOR CISTERNA / CC PARQUESOL-TEATRO"/>
    <s v="24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097"/>
    <s v="AD"/>
    <d v="2022-01-01T00:00:00"/>
    <n v="22022000034"/>
    <s v="2022 06 2314 22799"/>
    <n v="207428.52"/>
    <x v="72"/>
    <s v="SE-EIJI 6/2020 P.S. 4. CONTRATO DINAMIZACIÓN ESPACIO JOVEN NORTE LOTE 1. REAJUSTE ANUALIDADES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1221"/>
    <s v="AD"/>
    <d v="2022-01-01T00:00:00"/>
    <n v="22022001490"/>
    <s v="2022 03 9241 22799"/>
    <n v="197128"/>
    <x v="72"/>
    <s v="SERVICIO DE GESTIÓN INTEGRAL DE UNA PARTE DE LAS ACTIVIDADES DEL PROGRAMA VALLANOCHE/VALLATARDE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99"/>
  </r>
  <r>
    <n v="220219000863"/>
    <s v="AD"/>
    <d v="2022-01-01T00:00:00"/>
    <n v="22022000608"/>
    <s v="2022 11 3111 203"/>
    <n v="545"/>
    <x v="73"/>
    <s v="ALQUILER MODULO AISLADO PARA VESTUARIOS Y ASEO EN CENTRO MUNICIPAL DE PROTECCIÓN ANIMAL"/>
    <s v="220"/>
    <s v="SANTOVENIA DE  PISUERGA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0"/>
    <s v="203"/>
  </r>
  <r>
    <n v="220220010317"/>
    <s v="AD"/>
    <d v="2022-03-21T00:00:00"/>
    <n v="22022002891"/>
    <s v="2022 03 9241 22609"/>
    <n v="880"/>
    <x v="74"/>
    <s v="Actuación en el CC Pilarica el día 9/4/2022 y en el CC Bailarín Vicente Escudero el día 15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450"/>
    <s v="AD"/>
    <d v="2022-02-11T00:00:00"/>
    <n v="22022002128"/>
    <s v="2022 11 1321 213"/>
    <n v="2000"/>
    <x v="75"/>
    <s v="LAVADO EXTERIOR DE VEHÍCULOS DE LA POLICÍA MUNICIPAL."/>
    <s v="220"/>
    <s v="ARAPILES"/>
    <s v="SALAMANC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4182"/>
    <s v="D"/>
    <d v="2022-02-18T00:00:00"/>
    <n v="22022000026"/>
    <s v="2022 11 1621 214"/>
    <n v="1634.23"/>
    <x v="76"/>
    <s v="AC MARCO EXP V36-2017: SUMINISTRO DE REPUESTOS /// VEHICULOS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4"/>
    <s v="D"/>
    <d v="2022-02-18T00:00:00"/>
    <n v="22022000026"/>
    <s v="2022 11 1621 214"/>
    <n v="1248.07"/>
    <x v="76"/>
    <s v="AC MARCO EXP V36/2017: RECAMBIOS PARA REPARACIOÓN VEHÍCULOS DEL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377"/>
    <s v="D"/>
    <d v="2022-03-11T00:00:00"/>
    <n v="22022000026"/>
    <s v="2022 11 1621 214"/>
    <n v="686.14"/>
    <x v="76"/>
    <s v="RECAMBIOS PARA VEHÍCULOS (1520DZM / 0755 DWR / E3812BDK / 6976DHV), TALLER Y ALMACÉN /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563"/>
    <s v="D"/>
    <d v="2022-03-11T00:00:00"/>
    <n v="22022000026"/>
    <s v="2022 11 1621 214"/>
    <n v="594.91999999999996"/>
    <x v="76"/>
    <s v="AC MARCO EXP V36-2017: REPUESTOS PARA REPARACIONES VEHICULOS DEL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5938"/>
    <s v="AD"/>
    <d v="2022-02-24T00:00:00"/>
    <n v="22022002442"/>
    <s v="2022 05 4312 22199"/>
    <n v="36"/>
    <x v="76"/>
    <s v="Compra de suministros de cuatro spray de pintura para el pavimento de los mercadillos de Valladolid."/>
    <s v="220"/>
    <s v="VALLADOLID"/>
    <s v="VALLADOLID"/>
    <x v="3"/>
    <s v="PrAbier - Procedimiento Abierto"/>
    <s v="MultiC - MultiCriterio"/>
    <x v="1"/>
    <x v="0"/>
    <s v="2"/>
    <s v="2. Gastos corrientes en bienes y servicios"/>
    <s v="05"/>
    <x v="3"/>
    <s v="4312"/>
    <s v="4312. Mercados, abastos y lonjas"/>
    <s v="22"/>
    <s v="22199"/>
  </r>
  <r>
    <n v="220220000364"/>
    <s v="AD"/>
    <d v="2022-01-24T00:00:00"/>
    <n v="22022001521"/>
    <s v="2022 03 9241 212"/>
    <n v="2940.3"/>
    <x v="77"/>
    <s v="SUMINISTRO DE CORTINAS DE OSCURECIMIENTO PARA CC PARQUESOL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09000459"/>
    <s v="AD"/>
    <d v="2022-01-01T00:00:00"/>
    <n v="22022000191"/>
    <s v="2022 06 3231 22799"/>
    <n v="255333.33"/>
    <x v="37"/>
    <s v="EXPTE. SE-EIJI 10/2020. CTTO GESTION EIM CAMPANILLA LOTE 1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0059033"/>
    <s v="AD"/>
    <d v="2022-02-28T00:00:00"/>
    <n v="22021004333"/>
    <s v="2022 09 3341 632"/>
    <n v="243158.73"/>
    <x v="78"/>
    <s v="CONTRATO DE  OBRA  ADECUACION ESPACIO MARCELINA PONCELA COMO CENTRO ALMACENAMIENTO Y RESTAURACION PATRIMONIO MUEBLE"/>
    <s v="220"/>
    <s v="VALLADOLID"/>
    <s v="VALLADOLID"/>
    <x v="1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20001709"/>
    <s v="AD"/>
    <d v="2022-01-27T00:00:00"/>
    <n v="22022001625"/>
    <s v="2022 10 2311 212"/>
    <n v="81.31"/>
    <x v="77"/>
    <s v="Compra de persiana veneciana Bandalux lama de 25mm para Ceas Juan de Austria en enero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0366"/>
    <s v="AD"/>
    <d v="2022-01-24T00:00:00"/>
    <n v="22022001527"/>
    <s v="2022 08 1532 22199"/>
    <n v="1100"/>
    <x v="79"/>
    <s v="Adquisición de agua mineral en garrafas para el Parque de Vías Públicas, durante el ejercicio 2022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99"/>
  </r>
  <r>
    <n v="220219000579"/>
    <s v="AD"/>
    <d v="2022-01-01T00:00:00"/>
    <n v="22022000568"/>
    <s v="2022 04 9231 22799"/>
    <n v="236250"/>
    <x v="16"/>
    <s v="SEGUNDA PRORROGA SERVICIO ATENCION TELEFONICA 010, CENTRALITA Y ATENCION PRESENCIAL - INFORMACIO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20008969"/>
    <s v="AD"/>
    <d v="2022-03-15T00:00:00"/>
    <n v="22022002570"/>
    <s v="2022 05 4331 22799"/>
    <n v="15609"/>
    <x v="80"/>
    <s v="ASISTENCIA TÉCNICA EN MATERIA DE VALIDACIÓN Y VERIFICACIÓN FUNCIONAL DE LAS SOLUCIONES DESPLEGADAS INICIATIVAS S2CITY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0180"/>
    <s v="D"/>
    <d v="2022-03-18T00:00:00"/>
    <n v="22022000672"/>
    <s v="2022 04 9231 22201"/>
    <n v="236000"/>
    <x v="81"/>
    <s v="CONTRATO SERVICIOS POSTALES AYTO. VALLADOLID - AÑOS 2022 - LOTE 2"/>
    <s v="300"/>
    <s v="TORREJON DE ARDOZ"/>
    <s v="MADR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0001789"/>
    <s v="AD"/>
    <d v="2022-01-28T00:00:00"/>
    <n v="22022001647"/>
    <s v="2022 11 1321 213"/>
    <n v="7247.9"/>
    <x v="82"/>
    <s v="MANTENIMIENTO PROGRAMA INFORMÁTICO DE GESTIÓN SISTEMA DE CALIDAD DE POLICÍA MUNICIPAL. EJERCICIO 2022"/>
    <s v="220"/>
    <s v="LA CORUÑA"/>
    <s v="LA CORUÑ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1225"/>
    <s v="AD"/>
    <d v="2022-01-01T00:00:00"/>
    <n v="22022002195"/>
    <s v="2022 02 9332 632"/>
    <n v="15367"/>
    <x v="83"/>
    <s v="CONTRATO REDAC. PROYECTO Y DIREC.FACULTATIVA DE LAS OBRAS CONSOLIDAC.EDIFICIO CONVENTO STA.CATALINA DE SIENA"/>
    <s v="220"/>
    <s v="VALLADOLID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5679"/>
    <s v="D"/>
    <d v="2022-02-22T00:00:00"/>
    <n v="22022001453"/>
    <s v="2022 11 1321 214"/>
    <n v="62.44"/>
    <x v="84"/>
    <s v="ACUERDO MARCO. REPRACIÓN VEHÍCULO MATRÍCULA: 7005-LJX ."/>
    <s v="300"/>
    <s v="ARROYO DE LA ENCOMIENDA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7945"/>
    <s v="AD"/>
    <d v="2022-03-08T00:00:00"/>
    <n v="22022002650"/>
    <s v="2022 02 9332 214"/>
    <n v="684.03"/>
    <x v="84"/>
    <s v="REVISIONES OFICIALES PARA GARANTÍA DE LOS ÚLTIMOS VEHÍCULOS ADQUIRIDOS POR EL CMEI"/>
    <s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2740"/>
    <s v="D"/>
    <d v="2022-03-24T00:00:00"/>
    <n v="22022001451"/>
    <s v="2022 02 9332 214"/>
    <n v="191.93"/>
    <x v="84"/>
    <s v="REVISION DE VEHICULO MATRICULA 5901LFX (M.O.) // MATERIALES: ESCOBILL/ ACEITE/ MANUAL/ JUNTA TAPÓN VACÍA/ FILTRO ACEITE"/>
    <s v="300"/>
    <s v="ARROYO DE LA ENCOMIENDA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0324"/>
    <s v="AD"/>
    <d v="2022-03-21T00:00:00"/>
    <n v="22022002900"/>
    <s v="2022 03 9241 22609"/>
    <n v="598.95000000000005"/>
    <x v="85"/>
    <s v="Actuación de Jaime Lafuente en CIC Natividad Álvarez Chacón, día 08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936"/>
    <s v="AD"/>
    <d v="2022-02-17T00:00:00"/>
    <n v="22022001526"/>
    <s v="2022 08 1532 203"/>
    <n v="2904"/>
    <x v="86"/>
    <s v="Alquier maquinaria sin conductor (rodillos compactadores varios tamaños, carretillas elevadoras, barredoras..) a demada.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20003526"/>
    <s v="AD"/>
    <d v="2022-02-14T00:00:00"/>
    <n v="22022002096"/>
    <s v="2022 06 2315 22799"/>
    <n v="9629.23"/>
    <x v="87"/>
    <s v="CONTRATACIÓN DE LA INTEGRACIÓN DEL CENTRO M. DE LA IGUALDAD EN LA RED MUNICIPAL DE VOZ Y DATOS DEL AYTO VALL EN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13282"/>
    <s v="ADO"/>
    <d v="2022-03-30T00:00:00"/>
    <n v="22022002929"/>
    <s v="2022 07 1623 22700"/>
    <n v="235306.64"/>
    <x v="52"/>
    <s v="TONELADAS DE RESIDUOS RECOGIDAS DE FORM./ ENSERES/ PODAS Y SIEGAS/ RSU // MES FEBRERO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9691"/>
    <s v="D"/>
    <d v="2022-03-17T00:00:00"/>
    <n v="22022001940"/>
    <s v="2022 04 9204 641"/>
    <n v="227483.54"/>
    <x v="88"/>
    <s v="IMPLANTACIÓN, EVOLUCIÓN Y MTO. DE LA PLATAFORMA DE ADMÓN ELECTRÓNICA  BASADA EN MOAD, LOTE 1 (68/2020)"/>
    <s v="300"/>
    <s v="SEVILL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580"/>
    <s v="AD"/>
    <d v="2022-01-01T00:00:00"/>
    <n v="22022000569"/>
    <s v="2022 04 9204 216"/>
    <n v="227475.7"/>
    <x v="45"/>
    <s v="ASISTENCIA TÉCNICA OPERACIÓN, CAU, Y MANTENIMIENTO  DEL SOFTWARE DE BASE Y COMUNICACIONES LOTE 3, 1/1 AL 30/10/22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9348"/>
    <s v="AD"/>
    <d v="2022-03-16T00:00:00"/>
    <n v="22022002708"/>
    <s v="2022 10 2312 213"/>
    <n v="308.26"/>
    <x v="89"/>
    <s v="BATERIA Y PARCHES PARA EL DESFIBRILADOR DEL CPM ZONA ESTE- DURACION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9364"/>
    <s v="AD"/>
    <d v="2022-03-16T00:00:00"/>
    <n v="22022002836"/>
    <s v="2022 11 1361 22199"/>
    <n v="193.6"/>
    <x v="90"/>
    <s v="Altavoz para sirenas del vehículo de rescate acuático FSA 16, matr. 0012 KJV; SEISYPC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283"/>
    <s v="AD"/>
    <d v="2022-02-01T00:00:00"/>
    <n v="22022001630"/>
    <s v="2022 06 2315 22611"/>
    <n v="5600"/>
    <x v="91"/>
    <s v="TALLERES PRACTICOS DE DESARROLLO, FOMENTO Y CONCIENCIACION DE LA IGUALDAD 2022"/>
    <s v="220"/>
    <s v="BURGOS"/>
    <s v="BURGOS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526"/>
    <s v="AD"/>
    <d v="2022-01-01T00:00:00"/>
    <n v="22022000207"/>
    <s v="2022 06 3231 22700"/>
    <n v="213098.76"/>
    <x v="92"/>
    <s v="PR-SE 31/2020. CONTRATO CENTRALIZADO DE LIMPIEZA EDIFICIOS MUNICIPALES. AREA 06. ESCUELAS INFANTILES MUNICIPALES.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0000108"/>
    <s v="AD"/>
    <d v="2022-01-20T00:00:00"/>
    <n v="22022001205"/>
    <s v="2022 01 9205 22199"/>
    <n v="4840"/>
    <x v="93"/>
    <s v="ADJUDICA SUMINISTRO RESMAS PAPELES ESTUCADOS DISTINTOS TIPOS Y GRAMAJES PARA TRABAJOS IMPRENTA AÑO 2022"/>
    <s v="220"/>
    <s v="VELILLA DE SAN ANTONI"/>
    <s v="MADR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19001233"/>
    <s v="AD"/>
    <d v="2022-01-01T00:00:00"/>
    <n v="22022001482"/>
    <s v="2022 07 1711 619"/>
    <n v="212499.6"/>
    <x v="94"/>
    <s v="CONTRATO MANTENIMIENTO DEL MOBILIARIO URBANO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914"/>
    <s v="AD"/>
    <d v="2022-01-01T00:00:00"/>
    <n v="22022000110"/>
    <s v="2022 10 2312 22100"/>
    <n v="95000"/>
    <x v="5"/>
    <s v="CONTRATO SUMINISTRO ENERGIA ELECTRICA EN LOS CPM MUNICIPALES ,  NO TRANSFERIDOS,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9000920"/>
    <s v="AD"/>
    <d v="2022-01-01T00:00:00"/>
    <n v="22022000116"/>
    <s v="2022 11 1321 22100"/>
    <n v="95000"/>
    <x v="5"/>
    <s v="NUEVO CONTRATO DE ENERGÍA ELÉCTRICA PARA POLICIA MUNICIPAL  EJERCICI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0"/>
  </r>
  <r>
    <n v="220209000786"/>
    <s v="AD"/>
    <d v="2022-01-01T00:00:00"/>
    <n v="22022000310"/>
    <s v="2022 06 2314 22799"/>
    <n v="209649.57"/>
    <x v="95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0699"/>
    <s v="AD"/>
    <d v="2022-01-01T00:00:00"/>
    <n v="22022002004"/>
    <s v="2022 09 3341 632"/>
    <n v="206086.54"/>
    <x v="78"/>
    <s v="EJECUCION OBRA ADECUACION ESPACIO MARCELINA PONCELA COMO CENTRO ALMACENAMIENTO Y RESTAURACION PATRIMONIO MUEBLE AYTO"/>
    <s v="220"/>
    <s v="VALLADOLID"/>
    <s v="VALLADOLID"/>
    <x v="1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10056320"/>
    <s v="AD"/>
    <d v="2022-02-28T00:00:00"/>
    <n v="22021005190"/>
    <s v="2022 08 1341 619"/>
    <n v="200779.08"/>
    <x v="42"/>
    <s v="PRÓRROGA LOTE 2 SEÑALIZACIÓN HORIZONTAL &quot;&quot;CONTRATO SEÑALIZACIÓN VIAL EN VALLADOLID&quot;&quot; EXP 11/2018 (P.S.-1) Agosto-Dic'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09000532"/>
    <s v="AD"/>
    <d v="2022-01-01T00:00:00"/>
    <n v="22022000209"/>
    <s v="2022 11 1631 22103"/>
    <n v="200000"/>
    <x v="17"/>
    <s v="CONTRATO SUMINISTRO GASÓLEO PARA VEHÍCULOS DEL S. DE LIMPIEZA VIARIA PARA LOS AÑOS 2021 Y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19001232"/>
    <s v="AD"/>
    <d v="2022-01-01T00:00:00"/>
    <n v="22022001481"/>
    <s v="2022 07 1711 619"/>
    <n v="199645.22"/>
    <x v="92"/>
    <s v="CONTRATO MANTENIMIENTO AREAS DE JUEGOS INFANTILES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938"/>
    <s v="AD"/>
    <d v="2022-01-01T00:00:00"/>
    <n v="22022000134"/>
    <s v="2022 04 9204 22100"/>
    <n v="85000"/>
    <x v="5"/>
    <s v="SUMINISTRO ENERGÍA ELÉCTRICA, EDIFICIO ENRIQUE IV,  1/01/2022 A 31/12/2023"/>
    <s v="220"/>
    <s v="BILBAO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100"/>
  </r>
  <r>
    <n v="220220001614"/>
    <s v="AD"/>
    <d v="2022-01-26T00:00:00"/>
    <n v="22022001590"/>
    <s v="2022 11 1631 22110"/>
    <n v="1370"/>
    <x v="96"/>
    <s v="SUMINISTRO DE 1,050 TM DE UREA PARA ESPARCIDO EN ZONAS Y VÍAS PÚBLICAS SENSIBLES A LA SAL CON MOTIVO DE HELADAS"/>
    <s v="220"/>
    <s v="SILLA"/>
    <s v="VALENCIA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110"/>
  </r>
  <r>
    <n v="220219000922"/>
    <s v="AD"/>
    <d v="2022-01-01T00:00:00"/>
    <n v="22022000118"/>
    <s v="2022 09 3341 22100"/>
    <n v="83000"/>
    <x v="5"/>
    <s v="SUMINISTRO ENERGÍA ELÉCTRICA CÚPULA DEL MILENIO, ROSA CHACEL Y GALERIAS VALLADOLID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100"/>
  </r>
  <r>
    <n v="220209000524"/>
    <s v="AD"/>
    <d v="2022-01-01T00:00:00"/>
    <n v="22022000205"/>
    <s v="2022 06 3231 22799"/>
    <n v="195573.33"/>
    <x v="97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0872"/>
    <s v="AD"/>
    <d v="2022-01-01T00:00:00"/>
    <n v="22022002158"/>
    <s v="2022 04 9202 641"/>
    <n v="188864.7"/>
    <x v="98"/>
    <s v="EXPEDIENTE DE APLICACION DE GESTION INTEGRAL DE RECURSOS HUMANOS 2021/2024- AÑOS 22/24."/>
    <s v="220"/>
    <s v="SEVILLA"/>
    <s v="SEVILLA"/>
    <x v="6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0003291"/>
    <s v="AD"/>
    <d v="2022-02-10T00:00:00"/>
    <n v="22022001870"/>
    <s v="2022 11 1621 212"/>
    <n v="20685.599999999999"/>
    <x v="42"/>
    <s v="OBRA DE REPINTADO DE MARCAS VIALES EN NAVE PÀRKING VEHICULOS Y APARCAMIENTO PERSONAL DEL Sº DE LIMPIEZA"/>
    <s v="220"/>
    <s v="VALLADOLID"/>
    <s v="VALLADOLID"/>
    <x v="1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19000749"/>
    <s v="AD"/>
    <d v="2022-01-01T00:00:00"/>
    <n v="22022002061"/>
    <s v="2022 07 1711 610"/>
    <n v="187500"/>
    <x v="99"/>
    <s v="PRORROGA CONTRATO MANTENIMIENTO JARDINES ZONAS SUR Y ESTE-LOTE 2, HASTA 30/9/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03290"/>
    <s v="AD"/>
    <d v="2022-02-10T00:00:00"/>
    <n v="22022001596"/>
    <s v="2022 11 1321 22706"/>
    <n v="18149"/>
    <x v="100"/>
    <s v="CONTRATACIÓN DEL SERV. DE CONSULTORÍA PARA LICITACIÓN DE LA IMPLANTACIÓN DE LA RED DE COMUNICACIONES DE POLICIA Y SEISPC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09000722"/>
    <s v="AD"/>
    <d v="2022-01-01T00:00:00"/>
    <n v="22022000259"/>
    <s v="2022 10 2312 22700"/>
    <n v="181339.22"/>
    <x v="34"/>
    <s v="CONTRATO LIMPIEZA PARA LOS CPM NO TRANSFERIDOS 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219001103"/>
    <s v="AD"/>
    <d v="2022-01-01T00:00:00"/>
    <n v="22022000494"/>
    <s v="2022 01 9206 22706"/>
    <n v="80500"/>
    <x v="101"/>
    <s v="DIVERSOS SERVICIOS PRESTADOS POR ARCAL GESTIÓN DOCUMENTAL AL ARCHIVO MUNICIPAL, DURANTE EL AÑ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2"/>
    <s v="22706"/>
  </r>
  <r>
    <n v="220209000721"/>
    <s v="AD"/>
    <d v="2022-01-01T00:00:00"/>
    <n v="22022000258"/>
    <s v="2022 10 2312 22700"/>
    <n v="179648.24"/>
    <x v="34"/>
    <s v="CONTRATO LIMPIEZA PARA LOS CPM TRANSFERIDOS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220009344"/>
    <s v="AD"/>
    <d v="2022-03-16T00:00:00"/>
    <n v="22022002647"/>
    <s v="2022 10 2312 215"/>
    <n v="1681.9"/>
    <x v="102"/>
    <s v="TAPIZADO DE DOS MESA DE BILLAR Y SUSTITUCION DE GOMAS DEL CPM DELICIAS-DURACION 1 DIA"/>
    <s v="220"/>
    <s v="BERNARDOS"/>
    <s v="SEGOVIA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5"/>
  </r>
  <r>
    <n v="220219000414"/>
    <s v="AD"/>
    <d v="2022-01-01T00:00:00"/>
    <n v="22022000550"/>
    <s v="2022 01 9203 22000"/>
    <n v="26111.05"/>
    <x v="103"/>
    <s v="PRÓRROGA CONTRATO SUMINISTRO MATERIAL ORDINARIO NO INVENTARIABLE AYTO VALLADOLID, LOTE 6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0028168"/>
    <s v="AD"/>
    <d v="2022-03-11T00:00:00"/>
    <n v="22021003715"/>
    <s v="2022 11 3111 632"/>
    <n v="6267.8"/>
    <x v="104"/>
    <s v="REDACCION DEL PROYECTO Y LA DIRECCION FACULTATIVA DE LA OBRA DE MEJORA DE LAS INSTALACIONES DEL CMPA"/>
    <s v="220"/>
    <s v="VALLADOLID"/>
    <s v="VALLADOLID"/>
    <x v="0"/>
    <s v="AdDirec - Adjudicación Directa"/>
    <s v="SinC - Sin Criterio"/>
    <x v="2"/>
    <x v="0"/>
    <s v="6"/>
    <s v="6. Inversiones reales"/>
    <s v="11"/>
    <x v="6"/>
    <s v="3111"/>
    <s v="3111. Protección de la salubridad pública"/>
    <s v="63"/>
    <s v="632"/>
  </r>
  <r>
    <n v="220220003856"/>
    <s v="AD"/>
    <d v="2022-02-16T00:00:00"/>
    <n v="22022002309"/>
    <s v="2022 06 3231 213"/>
    <n v="880.88"/>
    <x v="105"/>
    <s v="REPARACIÓN FUGA TUBERÍAS EN ZONA DE JARDÍN EN LA EIM CABALLITO BLANCO. MAQUINARIA ESPECÍFICA."/>
    <s v="220"/>
    <s v="VALDESTILLAS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20008290"/>
    <s v="AD"/>
    <d v="2022-03-10T00:00:00"/>
    <n v="22022002739"/>
    <s v="2022 11 3111 22699"/>
    <n v="779.24"/>
    <x v="105"/>
    <s v="AVERIA RED ABASTECIMIENTO CASA BARCO: RETRO PARA CMEI"/>
    <s v="220"/>
    <s v="VALDESTILLAS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699"/>
  </r>
  <r>
    <n v="220220012357"/>
    <s v="AD"/>
    <d v="2022-03-23T00:00:00"/>
    <n v="22022002888"/>
    <s v="2022 06 3231 212"/>
    <n v="423.5"/>
    <x v="105"/>
    <s v="REPARACIÓN RED SANEAMIENTO EN LA EIM EL PRINCIPITO. PLAZO EJECUCION 1 DIA"/>
    <s v="220"/>
    <s v="VALDESTILLAS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8362"/>
    <s v="D"/>
    <d v="2022-03-11T00:00:00"/>
    <n v="22022000901"/>
    <s v="2022 11 1621 214"/>
    <n v="1248.27"/>
    <x v="106"/>
    <s v="REP. VEHÍCULO 9107JCH: FUGA DE GASOIL / SIST. ELÉCTRICOS (M.O.+ MATERIALES)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248"/>
    <s v="AD"/>
    <d v="2022-01-01T00:00:00"/>
    <n v="22022002186"/>
    <s v="2022 10 2312 622"/>
    <n v="179508.25"/>
    <x v="15"/>
    <s v="obra del proyecto modificado de CPM Parquesol debido a cimentación del terreno-2022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6700"/>
    <s v="AD"/>
    <d v="2022-02-25T00:00:00"/>
    <n v="22022002530"/>
    <s v="2022 11 1321 22706"/>
    <n v="7018"/>
    <x v="107"/>
    <s v="REDACCIÓN PROYECTO TÉCNICO  ACONDICIONAMIENTO LOCAL PARA COMISARÍA P. MUNICIPAL C/ ALONSO PESQUERA, 9, 11, 13, 15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19000913"/>
    <s v="AD"/>
    <d v="2022-01-01T00:00:00"/>
    <n v="22022000109"/>
    <s v="2022 10 2312 22100"/>
    <n v="65000"/>
    <x v="5"/>
    <s v="CONTRATO SUMINISTRO ENERGIA ELECTRICA DE LOS CPM TRANSFERISOS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9000918"/>
    <s v="AD"/>
    <d v="2022-01-01T00:00:00"/>
    <n v="22022000114"/>
    <s v="2022 06 2314 22100"/>
    <n v="65000"/>
    <x v="5"/>
    <s v="PR-SE 13/2021. NUEVO CONTRATO SUMINISTRO DE ENERGÍA ELÉCTRICA AYUNTAMIENTO DE VALLADOLID. ESPACIOS JOVEN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19000927"/>
    <s v="AD"/>
    <d v="2022-01-01T00:00:00"/>
    <n v="22022000123"/>
    <s v="2022 11 1631 22100"/>
    <n v="65000"/>
    <x v="5"/>
    <s v="SUMINISTRO ENERGIA ELECTRICA S. LIMPIEZA VIARI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0"/>
  </r>
  <r>
    <n v="220209000790"/>
    <s v="AD"/>
    <d v="2022-01-01T00:00:00"/>
    <n v="22022000311"/>
    <s v="2022 03 9241 22701"/>
    <n v="174990.1"/>
    <x v="108"/>
    <s v="CELADURIA CENTROS CIVICOS LOTE 3 2021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09000759"/>
    <s v="AD"/>
    <d v="2022-01-01T00:00:00"/>
    <n v="22022000279"/>
    <s v="2022 02 9331 224"/>
    <n v="170526.49"/>
    <x v="109"/>
    <s v="CONTRATACIÓN AÑOS 2021-2022 SEGURO FLOTA DE VEHÍCULOS (LOTE 3) AYTO  VALLADOLID (Exp. 15/2020) Jta Gob 16 y 23-12-2020."/>
    <s v="220"/>
    <s v="GETXO"/>
    <s v="VIZCAYA"/>
    <x v="7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12356"/>
    <s v="AD"/>
    <d v="2022-03-23T00:00:00"/>
    <n v="22022002864"/>
    <s v="2022 06 2315 22611"/>
    <n v="700"/>
    <x v="110"/>
    <s v="Monólogo &quot;&quot;No sólo duelen los golpes&quot;&quot; representado por Pamela Palenciano. Proyecto sensibilización igualdad género 19/03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0083430"/>
    <s v="AD"/>
    <d v="2022-02-28T00:00:00"/>
    <n v="22021008006"/>
    <s v="2022 08 1532 625"/>
    <n v="166907.4"/>
    <x v="111"/>
    <s v="AMPLIACIÓN CONTRATO MOBILIARIO URBANO CON LA ADQUISICIÓN DE 6 ASEOS DE LÍNEA BUS"/>
    <s v="220"/>
    <s v="MADRID"/>
    <s v="MADRID"/>
    <x v="7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5"/>
  </r>
  <r>
    <n v="220209000618"/>
    <s v="AD"/>
    <d v="2022-01-01T00:00:00"/>
    <n v="22022002098"/>
    <s v="2022 04 9204 641"/>
    <n v="163095.57"/>
    <x v="112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1713"/>
    <s v="AD"/>
    <d v="2022-01-27T00:00:00"/>
    <n v="22022001659"/>
    <s v="2022 11 1321 213"/>
    <n v="3518.64"/>
    <x v="113"/>
    <s v="MANTENIMIENTO DE DOS ASCENSORES EN EDIFICIO DE JEFATURA DE POLICÍA AVDA. DE BURGOS. EJERCICIO 2022."/>
    <s v="220"/>
    <s v="VIGO"/>
    <s v="PONTEVEDR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6380"/>
    <s v="AD"/>
    <d v="2022-02-25T00:00:00"/>
    <n v="22022002493"/>
    <s v="2022 07 1701 213"/>
    <n v="2333.36"/>
    <x v="113"/>
    <s v="MANTENIMIENTO ASCENSORES EN CASA DEL BARCO Y EDIFICIO ANEXO 2022. PERIODO: 01.01.2022 AL 31.12.2022"/>
    <s v="220"/>
    <s v="VIGO"/>
    <s v="PONTEVEDRA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09000438"/>
    <s v="AD"/>
    <d v="2022-01-01T00:00:00"/>
    <n v="22022000189"/>
    <s v="2022 10 2312 22799"/>
    <n v="160325"/>
    <x v="114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7179"/>
    <s v="AD"/>
    <d v="2022-03-03T00:00:00"/>
    <n v="22022002038"/>
    <s v="2022 10 2312 22799"/>
    <n v="154497.60999999999"/>
    <x v="115"/>
    <s v="prorroga contrato gestión centro ocupacional de 15 enero 22 a 14 febrero 23 (anualidad 2022: 15/1 a 31/12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3512"/>
    <s v="D"/>
    <d v="2022-02-14T00:00:00"/>
    <n v="22022001872"/>
    <s v="2022 04 9204 641"/>
    <n v="152946.42000000001"/>
    <x v="45"/>
    <s v="MIGRACIÓN DEL SISTEMA DEL CORREO ELECTRÓNICO DEL AYTO. DE VALLADOLID A EXCHANGE ON-LINE, LOTE 3 (58/2021)"/>
    <s v="30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915"/>
    <s v="AD"/>
    <d v="2022-01-01T00:00:00"/>
    <n v="22022000111"/>
    <s v="2022 06 3231 22100"/>
    <n v="55000"/>
    <x v="5"/>
    <s v="PR-SE 13/2021. NUEVO CONTRATO SUMINISTRO DE ENERGÍA ELÉCTRICA AYUNTAMIENTO DE VALLADOLID. ESCUELAS INFANTIL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20010313"/>
    <s v="AD"/>
    <d v="2022-03-21T00:00:00"/>
    <n v="22022002873"/>
    <s v="2022 03 9241 213"/>
    <n v="183.18"/>
    <x v="113"/>
    <s v="SUMINISTRO E INSTALACIÓN DE CONTACTOR GENERAL DE VELOCIDAD EN ASCENSOR CC ZONA ESTE"/>
    <s v="220"/>
    <s v="VIGO"/>
    <s v="PONTEVEDRA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09000465"/>
    <s v="AD"/>
    <d v="2022-01-01T00:00:00"/>
    <n v="22022000197"/>
    <s v="2022 06 3231 22799"/>
    <n v="150079.4"/>
    <x v="116"/>
    <s v="EXPTE. SE-EIJI 10/2020. CTTO GESTION EIM PLATERO LOTE 8. AÑO 2021. 01/01 A 31/08/2022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8893"/>
    <s v="AD"/>
    <d v="2022-03-15T00:00:00"/>
    <n v="22022001976"/>
    <s v="2022 08 1513 83100"/>
    <n v="150040"/>
    <x v="117"/>
    <s v="Expediente 33_2019_SEMEU.- Actuaciones actuaciones obligatoriias de carácter subsidiarias/urgente  LOTE 2."/>
    <s v="220"/>
    <s v="MADRID"/>
    <s v="MADRID"/>
    <x v="0"/>
    <s v="PrAbier - Procedimiento Abierto"/>
    <s v="MultiC - MultiCriterio"/>
    <x v="0"/>
    <x v="0"/>
    <s v="8"/>
    <s v="8. Activos financieros"/>
    <s v="08"/>
    <x v="1"/>
    <s v="1513"/>
    <s v="1513. Licencias urbanísticas"/>
    <s v="83"/>
    <s v="83100"/>
  </r>
  <r>
    <n v="220220003484"/>
    <s v="AD"/>
    <d v="2022-02-14T00:00:00"/>
    <n v="22022001962"/>
    <s v="2022 10 2311 213"/>
    <n v="1133.77"/>
    <x v="118"/>
    <s v="Instalación de pulsador con llaves en las entradas del ascensor/Kit de reprogramación. Comedor Social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4069"/>
    <s v="D"/>
    <d v="2022-02-18T00:00:00"/>
    <n v="22022000901"/>
    <s v="2022 11 1621 214"/>
    <n v="382.36"/>
    <x v="119"/>
    <s v="AC MARCO EXP SPSC 23/2020: REPARACION BALLESTAS VEHICULO 0892BHG //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786"/>
    <s v="D"/>
    <d v="2022-03-02T00:00:00"/>
    <n v="22022000901"/>
    <s v="2022 11 1621 214"/>
    <n v="442.86"/>
    <x v="119"/>
    <s v="REPARACION BALLESTAS (1)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685"/>
    <s v="AD"/>
    <d v="2022-01-01T00:00:00"/>
    <n v="22022000087"/>
    <s v="2022 11 1321 22104"/>
    <n v="149531.79999999999"/>
    <x v="120"/>
    <s v="SUMINISTRO DE ROPA POLICIAL EJERCICIO 2022, EXP. SPSC -02/2021. LOTE Nº 2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179000247"/>
    <s v="AD"/>
    <d v="2022-01-01T00:00:00"/>
    <n v="22022000148"/>
    <s v="2022 08 1341 22799"/>
    <n v="146713.46"/>
    <x v="121"/>
    <s v="SISTEMA AUTOMATIZADO PRESTAMO BICICLETAS VALLABICI"/>
    <s v="220"/>
    <s v="OSSA DE MONTIEL"/>
    <s v="ALBACETE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0084928"/>
    <s v="AD"/>
    <d v="2022-02-28T00:00:00"/>
    <n v="22021005307"/>
    <s v="2022 08 1532 609"/>
    <n v="146633.96"/>
    <x v="4"/>
    <s v="ADJUDICACION EXPTE.  Obras de Urbanización Obra Traslado del Parque de Vías Públicas. FASE 2. LOTE 2. Expte.30/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20007932"/>
    <s v="AD"/>
    <d v="2022-03-07T00:00:00"/>
    <n v="22022002612"/>
    <s v="2022 10 2311 213"/>
    <n v="217.8"/>
    <x v="118"/>
    <s v="Inspección periódica obligatoria ascensores albergue municipal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12375"/>
    <s v="AD"/>
    <d v="2022-03-23T00:00:00"/>
    <n v="22022002845"/>
    <s v="2022 10 2311 213"/>
    <n v="159.5"/>
    <x v="118"/>
    <s v="Arreglo del cable de arrastre de puertas del ascensor del Centro Integrado. Marzo 2022.COVID-19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09000356"/>
    <s v="AD"/>
    <d v="2022-01-01T00:00:00"/>
    <n v="22022002094"/>
    <s v="2022 10 2312 622"/>
    <n v="145521.10999999999"/>
    <x v="15"/>
    <s v="OBRA NUEVA CPM PARQUESOL CON SED-(AÑO 2020:288.339,03)    AÑO 2021:2.069.082,85 -2022:145.521,11-TOTAL ADJ:2.502.942,99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0084927"/>
    <s v="AD"/>
    <d v="2022-02-28T00:00:00"/>
    <n v="22021005303"/>
    <s v="2022 08 1532 622"/>
    <n v="144918.73000000001"/>
    <x v="11"/>
    <s v="ADJUDICACIÓN EXPTE.- TRASLADO DEL PARQUE VIAS PÚBLICAS (FASE 2.LOTE 1). Expte. 30/2021  SEMEU.-"/>
    <s v="220"/>
    <s v="ARANDA DE DUERO"/>
    <s v="BURGOS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9000928"/>
    <s v="AD"/>
    <d v="2022-01-01T00:00:00"/>
    <n v="22022000124"/>
    <s v="2022 05 4331 22100"/>
    <n v="50000"/>
    <x v="5"/>
    <s v="2021-13 Contrato de suministro de energia eléctica Instalaciones Municipales Calle Vega Sicilia,2 (Agencia Innovación) ."/>
    <s v="220"/>
    <s v="BILBAO"/>
    <s v="VIZCAYA"/>
    <x v="0"/>
    <s v="PrAbier - Procedimiento Abierto"/>
    <s v="UniC - Único Criterio"/>
    <x v="0"/>
    <x v="0"/>
    <s v="2"/>
    <s v="2. Gastos corrientes en bienes y servicios"/>
    <s v="05"/>
    <x v="3"/>
    <s v="4331"/>
    <s v="4331. Desarrollo empresarial"/>
    <s v="22"/>
    <s v="22100"/>
  </r>
  <r>
    <n v="220219000746"/>
    <s v="AD"/>
    <d v="2022-01-01T00:00:00"/>
    <n v="22022002083"/>
    <s v="2022 05 4331 622"/>
    <n v="142349.34"/>
    <x v="15"/>
    <s v="Adjudicación Obra adecuación de la nave sita en la calle Valle de Arán ,1 . Proyecto 2021/2/4331/1 Obras LUC"/>
    <s v="220"/>
    <s v="ZAMORA"/>
    <s v="ZAMORA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2"/>
    <s v="622"/>
  </r>
  <r>
    <n v="220220002289"/>
    <s v="AD"/>
    <d v="2022-02-01T00:00:00"/>
    <n v="22022001797"/>
    <s v="2022 11 1361 22199"/>
    <n v="135"/>
    <x v="122"/>
    <s v="Cuota anual 2022 como socios de la Asoc Española de lucha contra el fuego (ASELF); SEISYPC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8643"/>
    <s v="ADO"/>
    <d v="2022-03-14T00:00:00"/>
    <n v="22022001188"/>
    <s v="2022 02 9332 213"/>
    <n v="1159"/>
    <x v="123"/>
    <s v="REPARACIÓN DE EQUIPOS TERMOCONVECTORES CON REPUESTOS, SEGÚN PPTO DEL AÑO 2021"/>
    <s v="240"/>
    <s v="VALLADOLID"/>
    <s v="VALLADOLID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0313"/>
    <s v="ADO"/>
    <d v="2022-01-21T00:00:00"/>
    <n v="22022001275"/>
    <s v="2022 03 9241 22609"/>
    <n v="400"/>
    <x v="124"/>
    <s v="Rect. Emit-015-2021 2 // ACTUACIÓN DE VILLANCICOS FLAMENCOS, EN EL CIC CONDE ANSÚREZ. MFS NAVIDAD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3439"/>
    <s v="AD"/>
    <d v="2022-03-31T00:00:00"/>
    <n v="22022003120"/>
    <s v="2022 06 3321 22001"/>
    <n v="135.97"/>
    <x v="125"/>
    <s v="SUSCRIPCIÓN A LA REVISTA &quot;&quot;PEONZA&quot;&quot; DURANTE EL AÑO 2022 PARA LAS BIBLIOTECAS MUNICIPALES."/>
    <s v="220"/>
    <s v="SANTANDER"/>
    <s v="SANTANDER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0326"/>
    <s v="AD"/>
    <d v="2022-03-21T00:00:00"/>
    <n v="22022002903"/>
    <s v="2022 03 9241 22609"/>
    <n v="895"/>
    <x v="126"/>
    <s v="Representación teatral en CC Parquesol y en CC Rondilla los días 9 y 23 de abril 2022, respectivamente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9"/>
    <s v="AD"/>
    <d v="2022-03-21T00:00:00"/>
    <n v="22022002946"/>
    <s v="2022 11 1321 22699"/>
    <n v="490"/>
    <x v="127"/>
    <s v="APERITIVO CON MOTIVO DE ENCUENTRO DEPORTIVO ORGANIZADO POR LA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7107"/>
    <s v="AD"/>
    <d v="2022-03-03T00:00:00"/>
    <n v="22022002549"/>
    <s v="2022 10 2312 22618"/>
    <n v="3602"/>
    <x v="128"/>
    <s v="MUSICOTERAPIA PARA LAS E. DIURNAS DEL CPM ZONA SUR DEL 1 DE MARZO AL 31 DE DICIEMBRE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8"/>
  </r>
  <r>
    <n v="220220013418"/>
    <s v="AD"/>
    <d v="2022-03-31T00:00:00"/>
    <n v="22022001912"/>
    <s v="2022 05 4331 22699"/>
    <n v="8417.85"/>
    <x v="129"/>
    <s v="CUOTA ASOCIADO PROTECTOR ASOCIACION PARA EL PROGRESO DE LA DIRECCION (APD) AÑO 2022"/>
    <s v="220"/>
    <s v="MADRID"/>
    <s v="MADRID"/>
    <x v="4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99"/>
  </r>
  <r>
    <n v="220220009356"/>
    <s v="AD"/>
    <d v="2022-03-16T00:00:00"/>
    <n v="22022002782"/>
    <s v="2022 06 2314 22613"/>
    <n v="2000"/>
    <x v="130"/>
    <s v="COLABORACIÓN Y STAND EN EL XVI SALÓN DEL COMIC Y MANGA DE CASTILLA Y LEON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13"/>
  </r>
  <r>
    <n v="220220002286"/>
    <s v="AD"/>
    <d v="2022-02-01T00:00:00"/>
    <n v="22022001716"/>
    <s v="2022 06 2315 22611"/>
    <n v="380"/>
    <x v="131"/>
    <s v="TALLER PALEOCAPERUTICA EN ATAPUERCA EN EL CENTRO MUNICIPAL DE LA IGUALDAD 2022"/>
    <s v="220"/>
    <s v="ARRAYA DE OCA"/>
    <s v="BURGOS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13423"/>
    <s v="AD"/>
    <d v="2022-03-31T00:00:00"/>
    <n v="22022002981"/>
    <s v="2022 11 1631 22700"/>
    <n v="600"/>
    <x v="132"/>
    <s v="DESRATIZACIONES DE LAS INSTALACIONES DEL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700"/>
  </r>
  <r>
    <n v="220209000439"/>
    <s v="AD"/>
    <d v="2022-01-01T00:00:00"/>
    <n v="22022000190"/>
    <s v="2022 10 2312 22799"/>
    <n v="142175"/>
    <x v="114"/>
    <s v="ANIM.SOCIOC.Y PROM. ENVEJECIMIENTO ACTIVO PARA CPM TRANSFERIDOS de 1/1/21 a 15/09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2256"/>
    <s v="AD"/>
    <d v="2022-02-28T00:00:00"/>
    <n v="22021005726"/>
    <s v="2022 08 1532 619"/>
    <n v="139733.82"/>
    <x v="133"/>
    <s v="Acondicionamiento Plaza grupo Aramburu-Las Viudas, entorno del Centro Municipal Segundo Montes.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1205"/>
    <s v="AD"/>
    <d v="2022-01-01T00:00:00"/>
    <n v="22022001833"/>
    <s v="2022 04 9204 216"/>
    <n v="138344.15"/>
    <x v="134"/>
    <s v="ASIST. TÉCNICA OPERACIÓN, CAU, Y MTO.  DEL SOFTWARE DE BASE Y COMUNICACIONES LOTE 1, DEL 8/2/22 AL 7/2/23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318"/>
    <s v="AD"/>
    <d v="2022-01-01T00:00:00"/>
    <n v="22022002151"/>
    <s v="2022 06 3321 622"/>
    <n v="137124.35"/>
    <x v="15"/>
    <s v="OBRA DEL  PROYECTO MODIFICADO BIBLIOTECA PARQUESOL DEBIDO A CIMENTACIÓN DEL TERRENO 202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6712"/>
    <s v="AD"/>
    <d v="2022-02-28T00:00:00"/>
    <n v="22022001665"/>
    <s v="2022 10 2316 22799"/>
    <n v="136975.75"/>
    <x v="135"/>
    <s v="PRÓRROGA CONTRATO SERV.MEDIACION Y CONVIVENCIA INTERCULTURAL DE 16 MARZO A 31 DIC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10069213"/>
    <s v="AD"/>
    <d v="2022-03-11T00:00:00"/>
    <n v="22021004435"/>
    <s v="2022 11 1321 624"/>
    <n v="131751.73000000001"/>
    <x v="136"/>
    <s v="ADQUISICIÓN DE VEHÍCULOS PARA POLICÍA MUNICIPAL POR RENOVACIÓN DE FLOTA. LOTE Nº 2."/>
    <s v="220"/>
    <s v="SANT FRUITOS DE BAGES"/>
    <s v="BARCELONA"/>
    <x v="3"/>
    <s v="PrAbier - Procedimiento Abierto"/>
    <s v="MultiC - MultiCriterio"/>
    <x v="0"/>
    <x v="0"/>
    <s v="6"/>
    <s v="6. Inversiones reales"/>
    <s v="11"/>
    <x v="6"/>
    <s v="1321"/>
    <s v="1321. Policía municipal"/>
    <s v="62"/>
    <s v="624"/>
  </r>
  <r>
    <n v="220219000912"/>
    <s v="AD"/>
    <d v="2022-01-01T00:00:00"/>
    <n v="22022000108"/>
    <s v="2022 10 2311 22100"/>
    <n v="41200"/>
    <x v="5"/>
    <s v="CONTRATO SUMINISTRO ENERGÍA ELÉCTRICA PARA CENTROS DE ACCIÓN SOCIAL Y ALBERGUE MUNICIPAL -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10030862"/>
    <s v="AD"/>
    <d v="2022-02-28T00:00:00"/>
    <n v="22021003909"/>
    <s v="2022 05 4331 609"/>
    <n v="31.5"/>
    <x v="26"/>
    <s v="Contrato basado en A.M. Control de Callidad para la obra del Corredo Verde- Proyecto URBAN GreenUP G.A. nº 730426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35417"/>
    <s v="AD"/>
    <d v="2022-03-11T00:00:00"/>
    <n v="22021005112"/>
    <s v="2022 07 1711 619"/>
    <n v="1913.53"/>
    <x v="26"/>
    <s v="CONTROL DE CALIDAD MEJORA INSTALACIONES EN PARQUE DE LAS NORIA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36483"/>
    <s v="AD"/>
    <d v="2022-02-28T00:00:00"/>
    <n v="22021004806"/>
    <s v="2022 08 1532 619"/>
    <n v="1742.83"/>
    <x v="26"/>
    <s v="AT.y seguimiento mensual del Control Calidad de Obras municipales y ensayos de laboratorio para obras del SEPI.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36835"/>
    <s v="AD"/>
    <d v="2022-02-28T00:00:00"/>
    <n v="22021005104"/>
    <s v="2022 08 1532 619"/>
    <n v="2176.13"/>
    <x v="26"/>
    <s v="A.T. CONTROL DALIDAD LOTE 2. ACERA Y CARRIL BICI EN CARRETERA DE RUEDA.-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09000687"/>
    <s v="AD"/>
    <d v="2022-01-01T00:00:00"/>
    <n v="22022000241"/>
    <s v="2022 11 1321 22700"/>
    <n v="131496.69"/>
    <x v="34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0"/>
  </r>
  <r>
    <n v="220210037288"/>
    <s v="AD"/>
    <d v="2022-02-28T00:00:00"/>
    <n v="22021004411"/>
    <s v="2022 05 4331 609"/>
    <n v="25.41"/>
    <x v="26"/>
    <s v="Estudio Control Calidad Contrato Obras infraestructura verde: Barreras Acústicas Vegetales(URBAN GreenUP G.A. nº 730426)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37299"/>
    <s v="AD"/>
    <d v="2022-03-11T00:00:00"/>
    <n v="22021005145"/>
    <s v="2022 07 1711 619"/>
    <n v="1755.95"/>
    <x v="26"/>
    <s v="CONTROL DE CALIDAD, REMODELACION FUENTE EN CALLE ALCAPARRA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5807"/>
    <s v="AD"/>
    <d v="2022-02-23T00:00:00"/>
    <n v="22022002401"/>
    <s v="2022 11 1321 22699"/>
    <n v="5935.05"/>
    <x v="137"/>
    <s v="SUMINISTRO DE OBJETOS DIVULGATIVOS CAMPAÑA PREVENCIÓN DE ADICCIONES Y VISITAS A POLICÍA MUNICIPAL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10043824"/>
    <s v="AD"/>
    <d v="2022-02-28T00:00:00"/>
    <n v="22021003909"/>
    <s v="2022 05 4331 609"/>
    <n v="3429.75"/>
    <x v="26"/>
    <s v="A.M. Control de Calidad Obras municipales EJECUCION DE CONTRATO DE OBRAS CORREDOR VERDE-(URBAN GreenUP G.A. nº 730426)"/>
    <s v="220"/>
    <s v="SANT CUGAT DEL VALLES"/>
    <s v="BARCELONA"/>
    <x v="1"/>
    <s v="PrAbier - Procedimiento Abierto"/>
    <s v="UniC - Único Criterio"/>
    <x v="1"/>
    <x v="0"/>
    <s v="6"/>
    <s v="6. Inversiones reales"/>
    <s v="05"/>
    <x v="3"/>
    <s v="4331"/>
    <s v="4331. Desarrollo empresarial"/>
    <s v="60"/>
    <s v="609"/>
  </r>
  <r>
    <n v="220210043856"/>
    <s v="AD"/>
    <d v="2022-03-11T00:00:00"/>
    <n v="22021004898"/>
    <s v="2022 07 1711 619"/>
    <n v="996.32"/>
    <x v="26"/>
    <s v="CONTROL DE CALIDAD, ADECUACION PASARELA PARQUE DE LOS ALMENDRO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43879"/>
    <s v="AD"/>
    <d v="2022-03-11T00:00:00"/>
    <n v="22021005172"/>
    <s v="2022 07 1711 619"/>
    <n v="691.97"/>
    <x v="26"/>
    <s v="CONTROL DE CALIDAD CAMINO PAVIMENTADO JUNTO A PARQUE PATRICIA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9001268"/>
    <s v="AD"/>
    <d v="2022-01-01T00:00:00"/>
    <n v="22022001991"/>
    <s v="2022 04 9204 636"/>
    <n v="131018.86"/>
    <x v="45"/>
    <s v="MANTENIMIENTO Y REPARACIÓN DE LOS EQUIPOS DE TRATAMIENTO DE LA INFORMACIÓN, (SISTEMAS INFORMÁTICOS NO CRÍTICOS), LOTE 1"/>
    <s v="22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10037241"/>
    <s v="AD"/>
    <d v="2022-03-11T00:00:00"/>
    <n v="22021002556"/>
    <s v="2022 11 3111 632"/>
    <n v="449.08"/>
    <x v="26"/>
    <s v="A.M. 009/2020 CONTRATO LOTE 2 : ASISTENCIA TECNICA CONTROL CALIDAD  DE OBRAS REFORMA CMPA"/>
    <s v="220"/>
    <s v="SANT CUGAT DEL VALLES"/>
    <s v="BARCELONA"/>
    <x v="0"/>
    <s v="PrAbier - Procedimiento Abierto"/>
    <s v="MultiC - MultiCriterio"/>
    <x v="1"/>
    <x v="0"/>
    <s v="6"/>
    <s v="6. Inversiones reales"/>
    <s v="11"/>
    <x v="6"/>
    <s v="3111"/>
    <s v="3111. Protección de la salubridad pública"/>
    <s v="63"/>
    <s v="632"/>
  </r>
  <r>
    <n v="220210056296"/>
    <s v="AD"/>
    <d v="2022-02-28T00:00:00"/>
    <n v="22021006395"/>
    <s v="2022 05 4331 622"/>
    <n v="1502.49"/>
    <x v="26"/>
    <s v="A.M. Control de calidad de las obras de adecuación de la Nave ubicada en la calle Valle de Arán nº 1 para Hub de Innovac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0056343"/>
    <s v="AD"/>
    <d v="2022-02-28T00:00:00"/>
    <n v="22021006300"/>
    <s v="2022 06 3231 622"/>
    <n v="4588.8"/>
    <x v="26"/>
    <s v="SE-EIJI 21/2021. PS 1. ASISTENCIA TÉCNICA EN CONTROL DE CALIDAD CONSTRUCCIÓN NUEVA E.I.M. SEPT A DIC DE 2021."/>
    <s v="220"/>
    <s v="SANT CUGAT DEL VALLES"/>
    <s v="BARCELON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56353"/>
    <s v="AD"/>
    <d v="2022-03-11T00:00:00"/>
    <n v="22021006364"/>
    <s v="2022 07 1711 619"/>
    <n v="1324.09"/>
    <x v="26"/>
    <s v="CONTROL DE CALIDAD EJECUCIÓN DE FIRME DE LOS CAMINOS DEL NUEVO BOSQUE URBANO DE SANTA ANA.    V.6/2020   LOTE 1 PS22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63763"/>
    <s v="AD"/>
    <d v="2022-02-28T00:00:00"/>
    <n v="22021006774"/>
    <s v="2022 05 4331 609"/>
    <n v="1625.25"/>
    <x v="26"/>
    <s v="A.M.Control de Calidad en obras LOTE 2  Obra Infraestructura Verde: Barreras Acústicas Vegetales (URBAN GreenUP)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38356"/>
    <s v="AD"/>
    <d v="2022-02-28T00:00:00"/>
    <n v="22021005582"/>
    <s v="2022 05 4312 632"/>
    <n v="79.73"/>
    <x v="26"/>
    <s v="CONTRATO  ASISTENC. TÉCNICA DEL CONTROL DE CALIDAD  (LOTE 2)  OBRA DE REPARACIÓN DE LAS ESCALERAS DE ACCESO  M. DELICIAS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12"/>
    <s v="4312. Mercados, abastos y lonjas"/>
    <s v="63"/>
    <s v="632"/>
  </r>
  <r>
    <n v="220210065440"/>
    <s v="AD"/>
    <d v="2022-03-11T00:00:00"/>
    <n v="22021006468"/>
    <s v="2022 07 1711 619"/>
    <n v="3354.3"/>
    <x v="26"/>
    <s v="CONTROL DE CALIDAD INSTALACION JUEGOS INFANTILES EN CAMPO GRANDE, JUNTO ACERA DE RECOLETO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315"/>
    <s v="AD"/>
    <d v="2022-03-11T00:00:00"/>
    <n v="22021006868"/>
    <s v="2022 07 1711 619"/>
    <n v="1631.63"/>
    <x v="26"/>
    <s v="CONTROL DE CALIDAD SUMINISTRO E INSTALACION JUEGOS IN FANTILES EN PLAZA DOCTOR BIOLOGO JOSE ANTONIO VALVERDE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458"/>
    <s v="AD"/>
    <d v="2022-03-11T00:00:00"/>
    <n v="22021007173"/>
    <s v="2022 07 1711 619"/>
    <n v="2459.77"/>
    <x v="26"/>
    <s v="CONTROL DE CALIDAD, ACTUALIZACION Y MEJORA ZONAS JUEGOS INFANTILES DE PARQUESOL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648"/>
    <s v="AD"/>
    <d v="2022-02-28T00:00:00"/>
    <n v="22021008114"/>
    <s v="2022 08 1532 619"/>
    <n v="2192.6999999999998"/>
    <x v="26"/>
    <s v="A.T. en el Control de Calidad de la obra &quot;&quot;Reparación de estructuras y mobiliario en la Plaza de la Solidaridad.-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82251"/>
    <s v="AD"/>
    <d v="2022-03-11T00:00:00"/>
    <n v="22021007176"/>
    <s v="2022 07 1711 619"/>
    <n v="2320.2399999999998"/>
    <x v="26"/>
    <s v="CONTROL DE CALIDAD, ACONDICIONAM. PLAZA C/ JARDINES DE LA GRANJA (P.P. LOS VIVEROS)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40691"/>
    <s v="AD"/>
    <d v="2022-02-28T00:00:00"/>
    <n v="22021005296"/>
    <s v="2022 10 2311 632"/>
    <n v="147.13"/>
    <x v="26"/>
    <s v="CONTROL DE CALIDAD OBRAS REPARACIÓN VIV. CALLE GUARDERIA Y VIV. CALLE OSA MAYOR. 2021"/>
    <s v="22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84925"/>
    <s v="AD"/>
    <d v="2022-02-28T00:00:00"/>
    <n v="22021005726"/>
    <s v="2022 08 1532 619"/>
    <n v="1736.72"/>
    <x v="26"/>
    <s v="AT.CONTROL CALIDAD en Plaza grupo Aramburu-Las Viudas, entorno del Centro Municipal Segundo Montes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88319"/>
    <s v="AD"/>
    <d v="2022-02-28T00:00:00"/>
    <n v="22021005678"/>
    <s v="2022 08 1341 609"/>
    <n v="3135.28"/>
    <x v="26"/>
    <s v="CONTROL DE CALIDAD OBRAS DE INSTALACIÓN DE ELEVADORES MECÁNICOS EN LA LADERA NORTE DE PARQUESOL. (LOTE 2) EXP: 42/2021"/>
    <s v="22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9000657"/>
    <s v="AD"/>
    <d v="2022-01-01T00:00:00"/>
    <n v="22022002082"/>
    <s v="2022 05 4331 622"/>
    <n v="1295.8399999999999"/>
    <x v="26"/>
    <s v="A.M. Control de calidad de las obras de adecuación de la Nave ubicada en la calle Valle de Arán nº 1 para Hub de Innovac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9000899"/>
    <s v="AD"/>
    <d v="2022-01-01T00:00:00"/>
    <n v="22022002154"/>
    <s v="2022 06 3231 622"/>
    <n v="9177.59"/>
    <x v="26"/>
    <s v="SE-EIJI 21/2021. PS 1. ASISTENCIA TÉCNICA EN CONTROL DE CALIDAD CONSTRUCCIÓN NUEVA E.I.M. ENE A AGOS DE 2022."/>
    <s v="220"/>
    <s v="SANT CUGAT DEL VALLES"/>
    <s v="BARCELON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56285"/>
    <s v="AD"/>
    <d v="2022-03-11T00:00:00"/>
    <n v="22022002811"/>
    <s v="2022 11 1631 632"/>
    <n v="671.1"/>
    <x v="26"/>
    <s v="CONTROL CALIDAD CONSTRUCCIÓN MÓDULO OFICINAS Y LAVANDERIA PARA TALLER DEL SERVICIO DE LIMPIEZA"/>
    <s v="220"/>
    <s v="SANT CUGAT DEL VALLES"/>
    <s v="BARCELONA"/>
    <x v="0"/>
    <s v="PrAbier - Procedimiento Abierto"/>
    <s v="MultiC - MultiCriterio"/>
    <x v="1"/>
    <x v="0"/>
    <s v="6"/>
    <s v="6. Inversiones reales"/>
    <s v="11"/>
    <x v="6"/>
    <s v="1631"/>
    <s v="1631. Limpieza viaria"/>
    <s v="63"/>
    <s v="632"/>
  </r>
  <r>
    <n v="220219001271"/>
    <s v="AD"/>
    <d v="2022-01-01T00:00:00"/>
    <n v="22022001994"/>
    <s v="2022 08 1341 609"/>
    <n v="28217.55"/>
    <x v="26"/>
    <s v="CONTROL CALIDAD OBRAS INSTALACIÓN DE ELEVADORES EN LA LADERA NORTE DE PARQUESOL. (LOTE 2) EXP: 42/2021 SEMEU"/>
    <s v="22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56290"/>
    <s v="AD"/>
    <d v="2022-02-28T00:00:00"/>
    <n v="22021005812"/>
    <s v="2022 10 2311 632"/>
    <n v="605.04999999999995"/>
    <x v="26"/>
    <s v="asist.tec. control calidad obras reparación e impermeab.aseos Centro Integrado para pers.sin hogar. COVID-19"/>
    <s v="22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65438"/>
    <s v="AD"/>
    <d v="2022-02-28T00:00:00"/>
    <n v="22021007085"/>
    <s v="2022 09 3341 632"/>
    <n v="87.97"/>
    <x v="26"/>
    <s v="CONTROL DE CALIDAD OBRA PINTURA DE PAREDES Y TECHO DEL INTERIOR DE LA CUPULA DEL MILENIO   EXCMO. SR. ALCALDE: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0084923"/>
    <s v="AD"/>
    <d v="2022-02-28T00:00:00"/>
    <n v="22021004334"/>
    <s v="2022 09 3341 632"/>
    <n v="3633.09"/>
    <x v="26"/>
    <s v="CONTROL CALIDAD OBRA ADECUACION ESPACIO MARCELINO PONCELA COMO CENTRO ALMACENAMIENTO Y RESTAURACION P. MUEBLE. LOTE 2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9001114"/>
    <s v="AD"/>
    <d v="2022-01-01T00:00:00"/>
    <n v="22022001984"/>
    <s v="2022 09 3341 632"/>
    <n v="2783"/>
    <x v="26"/>
    <s v="CONTROL CALIDAD OBRA ADECUACION ESPACIO MARCELINA PONCELA COMO CENTRO ALMACENAMIENTO Y RESTAURACION P. MUEBLE. LOTE 2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9000031"/>
    <s v="AD"/>
    <d v="2022-01-01T00:00:00"/>
    <n v="22022000345"/>
    <s v="2022 01 9203 203"/>
    <n v="65.95"/>
    <x v="43"/>
    <s v="1ª PRORROGA CONTRATO CENTRALIZADO ALQUILER MAQ. FOTOCOP. KYOCERA 4053, REPROGRAFIA ENERO 2022, R.I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9000032"/>
    <s v="AD"/>
    <d v="2022-01-01T00:00:00"/>
    <n v="22022000346"/>
    <s v="2022 01 9203 213"/>
    <n v="80"/>
    <x v="43"/>
    <s v="1ª PRORROGA CONTRATO CENTRALIZADO COPIAS MAQ. FOTOCOP. KYOCERA 4053, REPROGRAFIA, ENERO 2022 R.I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20006909"/>
    <s v="AD"/>
    <d v="2022-03-02T00:00:00"/>
    <n v="22022002543"/>
    <s v="2022 02 9332 632"/>
    <n v="846.57"/>
    <x v="26"/>
    <s v="CONTROL CALIDAD_ lote 2 CDC obras Mfto tejados Sta Catalina"/>
    <s v="220"/>
    <s v="SANT CUGAT DEL VALLES"/>
    <s v="BARCELONA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19000034"/>
    <s v="AD"/>
    <d v="2022-01-01T00:00:00"/>
    <n v="22022000348"/>
    <s v="2022 04 9202 203"/>
    <n v="160"/>
    <x v="43"/>
    <s v="ALQUILER FOTOCOPIADORAS ALPA COPIADORAS, SL, DPTO. RR.HH. Y FORMACIÓN DEL 1 DE ENERO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0035"/>
    <s v="AD"/>
    <d v="2022-01-01T00:00:00"/>
    <n v="22022000349"/>
    <s v="2022 04 9202 213"/>
    <n v="260"/>
    <x v="43"/>
    <s v="COPIAS BLANCONEGRO Y COLOR FOTOCOPIADORAS ALPA COPIADORAS, SL DPTO. RR.HH. Y FORMACION  DEL 1 DE ENE. A 7 FEB.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20007917"/>
    <s v="D"/>
    <d v="2022-03-07T00:00:00"/>
    <n v="22022002032"/>
    <s v="2022 08 1341 609"/>
    <n v="42944.91"/>
    <x v="26"/>
    <s v="CONTRATO BASADO EN ACUERDO MARCO CONTROL DE CALIDAD ELEVADORES URBANOS LADERA ESTE PARQUESOL (LOTE 2). EXP: 50/2021"/>
    <s v="30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78783"/>
    <s v="AD"/>
    <d v="2022-02-28T00:00:00"/>
    <n v="22021007317"/>
    <s v="2022 03 9241 632"/>
    <n v="284.27999999999997"/>
    <x v="26"/>
    <s v="CONTROL CALIDAD EN OBRA INSTALACIÓN VENTANAS C.C. JOSÉ LUIS MOSQUERA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9000038"/>
    <s v="AD"/>
    <d v="2022-01-01T00:00:00"/>
    <n v="22022000352"/>
    <s v="2022 01 9207 203"/>
    <n v="216.15"/>
    <x v="43"/>
    <s v="EXPED. SE 7/2020 PRÓRROGA CONTRATO IMPRESIÓN CORPORATIVA 01/012022 al 07/02/2022 - GOBIERNO Y RELACIONES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78786"/>
    <s v="AD"/>
    <d v="2022-02-28T00:00:00"/>
    <n v="22021007319"/>
    <s v="2022 03 9241 632"/>
    <n v="211.36"/>
    <x v="26"/>
    <s v="CONTROL DE CALIDAD EN OBRA REPARACIÓN FILTRACIONES DE AGUA C.C. JOSÉ MARÍA LUELMO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0078789"/>
    <s v="AD"/>
    <d v="2022-02-28T00:00:00"/>
    <n v="22021007321"/>
    <s v="2022 03 9241 632"/>
    <n v="670.74"/>
    <x v="26"/>
    <s v="CONTROL DE CALIDAD EN LA OBRA INSTALACIÓN LÍNEA DE VIDA Y ESCALERAS EN C.C. ZONA ESTE Y C.C. ZONA SUR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9000043"/>
    <s v="AD"/>
    <d v="2022-01-01T00:00:00"/>
    <n v="22022000355"/>
    <s v="2022 04 3121 213"/>
    <n v="115"/>
    <x v="43"/>
    <s v="PRÓRROGA FOTOCOPIADORA DEPARTAMENTO DE PREVENCIÓN Y SALUD LABORAL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0044"/>
    <s v="AD"/>
    <d v="2022-01-01T00:00:00"/>
    <n v="22022000356"/>
    <s v="2022 08 1341 203"/>
    <n v="105"/>
    <x v="43"/>
    <s v="ALQUILER FOTOCOPIADORA_CENTRO MOVILIDAD URBAN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0045"/>
    <s v="AD"/>
    <d v="2022-01-01T00:00:00"/>
    <n v="22022000357"/>
    <s v="2022 08 1341 213"/>
    <n v="230"/>
    <x v="43"/>
    <s v="COPIAS_FOTOCOPIADORA_CENTRO MOVILIDAD URBAN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0046"/>
    <s v="AD"/>
    <d v="2022-01-01T00:00:00"/>
    <n v="22022000359"/>
    <s v="2022 08 1341 203"/>
    <n v="105"/>
    <x v="43"/>
    <s v="ALQUILER_FOTOCOPIADORA_SERVICIO OCUPACIÓN VÍA PÚBLIC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0047"/>
    <s v="AD"/>
    <d v="2022-01-01T00:00:00"/>
    <n v="22022000360"/>
    <s v="2022 08 1341 213"/>
    <n v="105"/>
    <x v="43"/>
    <s v="COPIAS_FOTOCOPIADORA ALPA_SERVICIO OCUPACIÓN VÍA PÚBLIC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0078792"/>
    <s v="AD"/>
    <d v="2022-02-28T00:00:00"/>
    <n v="22021007316"/>
    <s v="2022 03 9241 632"/>
    <n v="2097.12"/>
    <x v="26"/>
    <s v="CONTROL DE CALIDAD OBRA ARREGLO TEJADO Y FACHADA C.C. CASA CUNA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10682"/>
    <s v="D"/>
    <d v="2022-03-22T00:00:00"/>
    <n v="22021003437"/>
    <s v="2022 08 1651 619"/>
    <n v="1759.75"/>
    <x v="26"/>
    <s v="Adjudicación Control Calidad obras Remodelación Alumbrado Público varias zonas Barrio Pajarillos, Lote 1 y Lote 2."/>
    <s v="30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20013185"/>
    <s v="AD"/>
    <d v="2022-03-30T00:00:00"/>
    <n v="22022003050"/>
    <s v="2022 02 1511 609"/>
    <n v="475.02"/>
    <x v="26"/>
    <s v="C.CALIDAD CONST.NUEVA RED ENERGÍA ELECT.(MEDIA Y B.TESIÓN) EN C/ VILLABAÑEZ Y ZORZAL(ARU 29 DE OCTUBRE-FAS.II) C. MENOR"/>
    <s v="220"/>
    <s v="SANT CUGAT DEL VALLES"/>
    <s v="BARCELONA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20007936"/>
    <s v="AD"/>
    <d v="2022-03-07T00:00:00"/>
    <n v="22021008078"/>
    <s v="2022 10 2311 632"/>
    <n v="108.77"/>
    <x v="26"/>
    <s v="CONTROL DE CALIDAD DE LAS OBRAS DE ACCESO A LAS OFICINAS DE CALLE BATUECAS 24"/>
    <s v="23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20010341"/>
    <s v="AD"/>
    <d v="2022-03-21T00:00:00"/>
    <n v="22022002953"/>
    <s v="2022 08 1513 83100"/>
    <n v="329.6"/>
    <x v="26"/>
    <s v="Redacción de planes de control de calidad en las actuaciones de carácter subsidiario y/o urgentes por encargo del Ayto"/>
    <s v="220"/>
    <s v="SANT CUGAT DEL VALLES"/>
    <s v="BARCELONA"/>
    <x v="0"/>
    <s v="PrAbier - Procedimiento Abierto"/>
    <s v="MultiC - MultiCriterio"/>
    <x v="1"/>
    <x v="0"/>
    <s v="8"/>
    <s v="8. Activos financieros"/>
    <s v="08"/>
    <x v="1"/>
    <s v="1513"/>
    <s v="1513. Licencias urbanísticas"/>
    <s v="83"/>
    <s v="83100"/>
  </r>
  <r>
    <n v="220209000463"/>
    <s v="AD"/>
    <d v="2022-01-01T00:00:00"/>
    <n v="22022000195"/>
    <s v="2022 06 3231 22799"/>
    <n v="127080"/>
    <x v="138"/>
    <s v="EXPTE. SE-EIJI 10/2020. CTTO GESTION EIM EL TOBOGAN LOTE 6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0066694"/>
    <s v="AD"/>
    <d v="2022-02-28T00:00:00"/>
    <n v="22021004411"/>
    <s v="2022 05 4331 609"/>
    <n v="125591.23"/>
    <x v="70"/>
    <s v="Adjudicación Contrato Obras de infraestructura verde: Barreras Acústicas Vegetales (URBAN GreenUP G.A. nº 730426)"/>
    <s v="220"/>
    <s v="VALLADOLID"/>
    <s v="VALLADOLID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0"/>
    <s v="609"/>
  </r>
  <r>
    <n v="220220013188"/>
    <s v="AD"/>
    <d v="2022-03-30T00:00:00"/>
    <n v="22022003086"/>
    <s v="2022 09 3341 22200"/>
    <n v="1986.26"/>
    <x v="139"/>
    <s v="CONTRATO DEL SERVICIO DE MANTENIMIENTO  DEL SISTEMA DE CONEXIÓN A INTERNET MEDIANTE WIFI EN GALERÍAS VA 1/4/22 AL 1/4/23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200"/>
  </r>
  <r>
    <n v="220219000056"/>
    <s v="AD"/>
    <d v="2022-01-01T00:00:00"/>
    <n v="22022000369"/>
    <s v="2022 05 4312 203"/>
    <n v="200"/>
    <x v="43"/>
    <s v="PRORROGA CONTRATO IMPRESION CORPORATIVA OMIC DE 1 ENERO A 7 FEBR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0"/>
    <s v="203"/>
  </r>
  <r>
    <n v="220219000149"/>
    <s v="AD"/>
    <d v="2022-01-01T00:00:00"/>
    <n v="22022000384"/>
    <s v="2022 09 3341 22200"/>
    <n v="522.72"/>
    <x v="139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200"/>
  </r>
  <r>
    <n v="220219000921"/>
    <s v="AD"/>
    <d v="2022-01-01T00:00:00"/>
    <n v="22022000117"/>
    <s v="2022 11 1361 22100"/>
    <n v="38000"/>
    <x v="5"/>
    <s v="CONTRATO DE SUMINISTRO DE ENERGÍA ELÉCTRICA PARA LOS AÑOS 2022 Y 2023; EXPTE: PR_SE 13_2021; SEISYPC"/>
    <s v="220"/>
    <s v="BILBAO"/>
    <s v="VIZCAYA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0"/>
  </r>
  <r>
    <n v="220219000926"/>
    <s v="AD"/>
    <d v="2022-01-01T00:00:00"/>
    <n v="22022000122"/>
    <s v="2022 11 1621 22100"/>
    <n v="38000"/>
    <x v="5"/>
    <s v="CONTRATO SUMINISTRO ENERGIA ELECTRICA SERVICIO DE LIMPIEZ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0"/>
  </r>
  <r>
    <n v="220220000067"/>
    <s v="AD"/>
    <d v="2022-01-19T00:00:00"/>
    <n v="22022000888"/>
    <s v="2022 11 1631 204"/>
    <n v="2500"/>
    <x v="140"/>
    <s v="SERVICIOS DE GRUAS PARA TRASLADO DE VEHÍCULOS AVERIADOS DE LIMPIEZA VIARI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0"/>
    <s v="204"/>
  </r>
  <r>
    <n v="220210082250"/>
    <s v="AD"/>
    <d v="2022-03-11T00:00:00"/>
    <n v="22021006867"/>
    <s v="2022 07 1711 619"/>
    <n v="125474.6"/>
    <x v="141"/>
    <s v="SUMINISTRO E INSTALACION DE JUEGOS INFANTILES EN PLAZA DEL DOCTOR BIOLOGO JOSE ANTONIO VALVERDE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3108"/>
    <s v="AD"/>
    <d v="2022-02-09T00:00:00"/>
    <n v="22022002024"/>
    <s v="2022 11 1361 22199"/>
    <n v="723.58"/>
    <x v="142"/>
    <s v="ADQUISICION DE DOS BATERIAS PARA CAMARA TERMICA ISG SERIE X380//SERVICIO DE EXTINCIÓN DE INCENDIOS"/>
    <s v="220"/>
    <s v="CARMONA"/>
    <s v="SEVILL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0126"/>
    <s v="AD"/>
    <d v="2022-01-01T00:00:00"/>
    <n v="22022000037"/>
    <s v="2022 11 1621 22700"/>
    <n v="125000"/>
    <x v="143"/>
    <s v="CONTRATO RECOGIDA CONTENEDORES AMARILLOS &quot;&quot;ENVASES&quot;&quot;, PERIODO JULIO 2021 A JUNIO 2023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0013419"/>
    <s v="AD"/>
    <d v="2022-03-31T00:00:00"/>
    <n v="22022002550"/>
    <s v="2022 08 1532 622"/>
    <n v="5404.62"/>
    <x v="35"/>
    <s v="Seguridad y Salud en Traslado del Parque de Vías Públicas, sito en C/ Títulos 51. Fase 2. Lote 1. Expte. SEMEU 30/2021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0081395"/>
    <s v="AD"/>
    <d v="2022-02-28T00:00:00"/>
    <n v="22021007258"/>
    <s v="2022 03 9241 632"/>
    <n v="3649.85"/>
    <x v="35"/>
    <s v="COORDINACIÓN DE SEGURIDAD Y SALUD OBRA REHABILITACION ANTIGUO FRONTON DE LAS FLORES PARA CENTRO DOTACIONAL"/>
    <s v="220"/>
    <s v="VALLADOLID"/>
    <s v="VALLADOLID"/>
    <x v="0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19000901"/>
    <s v="AD"/>
    <d v="2022-01-01T00:00:00"/>
    <n v="22022002156"/>
    <s v="2022 06 3231 622"/>
    <n v="3106.85"/>
    <x v="35"/>
    <s v="EXPTE SE-EIJI 21/2021 PS 2. COORDINACIÓN DE SEGURIDAD Y SALUD PARA LA CONSTRUCCIÓN DE LA NUEVA EIM. AÑO 2022"/>
    <s v="220"/>
    <s v="VALLADOLID"/>
    <s v="VALLADOLID"/>
    <x v="0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220012871"/>
    <s v="AD"/>
    <d v="2022-03-25T00:00:00"/>
    <n v="22022002070"/>
    <s v="2022 04 9204 641"/>
    <n v="47261.43"/>
    <x v="144"/>
    <s v="MTO DEL SISTEMA DE INFORMACIÓN PRESUPUESTARIA, CONTABLE Y FINANCIERA (SICALWIN), 2ª PRÓRROGA, (96/2021)"/>
    <s v="220"/>
    <s v="ECIJA"/>
    <s v="SEVILLA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09000849"/>
    <s v="AD"/>
    <d v="2022-01-01T00:00:00"/>
    <n v="22022002021"/>
    <s v="2022 04 9321 641"/>
    <n v="40344.65"/>
    <x v="145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0"/>
    <s v="6"/>
    <s v="6. Inversiones reales"/>
    <s v="04"/>
    <x v="5"/>
    <s v="9321"/>
    <s v="9321. Gestión de ingresos e inspección"/>
    <s v="64"/>
    <s v="641"/>
  </r>
  <r>
    <n v="220210028594"/>
    <s v="AD"/>
    <d v="2022-02-28T00:00:00"/>
    <n v="22021001304"/>
    <s v="2022 02 1511 609"/>
    <n v="2508.34"/>
    <x v="35"/>
    <s v="ADJ. CONTRATO S.SALUD EXPTE.LOTE 3 DE LA FASE II DE LA ACTUACION EN ARU 29 OCTUBRE EN C/VILLABAÑEZ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9000151"/>
    <s v="AD"/>
    <d v="2022-01-01T00:00:00"/>
    <n v="22022002183"/>
    <s v="2022 04 9204 641"/>
    <n v="29407.11"/>
    <x v="144"/>
    <s v="SISTEMA DE INFORMACIÓN PRESUPUESTARIA, CONTABLE Y FINANCIERA (SICALWIN) PRIMERA PRÓRROGA"/>
    <s v="220"/>
    <s v="ECIJA"/>
    <s v="SEVILLA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19001216"/>
    <s v="AD"/>
    <d v="2022-01-01T00:00:00"/>
    <n v="22022001489"/>
    <s v="2022 11 1361 214"/>
    <n v="23818.41"/>
    <x v="146"/>
    <s v="EXPTE.: SPSC 043_2021; Contrato del Servicio de reparación del camión autobomba BUP_1; SEISYPC"/>
    <s v="220"/>
    <s v="PARACUELLOS DE JARAMA (MADRID)"/>
    <s v="MADRID"/>
    <x v="0"/>
    <s v="PrNegSP - Procedimiento Negociado Sin Publicidad"/>
    <s v="SinC - Sin Criterio"/>
    <x v="3"/>
    <x v="0"/>
    <s v="2"/>
    <s v="2. Gastos corrientes en bienes y servicios"/>
    <s v="11"/>
    <x v="6"/>
    <s v="1361"/>
    <s v="1361. Prevención y extinción de incencios"/>
    <s v="21"/>
    <s v="214"/>
  </r>
  <r>
    <n v="220220003525"/>
    <s v="AD"/>
    <d v="2022-02-14T00:00:00"/>
    <n v="22022001763"/>
    <s v="2022 04 3121 22106"/>
    <n v="18000"/>
    <x v="147"/>
    <s v="Material sanitario desechable, material curas, tiras reactivas e instrumental quirúrgico SERV. PREVENCION Y S.L.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10043781"/>
    <s v="AD"/>
    <d v="2022-03-11T00:00:00"/>
    <n v="22021002556"/>
    <s v="2022 11 3111 632"/>
    <n v="754.66"/>
    <x v="35"/>
    <s v="COORDINACION Y SEGURIDAD SALUD OBRAS DE REFORMA DEL CENTRO MUNICIPAL DE PROTECCION ANIMAL"/>
    <s v="220"/>
    <s v="VALLADOLID"/>
    <s v="VALLADOLID"/>
    <x v="0"/>
    <s v="PrAbier - Procedimiento Abierto"/>
    <s v="MultiC - MultiCriterio"/>
    <x v="0"/>
    <x v="0"/>
    <s v="6"/>
    <s v="6. Inversiones reales"/>
    <s v="11"/>
    <x v="6"/>
    <s v="3111"/>
    <s v="3111. Protección de la salubridad pública"/>
    <s v="63"/>
    <s v="632"/>
  </r>
  <r>
    <n v="220219000700"/>
    <s v="AD"/>
    <d v="2022-01-01T00:00:00"/>
    <n v="22022002005"/>
    <s v="2022 09 3341 632"/>
    <n v="640.66999999999996"/>
    <x v="35"/>
    <s v="COORDINACION, SEG. Y SALUD OBRA ADECUACION ESPACIO MARCELINA PONCELA COMO CENTRO ALMACEN. RESTAURACION PATRIMONIO MUEBLE"/>
    <s v="220"/>
    <s v="VALLADOLID"/>
    <s v="VALLADOLID"/>
    <x v="0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20003442"/>
    <s v="AD"/>
    <d v="2022-02-11T00:00:00"/>
    <n v="22022002064"/>
    <s v="2022 03 9241 22199"/>
    <n v="267.41000000000003"/>
    <x v="148"/>
    <s v="TROFEOS CONCURSO DE DISFRACES CARNAVAL 2022 EN CIC EMPECINAD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178"/>
    <s v="AD"/>
    <d v="2022-01-01T00:00:00"/>
    <n v="22022000387"/>
    <s v="2022 01 9207 213"/>
    <n v="131"/>
    <x v="43"/>
    <s v="COPIAS MÁQUINAS CONTRATO IMPRESION CORPORATIVA-: ALCALDÍA/ GOBIERNO Y RELACIONES / CONSEJO ECON. 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1"/>
    <s v="213"/>
  </r>
  <r>
    <n v="220220010306"/>
    <s v="AD"/>
    <d v="2022-03-21T00:00:00"/>
    <n v="22022002749"/>
    <s v="2022 05 4331 625"/>
    <n v="4819.67"/>
    <x v="149"/>
    <s v="CONTRATO DE SUMINISTROS E INSTALACION DE MOBILIARIO OFICINA EMISION DE TARJETA SERVICIOS M. MERCADO DEL VAL PUESTO Nº 5"/>
    <s v="220"/>
    <s v="VALLADOLID"/>
    <s v="VALLADOLID"/>
    <x v="3"/>
    <s v="AdDirec - Adjudicación Directa"/>
    <s v="SinC - Sin Criterio"/>
    <x v="2"/>
    <x v="0"/>
    <s v="6"/>
    <s v="6. Inversiones reales"/>
    <s v="05"/>
    <x v="3"/>
    <s v="4331"/>
    <s v="4331. Desarrollo empresarial"/>
    <s v="62"/>
    <s v="625"/>
  </r>
  <r>
    <n v="220220001800"/>
    <s v="AD"/>
    <d v="2022-01-28T00:00:00"/>
    <n v="22022001714"/>
    <s v="2022 11 1321 213"/>
    <n v="5767"/>
    <x v="150"/>
    <s v="REVISIONES Y ACCIONES CORRECTIVAS DE PUERTAS MANUALES Y AUTOMÁTICAS POLICÍA MUNICIPAL. EJERCICI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0312"/>
    <s v="AD"/>
    <d v="2022-03-21T00:00:00"/>
    <n v="22022002872"/>
    <s v="2022 03 9241 212"/>
    <n v="399.35"/>
    <x v="151"/>
    <s v="SUMINISTRO TABLERO PARA RODAPIES CIC CONDE ANSÚREZ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747"/>
    <s v="AD"/>
    <d v="2022-01-01T00:00:00"/>
    <n v="22022002084"/>
    <s v="2022 05 4331 622"/>
    <n v="364.02"/>
    <x v="35"/>
    <s v="Coordinación de SyS Obra adecuación de la nave sita en la calle Valle de Arán ,1 . Proyecto 2021/2/4331/1 Obras LUC"/>
    <s v="220"/>
    <s v="VALLADOLID"/>
    <s v="VALLADOLID"/>
    <x v="1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2"/>
  </r>
  <r>
    <n v="220210078793"/>
    <s v="AD"/>
    <d v="2022-02-28T00:00:00"/>
    <n v="22021007316"/>
    <s v="2022 03 9241 632"/>
    <n v="310.38"/>
    <x v="35"/>
    <s v="COORDINACIÓN DE SEGURIDAD Y SALUD EN OBRA ARREGLO TEJADO Y FACHADA C.C. CASA CUNA"/>
    <s v="220"/>
    <s v="VALLADOLID"/>
    <s v="VALLADOLID"/>
    <x v="0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20010314"/>
    <s v="AD"/>
    <d v="2022-03-21T00:00:00"/>
    <n v="22022002875"/>
    <s v="2022 03 9241 22602"/>
    <n v="423.5"/>
    <x v="152"/>
    <s v="DISEÑO GRÁFICO E IMAGEN MFS MARZO Y PRIMAVERA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0372"/>
    <s v="AD"/>
    <d v="2022-01-24T00:00:00"/>
    <n v="22022001548"/>
    <s v="2022 02 9332 632"/>
    <n v="165.49"/>
    <x v="35"/>
    <s v="Estudio SyS y Servicios de Coordinación en materia de Segu y Salud - REPARACION CUBIERTA SUROESTE SAN BENITO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13431"/>
    <s v="AD"/>
    <d v="2022-03-31T00:00:00"/>
    <n v="22022003093"/>
    <s v="2022 06 3261 632"/>
    <n v="161.57"/>
    <x v="35"/>
    <s v="EBSS Y COORD. SEGURIDAD Y SALUD OBRA ACONDICIONAMIENTO VARIAS AULAS COLEGIO MARIA DE MOLINA PARA ESCUELA DE MUSICA. 40 D"/>
    <s v="220"/>
    <s v="VALLADOLID"/>
    <s v="VALLADOLID"/>
    <x v="0"/>
    <s v="PrAbier - Procedimiento Abierto"/>
    <s v="MultiC - MultiCriterio"/>
    <x v="0"/>
    <x v="0"/>
    <s v="6"/>
    <s v="6. Inversiones reales"/>
    <s v="06"/>
    <x v="2"/>
    <s v="3261"/>
    <s v="3261. Servicios complementarios de educación"/>
    <s v="63"/>
    <s v="632"/>
  </r>
  <r>
    <n v="220219000338"/>
    <s v="AD"/>
    <d v="2022-01-01T00:00:00"/>
    <n v="22022000502"/>
    <s v="2022 02 9331 224"/>
    <n v="3151.12"/>
    <x v="109"/>
    <s v="ACTUALIZACIÓN PRIMAS DE SEGUROS FLOTA DE VEHÍCULOS (LOTE 3). PERIODO DEL 05/02/2022 AL 05/02/2023. Expte.15/2020. PS 1."/>
    <s v="220"/>
    <s v="GETXO"/>
    <s v="VIZCAYA"/>
    <x v="7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19000337"/>
    <s v="AD"/>
    <d v="2022-01-01T00:00:00"/>
    <n v="22022000501"/>
    <s v="2022 02 9331 224"/>
    <n v="795.94"/>
    <x v="109"/>
    <s v="ACTUALIZACIÓN DE PRIMAS DE SEGUROS DE DAÑOS MATERIALES (LOTE 2). PERIODO: 05/02/2022 AL 05/02/2023. Expte.15/2020. PS 1."/>
    <s v="220"/>
    <s v="GETXO"/>
    <s v="VIZCAYA"/>
    <x v="7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06691"/>
    <s v="AD"/>
    <d v="2022-02-25T00:00:00"/>
    <n v="22022002349"/>
    <s v="2022 07 1721 22199"/>
    <n v="479"/>
    <x v="153"/>
    <s v="SUMINISTRO DE PRECINTOS DE PLACAS DE MATRICULA PARA LOCALES DE HOSTELERIA EN LAS INSPECCIONES DE LA SECCIÓN CONTROL AMB."/>
    <s v="220"/>
    <s v="ZAMUDIO"/>
    <s v="BIZKAI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05803"/>
    <s v="AD"/>
    <d v="2022-02-23T00:00:00"/>
    <n v="22022002394"/>
    <s v="2022 07 1721 22799"/>
    <n v="1000"/>
    <x v="154"/>
    <s v="TRATAMIENTO DE LOS RESIDUOS GENERADOS EN EL LABORATORIO DE CONTAMINACION DEL AIRE DEL RCCVA. SERVICIO MEDIO AMBIENTE"/>
    <s v="220"/>
    <s v="TUDELA DE DUERO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10056291"/>
    <s v="AD"/>
    <d v="2022-02-28T00:00:00"/>
    <n v="22021005812"/>
    <s v="2022 10 2311 632"/>
    <n v="155.08000000000001"/>
    <x v="35"/>
    <s v="redac.15,51 coord.seg.y salud 155,07 obras reparación e impermeab.aseos Centro Integrado para pers.sin hogar. COVID-19"/>
    <s v="22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00355"/>
    <s v="AD"/>
    <d v="2022-01-24T00:00:00"/>
    <n v="22022001459"/>
    <s v="2022 02 9332 632"/>
    <n v="139.57"/>
    <x v="35"/>
    <s v="ESTUDIO SyS Y SERVICIO COORDINACION SyS -OBRA MANTENIMIENTO DE TEJADOS DEL MONASTERIO STA CATALINA DE SIENA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07931"/>
    <s v="AD"/>
    <d v="2022-03-07T00:00:00"/>
    <n v="22022002609"/>
    <s v="2022 10 2312 213"/>
    <n v="332.75"/>
    <x v="155"/>
    <s v="SUMINISTRO E INSTALACION DE PULSADOR AUTOMATICO PARA UNA VENTANA DEL CPN ZONA SUR"/>
    <s v="220"/>
    <s v="CISTERNIGA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3439"/>
    <s v="AD"/>
    <d v="2022-02-11T00:00:00"/>
    <n v="22022002036"/>
    <s v="2022 03 9241 203"/>
    <n v="3630"/>
    <x v="156"/>
    <s v="ALQUILER VALLAS CC CAMPILLO (ENE-DIC 2022)"/>
    <s v="220"/>
    <s v="VALLADOLID"/>
    <s v="VALLADOLID"/>
    <x v="4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0"/>
    <s v="203"/>
  </r>
  <r>
    <n v="220220005209"/>
    <s v="AD"/>
    <d v="2022-02-22T00:00:00"/>
    <n v="22022002242"/>
    <s v="2022 07 1711 213"/>
    <n v="1500"/>
    <x v="156"/>
    <s v="MANTENIMIENTO DE DUMPER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12378"/>
    <s v="AD"/>
    <d v="2022-03-23T00:00:00"/>
    <n v="22022002865"/>
    <s v="2022 0550 4312 632"/>
    <n v="93.52"/>
    <x v="35"/>
    <s v="SERVICIO DE COORDINACION EN MATERIA DE SEGURIDAD Y SALUD (EXPTE. 12/2018) PUNTO LIMPIO MERCADO LAS DELICIAS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0 43"/>
    <e v="#N/A"/>
    <s v="2 "/>
    <s v="2 632"/>
  </r>
  <r>
    <n v="220220007939"/>
    <s v="AD"/>
    <d v="2022-03-07T00:00:00"/>
    <n v="22021008070"/>
    <s v="2022 10 2311 632"/>
    <n v="52.88"/>
    <x v="35"/>
    <s v="Coor.seg. y salud rampa de acceso y distrib. interior de dos despachos de las instalaciones municipales de calle Pato 3"/>
    <s v="23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10340"/>
    <s v="AD"/>
    <d v="2022-03-21T00:00:00"/>
    <n v="22022002952"/>
    <s v="2022 08 1513 83100"/>
    <n v="45.87"/>
    <x v="35"/>
    <s v="Coordinación se seguridad y salud en las actuaciones subsidiarias derivas de ruina inminente en calle Calera 16"/>
    <s v="220"/>
    <s v="VALLADOLID"/>
    <s v="VALLADOLID"/>
    <x v="0"/>
    <s v="PrAbier - Procedimiento Abierto"/>
    <s v="UniC - Único Criterio"/>
    <x v="0"/>
    <x v="0"/>
    <s v="8"/>
    <s v="8. Activos financieros"/>
    <s v="08"/>
    <x v="1"/>
    <s v="1513"/>
    <s v="1513. Licencias urbanísticas"/>
    <s v="83"/>
    <s v="83100"/>
  </r>
  <r>
    <n v="220220007938"/>
    <s v="AD"/>
    <d v="2022-03-07T00:00:00"/>
    <n v="22021008078"/>
    <s v="2022 10 2311 632"/>
    <n v="27.01"/>
    <x v="35"/>
    <s v="Coordinación seguridad y salud obras de acceso de a las oficinas de C/Batuecas 24"/>
    <s v="23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05211"/>
    <s v="AD"/>
    <d v="2022-02-22T00:00:00"/>
    <n v="22022002260"/>
    <s v="2022 10 2312 22706"/>
    <n v="7260"/>
    <x v="157"/>
    <s v="CONTRATACION PROYECTODE DECORACION,AMUEBLAMIENTO  Y EQUIPACION DEL NUEVO  CPM PARQUESOL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6"/>
  </r>
  <r>
    <n v="220220003845"/>
    <s v="AD"/>
    <d v="2022-02-16T00:00:00"/>
    <n v="22022002300"/>
    <s v="2022 06 2315 22799"/>
    <n v="2500"/>
    <x v="158"/>
    <s v="DISEÑO, MONTAJE Y DESMONTAJE DE LONAS EN LAS FACHADAS DE SAN BENITO Y AYUNTAMIENT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03478"/>
    <s v="AD"/>
    <d v="2022-02-14T00:00:00"/>
    <n v="22022001657"/>
    <s v="2022 05 4331 22799"/>
    <n v="1706.1"/>
    <x v="159"/>
    <s v="DISEÑO, PRODUCCIÓN E INSTALACIÓN DE CARTELES INFORMATIVOS DE LAS INTERVENCIONES DEL PROYECTO URBAN GreenUP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3538"/>
    <s v="AD"/>
    <d v="2022-02-15T00:00:00"/>
    <n v="22022001658"/>
    <s v="2022 05 4331 22799"/>
    <n v="619.52"/>
    <x v="159"/>
    <s v="AD COMPL. INSTALACIÓN DE 2 INFORMATIVOS EN LOS COMPOSTADORES COMUNITARIOS DE DOS HUERTOS MUNICIPALES. PRY. URBAN GREENUP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0420"/>
    <s v="AD"/>
    <d v="2022-01-25T00:00:00"/>
    <n v="22022001586"/>
    <s v="2022 04 9202 22607"/>
    <n v="1950"/>
    <x v="160"/>
    <s v="CRONOMETRADORES CUATRO CANTONES PRUEBAS FÍSICAS 19 PLAZAS BOMBEROS DEL SEIS Y PC."/>
    <s v="220"/>
    <s v="PALENCIA"/>
    <s v="PALENCIA"/>
    <x v="4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19000923"/>
    <s v="AD"/>
    <d v="2022-01-01T00:00:00"/>
    <n v="22022000119"/>
    <s v="2022 09 4321 22100"/>
    <n v="27000"/>
    <x v="5"/>
    <s v="CONTRATO CENTRALIZADO SUMINISTRO ENERGIA ELECTRICA ALBERGUE PEREGRINOS PUENTE DUERO, PANTALLA ALBERTO FDEZ Y LA HIPICA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100"/>
  </r>
  <r>
    <n v="220220010688"/>
    <s v="AD"/>
    <d v="2022-03-22T00:00:00"/>
    <n v="22022002966"/>
    <s v="2022 08 1513 83100"/>
    <n v="22.59"/>
    <x v="35"/>
    <s v="Coordinación de seguridad y salud en actuaciones subsidiarias derivadas de ejecución sub. Marina Escobar 4 OE17_2016"/>
    <s v="220"/>
    <s v="VALLADOLID"/>
    <s v="VALLADOLID"/>
    <x v="0"/>
    <s v="PrAbier - Procedimiento Abierto"/>
    <s v="UniC - Único Criterio"/>
    <x v="0"/>
    <x v="0"/>
    <s v="8"/>
    <s v="8. Activos financieros"/>
    <s v="08"/>
    <x v="1"/>
    <s v="1513"/>
    <s v="1513. Licencias urbanísticas"/>
    <s v="83"/>
    <s v="83100"/>
  </r>
  <r>
    <n v="220220007937"/>
    <s v="AD"/>
    <d v="2022-03-07T00:00:00"/>
    <n v="22021008070"/>
    <s v="2022 10 2311 632"/>
    <n v="228.04"/>
    <x v="26"/>
    <s v="CONTROL DE CALIDAD DE LAS OBRAS DE ACCESO Y DISTRIBUCIÓN DE LAS INSTALACIONES MUNICIPALES DE CALLE PATO 3"/>
    <s v="23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20010179"/>
    <s v="AD"/>
    <d v="2022-03-18T00:00:00"/>
    <n v="22022002654"/>
    <s v="2022 03 9241 632"/>
    <n v="8992.16"/>
    <x v="26"/>
    <s v="CONTROL CALIDAD OBRA REHABILITACIÓN ANTIGUO FRONTÓN LAS FLORES (CONTRATO BASADO ACUERDO MARCO CALIDAD EXP:SEMEU 09/2020)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05201"/>
    <s v="AD"/>
    <d v="2022-02-22T00:00:00"/>
    <n v="22022002173"/>
    <s v="2022 10 2312 632"/>
    <n v="147.09"/>
    <x v="26"/>
    <s v="CONTROL CALIDAD DE LA CUBIERTA DEL CPM LA VICTORIA"/>
    <s v="220"/>
    <s v="SANT CUGAT DEL VALLES"/>
    <s v="BARCELONA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3"/>
    <s v="632"/>
  </r>
  <r>
    <n v="220220009340"/>
    <s v="AD"/>
    <d v="2022-03-16T00:00:00"/>
    <n v="22022002628"/>
    <s v="2022 10 2312 22706"/>
    <n v="11.86"/>
    <x v="35"/>
    <s v="ESTUDIO SEGURIDAD DE LA SUSTITUCION DE  CARPINTERIA DEL CPM PUENTE COLGANTE- DURACION  1 D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6"/>
  </r>
  <r>
    <n v="220210040689"/>
    <s v="AD"/>
    <d v="2022-02-28T00:00:00"/>
    <n v="22021005577"/>
    <s v="2022 10 2311 632"/>
    <n v="3.56"/>
    <x v="35"/>
    <s v="COORDINACION DE LAS OBRAS DE REFORMA DE VIVIENDAS PROG.ALOJ.PROV.C/OSA MENOR,4: 12,24 ¿ Y C/GUARDERIA,6:23,18"/>
    <s v="220"/>
    <s v="VALLADOLID"/>
    <s v="VALLADOLID"/>
    <x v="0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19000532"/>
    <s v="AD"/>
    <d v="2022-01-01T00:00:00"/>
    <n v="22022000079"/>
    <s v="2022 04 9204 216"/>
    <n v="1270.5"/>
    <x v="161"/>
    <s v="MANTENIMIENTO SOFTWARE PARA EL CONTROL DE SALUD LABORAL : WinMedtra/WinSehtra, LOTE 8"/>
    <s v="220"/>
    <s v="SANTANDER"/>
    <s v="SANTANDER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3514"/>
    <s v="AD"/>
    <d v="2022-02-14T00:00:00"/>
    <n v="22022001926"/>
    <s v="2022 04 9204 641"/>
    <n v="30189.5"/>
    <x v="162"/>
    <s v="SUMINISTRO DE DOS LICENCIAS TEMPORALES DE ORACLE ENTERPRISE EDITION, LOTE 2, (REAJUSTE DE ANUALIDADES) (58/2021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08332"/>
    <s v="D"/>
    <d v="2022-03-11T00:00:00"/>
    <n v="22022001623"/>
    <s v="2022 11 1361 22199"/>
    <n v="951.88"/>
    <x v="163"/>
    <s v="PANEL ECO/ TASA ECORAEE/ INTERRUPTOR/ MARCO 2E/ REGLETA OBO // PARQUE DE BOMBER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962"/>
    <s v="AD"/>
    <d v="2022-03-15T00:00:00"/>
    <n v="22022002371"/>
    <s v="2022 10 2312 22799"/>
    <n v="14400"/>
    <x v="164"/>
    <s v="PROGRAMA YOUNG ZONE DE PREVENCION DE CONSUMO DE ALCOHOL, TABACO Y CANNABIS DE VALLADOLI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99"/>
  </r>
  <r>
    <n v="220220005790"/>
    <s v="AD"/>
    <d v="2022-02-23T00:00:00"/>
    <n v="22022001518"/>
    <s v="2022 01 9205 213"/>
    <n v="611.04999999999995"/>
    <x v="163"/>
    <s v="ADJUDICA RENOVACIÓN LUMINARIAS EN LABORATORIO IMPRENTA MUNICIPAL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5"/>
    <s v="9205. Imprenta municipal"/>
    <s v="21"/>
    <s v="213"/>
  </r>
  <r>
    <n v="220219000705"/>
    <s v="AD"/>
    <d v="2022-01-01T00:00:00"/>
    <n v="22022000094"/>
    <s v="2022 10 2312 22799"/>
    <n v="3200"/>
    <x v="164"/>
    <s v="PREVENCION DROGAS- LOTE 3 REDUCCION RIESGOS CON COLECTIVOS VULNERABLES- 2 PROGRAMAS EN 2022 1.600 ¿/PROG)-0 PROG EN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5782"/>
    <s v="AD"/>
    <d v="2022-02-23T00:00:00"/>
    <n v="22022002350"/>
    <s v="2022 08 1301 22699"/>
    <n v="352"/>
    <x v="53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2"/>
    <x v="0"/>
    <s v="2"/>
    <s v="2. Gastos corrientes en bienes y servicios"/>
    <s v="08"/>
    <x v="1"/>
    <s v="1301"/>
    <s v="1301. Dirección del área de seguridad"/>
    <s v="22"/>
    <s v="22699"/>
  </r>
  <r>
    <n v="220220005206"/>
    <s v="AD"/>
    <d v="2022-02-22T00:00:00"/>
    <n v="22022002207"/>
    <s v="2022 01 9206 22199"/>
    <n v="369.85"/>
    <x v="163"/>
    <s v="MATERIAL DE ELECTRICIDAD REQUERIDO POR EL SERVICIO DE MANTENIMIENTO DEL AYTO. DE VALLADOLID PARA MANTENIMIENTO ARCHIVO.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19000082"/>
    <s v="AD"/>
    <d v="2022-01-01T00:00:00"/>
    <n v="22022000372"/>
    <s v="2022 08 1301 22699"/>
    <n v="70"/>
    <x v="53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2"/>
    <x v="0"/>
    <s v="2"/>
    <s v="2. Gastos corrientes en bienes y servicios"/>
    <s v="08"/>
    <x v="1"/>
    <s v="1301"/>
    <s v="1301. Dirección del área de seguridad"/>
    <s v="22"/>
    <s v="22699"/>
  </r>
  <r>
    <n v="220219000688"/>
    <s v="AD"/>
    <d v="2022-01-01T00:00:00"/>
    <n v="22022000090"/>
    <s v="2022 11 1321 22104"/>
    <n v="23080.75"/>
    <x v="165"/>
    <s v="SUMINISTRO COMPLEMENTOS POLICIALES. EJERCICIO 2022. EXPTE. SPSC -02/2021 LOTE Nº 7"/>
    <s v="220"/>
    <s v="MURCIA"/>
    <s v="MUR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09000051"/>
    <s v="AD"/>
    <d v="2022-01-01T00:00:00"/>
    <n v="22022000173"/>
    <s v="2022 09 3301 22706"/>
    <n v="27225"/>
    <x v="166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06"/>
  </r>
  <r>
    <n v="220220003097"/>
    <s v="AD"/>
    <d v="2022-02-09T00:00:00"/>
    <n v="22022001052"/>
    <s v="2022 09 3341 22799"/>
    <n v="29846.67"/>
    <x v="167"/>
    <s v="PRORROGA 1 AÑO DEL CONTRATO SERVICIO MANTENIMIENTO PORTALES WEB DE CULTURA Y TURISMO LOTE 2. (01-05-2022 AL 30-04-2023)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311"/>
    <s v="AD"/>
    <d v="2022-01-01T00:00:00"/>
    <n v="22022002226"/>
    <s v="2022 09 3341 22799"/>
    <n v="9152.01"/>
    <x v="167"/>
    <s v="AD COMPLEMENTARIO POR REAJUSTE DE ANUALIDADES CONTRATO DE SERVICIOS DE MANTENIMIENTO DE LOS PORTALES WEB CULTU. TURISMO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258"/>
    <s v="AD"/>
    <d v="2022-01-01T00:00:00"/>
    <n v="22022000061"/>
    <s v="2022 09 3341 22799"/>
    <n v="5771.33"/>
    <x v="167"/>
    <s v="CONTRATO DE SERVICIOS DE MANTENIMIENTO DE LOS PORTALES WEB DE CULTURA Y TURISMO-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07944"/>
    <s v="AD"/>
    <d v="2022-03-08T00:00:00"/>
    <n v="22022002649"/>
    <s v="2022 02 9332 212"/>
    <n v="750"/>
    <x v="77"/>
    <s v="SUMINISTRO DE PERSIANAS Y STORES NECESARIOS PARA OFICINAS DEL EDIFCIO DE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5806"/>
    <s v="AD"/>
    <d v="2022-02-23T00:00:00"/>
    <n v="22022002400"/>
    <s v="2022 02 9332 212"/>
    <n v="104.51"/>
    <x v="77"/>
    <s v="SUMINISTRO DE PERSIANA VENECIANA BANDALUX - EDIF PLZA SANTA ANA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19000933"/>
    <s v="AD"/>
    <d v="2022-01-01T00:00:00"/>
    <n v="22022000129"/>
    <s v="2022 07 1701 22100"/>
    <n v="21000"/>
    <x v="5"/>
    <s v="CONTRATO SUMINISTRO ENERGIA ELECTRICA CASA DEL BARCO Y ANEXO, Y GRUPO PRESION XXV AÑOS DE PAZ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0"/>
  </r>
  <r>
    <n v="220179000081"/>
    <s v="AD"/>
    <d v="2022-01-01T00:00:00"/>
    <n v="22022000146"/>
    <s v="2022 11 1321 204"/>
    <n v="9187.7099999999991"/>
    <x v="168"/>
    <s v="IMPORTE CONTRATO ARRENDAMIENTO VEHÍCULOS POLICÍA EXP. 1/2017. SECRET. EJEC. SEGURIDAD.- LOTE Nº 1."/>
    <s v="220"/>
    <s v="LAS ROZAS"/>
    <s v="MADRID"/>
    <x v="3"/>
    <s v="PrAbier - Procedimiento Abierto"/>
    <s v="UniC - Único Criterio"/>
    <x v="0"/>
    <x v="0"/>
    <s v="2"/>
    <s v="2. Gastos corrientes en bienes y servicios"/>
    <s v="11"/>
    <x v="6"/>
    <s v="1321"/>
    <s v="1321. Policía municipal"/>
    <s v="20"/>
    <s v="204"/>
  </r>
  <r>
    <n v="220220001597"/>
    <s v="AD"/>
    <d v="2022-01-26T00:00:00"/>
    <n v="22022001190"/>
    <s v="2022 06 3321 22001"/>
    <n v="196"/>
    <x v="169"/>
    <s v="SUSCRIPCIÓN ANUAL A LA REVISTA ALTERNATIVAS ECONÓMICAS PARA LAS BIBLIOTECAS MUNICIPALES. AÑO 2022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179000082"/>
    <s v="AD"/>
    <d v="2022-01-01T00:00:00"/>
    <n v="22022000147"/>
    <s v="2022 11 1321 204"/>
    <n v="27588"/>
    <x v="170"/>
    <s v="IMPORTE CONTRATO ARRENDAMIENTO VEHÍCULOS POLICÍA, EXP. 1/2017, SECRET. EJEC. SEGURIDAD. LOTE Nº 2."/>
    <s v="220"/>
    <s v="CASTELLON"/>
    <s v="CASTELLON"/>
    <x v="3"/>
    <s v="PrAbier - Procedimiento Abierto"/>
    <s v="UniC - Único Criterio"/>
    <x v="0"/>
    <x v="0"/>
    <s v="2"/>
    <s v="2. Gastos corrientes en bienes y servicios"/>
    <s v="11"/>
    <x v="6"/>
    <s v="1321"/>
    <s v="1321. Policía municipal"/>
    <s v="20"/>
    <s v="204"/>
  </r>
  <r>
    <n v="220220013436"/>
    <s v="AD"/>
    <d v="2022-03-31T00:00:00"/>
    <n v="22022003070"/>
    <s v="2022 10 2312 213"/>
    <n v="616.52"/>
    <x v="89"/>
    <s v="SUMINISTRO DE BATERIAS Y   PARCHES (3 UNI)PARA EL  DESFIBRILADOR  CPM HUERTA DEL REY, PUENTE COLGANTE E INEA-DURA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3436"/>
    <s v="AD"/>
    <d v="2022-03-31T00:00:00"/>
    <n v="22022003069"/>
    <s v="2022 10 2312 213"/>
    <n v="308.26"/>
    <x v="89"/>
    <s v="SUMINISTRO DE BATERIAS Y   PARCHES (3 UNI)PARA EL  DESFIBRILADOR  CPM HUERTA DEL REY, PUENTE COLGANTE E INEA-DURA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4079"/>
    <s v="D"/>
    <d v="2022-02-18T00:00:00"/>
    <n v="22022000901"/>
    <s v="2022 11 1621 214"/>
    <n v="551.58000000000004"/>
    <x v="171"/>
    <s v="AC MARCO EXP SPSC 23/2020: REPUESTOS PARA REPARACIONES VEHCULOS Sº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20"/>
    <s v="D"/>
    <d v="2022-02-18T00:00:00"/>
    <n v="22022000901"/>
    <s v="2022 11 1621 214"/>
    <n v="5307.59"/>
    <x v="171"/>
    <s v="AC MARCO EXP SPSC 23/2020: REPARACION EMBRAGUE VEHÍCULO 2568FZB DEL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931"/>
    <s v="AD"/>
    <d v="2022-01-01T00:00:00"/>
    <n v="22022000127"/>
    <s v="2022 07 1721 22100"/>
    <n v="20000"/>
    <x v="5"/>
    <s v="CONTRATO DE SUMINISTRO DE ENERGÍA ELÉCTRICA.  SERVICIO DE MEDIO AMBIENTE"/>
    <s v="220"/>
    <s v="BILBAO"/>
    <s v="VIZCAYA"/>
    <x v="3"/>
    <s v="PrAbier - Procedimiento Abierto"/>
    <s v="UniC - Único Criterio"/>
    <x v="0"/>
    <x v="0"/>
    <s v="2"/>
    <s v="2. Gastos corrientes en bienes y servicios"/>
    <s v="07"/>
    <x v="4"/>
    <s v="1721"/>
    <s v="1721. Protección del medio ambiente"/>
    <s v="22"/>
    <s v="22100"/>
  </r>
  <r>
    <n v="220219000885"/>
    <s v="AD"/>
    <d v="2022-01-01T00:00:00"/>
    <n v="22022000103"/>
    <s v="2022 11 1361 22104"/>
    <n v="7532.25"/>
    <x v="172"/>
    <s v="SPSC 013_2021;Contratación del Suministro de Prendas de Vestuario; LOTE 5: EQUIPAMIENTO DEPORTIVO; SEISYPC."/>
    <s v="220"/>
    <s v="VILLAVICIOSA DE ODON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09000723"/>
    <s v="AD"/>
    <d v="2022-01-01T00:00:00"/>
    <n v="22022000260"/>
    <s v="2022 10 2311 22700"/>
    <n v="52273.94"/>
    <x v="173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09000725"/>
    <s v="AD"/>
    <d v="2022-01-01T00:00:00"/>
    <n v="22022000262"/>
    <s v="2022 10 2311 22700"/>
    <n v="7237.16"/>
    <x v="173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9"/>
    <s v="2022 10 2311 22700"/>
    <n v="4356.1499999999996"/>
    <x v="173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09000724"/>
    <s v="AD"/>
    <d v="2022-01-01T00:00:00"/>
    <n v="22022000261"/>
    <s v="2022 10 2311 22700"/>
    <n v="3535.76"/>
    <x v="173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7"/>
    <s v="2022 10 2311 22700"/>
    <n v="603.09"/>
    <x v="173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8"/>
    <s v="2022 10 2311 22700"/>
    <n v="294.64999999999998"/>
    <x v="173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10012926"/>
    <s v="AD"/>
    <d v="2022-02-28T00:00:00"/>
    <n v="22020000735"/>
    <s v="2022 08 1341 619"/>
    <n v="1464.51"/>
    <x v="42"/>
    <s v="REAJUSTE ANUALIDADES CONTRATO SEÑALIZACION VIAL LOTE 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09000470"/>
    <s v="AD"/>
    <d v="2022-01-01T00:00:00"/>
    <n v="22022000200"/>
    <s v="2022 11 3111 22106"/>
    <n v="11887.26"/>
    <x v="174"/>
    <s v="CONTRATO DE SUMINISTRO DE MEDICAMENTOS Y PIENSOS PARA EL CENTRO MUNICIPAL DE PROTECCIÓN ANIMAL -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06"/>
  </r>
  <r>
    <n v="220219000216"/>
    <s v="AD"/>
    <d v="2022-01-01T00:00:00"/>
    <n v="22022000049"/>
    <s v="2022 03 9241 213"/>
    <n v="7464.9"/>
    <x v="113"/>
    <s v="LOTE 3: MANTENIMIENTO ASCENSORES EDIFICIOS DEPENDIENTES SERVICIO PARTICIPACIÓN CIUDADANA"/>
    <s v="220"/>
    <s v="VIGO"/>
    <s v="PONTEVEDRA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09000745"/>
    <s v="AD"/>
    <d v="2022-01-01T00:00:00"/>
    <n v="22022000266"/>
    <s v="2022 06 3232 213"/>
    <n v="6403.32"/>
    <x v="113"/>
    <s v="CTTO MANTENIMIENTO ASCENSORES COLEGIOS MUNICIPALE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267"/>
    <s v="AD"/>
    <d v="2022-01-01T00:00:00"/>
    <n v="22022001682"/>
    <s v="2022 04 9204 213"/>
    <n v="1045.44"/>
    <x v="113"/>
    <s v="MANTENIMIENTO DEL ASCENSOR Y PLATAFORMA ELEVADORA INDUSTRIAL, LOTE 3"/>
    <s v="220"/>
    <s v="VIGO"/>
    <s v="PONTEVEDRA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09000748"/>
    <s v="AD"/>
    <d v="2022-01-01T00:00:00"/>
    <n v="22022000269"/>
    <s v="2022 06 3261 213"/>
    <n v="457.38"/>
    <x v="113"/>
    <s v="CTTO MANTENIMIENTO ASCENSORES EM MUSICA MARIANO DE LAS HERA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09000752"/>
    <s v="AD"/>
    <d v="2022-01-01T00:00:00"/>
    <n v="22022000273"/>
    <s v="2022 06 2314 213"/>
    <n v="457.38"/>
    <x v="113"/>
    <s v="CTTO MANTENIMIENTO ASCENSORES ESPACIO JOVEN NORTE 2021-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0386"/>
    <s v="AD"/>
    <d v="2022-01-25T00:00:00"/>
    <n v="22022000011"/>
    <s v="2022 10 2312 213"/>
    <n v="2199.8000000000002"/>
    <x v="118"/>
    <s v="CONTRATO DE MANTENIMIENTO DE ELEVADORES PARA LOS CPM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6747"/>
    <s v="D"/>
    <d v="2022-03-02T00:00:00"/>
    <n v="22022001623"/>
    <s v="2022 11 1361 22199"/>
    <n v="41.62"/>
    <x v="163"/>
    <s v="INTERRUP NIESSEN 2201-BA (10 UDS) /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0387"/>
    <s v="AD"/>
    <d v="2022-01-25T00:00:00"/>
    <n v="22022000013"/>
    <s v="2022 10 2312 213"/>
    <n v="2199.8000000000002"/>
    <x v="118"/>
    <s v="CONTRATO DE MANTENIMIENTO DE ELEVADORES PARA LOS CPM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3"/>
    <s v="AD"/>
    <d v="2022-01-25T00:00:00"/>
    <n v="22022000009"/>
    <s v="2022 10 2311 213"/>
    <n v="879.92"/>
    <x v="118"/>
    <s v="CONTRATO DE MANTENIMIENTO DE ELEVADORES DEL CENTRO INTEGRADO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92"/>
    <s v="AD"/>
    <d v="2022-01-25T00:00:00"/>
    <n v="22022000008"/>
    <s v="2022 10 2311 213"/>
    <n v="439.96"/>
    <x v="118"/>
    <s v="CONTRATO DE MANTENIMIENTO DE ELEVADORES DEL COMEDOR SOCIAL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98"/>
    <s v="AD"/>
    <d v="2022-01-25T00:00:00"/>
    <n v="22022000016"/>
    <s v="2022 10 2412 213"/>
    <n v="229.94"/>
    <x v="118"/>
    <s v="CONTRATO DE MANTENIMIENTO DE ELEVADOR DEL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399"/>
    <s v="AD"/>
    <d v="2022-01-25T00:00:00"/>
    <n v="22022000017"/>
    <s v="2022 10 2412 213"/>
    <n v="95.52"/>
    <x v="118"/>
    <s v="CONTRATO DE MANTENIMIENTO DEL ELEVADOR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397"/>
    <s v="AD"/>
    <d v="2022-01-25T00:00:00"/>
    <n v="22022000014"/>
    <s v="2022 10 2412 213"/>
    <n v="58.29"/>
    <x v="118"/>
    <s v="CONTRATO DE MANTENIMIENTO DE ELEVADOR DEL CFE &quot;&quot;JACINTO BENAVENTE&quot;&quot;, PROG.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0"/>
    <s v="AD"/>
    <d v="2022-01-25T00:00:00"/>
    <n v="22022000019"/>
    <s v="2022 10 2412 213"/>
    <n v="56.21"/>
    <x v="118"/>
    <s v="CONTRATO DE MANTENIMIENTO DEL ELEVADOR D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9000093"/>
    <s v="AD"/>
    <d v="2022-01-01T00:00:00"/>
    <n v="22022002225"/>
    <s v="2022 04 9311 22799"/>
    <n v="5082"/>
    <x v="175"/>
    <s v="Mantenimiento de la aplicación de presupuestos visuales del Ayuntamiento de Valladolid &quot;&quot;Las Cuentas Clara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10069212"/>
    <s v="AD"/>
    <d v="2022-03-11T00:00:00"/>
    <n v="22021004435"/>
    <s v="2022 11 1321 624"/>
    <n v="169158"/>
    <x v="176"/>
    <s v="ADQUISICIÓN DE VEHÍCULOS PARA POLICÍA MUNICIPAL POR RENOVACIÓN DE FLOTA. LOTE Nº 1."/>
    <s v="220"/>
    <s v="VALLADOLID"/>
    <s v="VALLADOLID"/>
    <x v="3"/>
    <s v="PrAbier - Procedimiento Abierto"/>
    <s v="MultiC - MultiCriterio"/>
    <x v="1"/>
    <x v="0"/>
    <s v="6"/>
    <s v="6. Inversiones reales"/>
    <s v="11"/>
    <x v="6"/>
    <s v="1321"/>
    <s v="1321. Policía municipal"/>
    <s v="62"/>
    <s v="624"/>
  </r>
  <r>
    <n v="220220001740"/>
    <s v="D"/>
    <d v="2022-01-27T00:00:00"/>
    <n v="22022001637"/>
    <s v="2022 07 1711 214"/>
    <n v="44.77"/>
    <x v="176"/>
    <s v="ACUERDO MARCO 3/2020, TRABAJOS EN VEHÍCULOS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54"/>
    <s v="D"/>
    <d v="2022-02-18T00:00:00"/>
    <n v="22022001453"/>
    <s v="2022 11 1321 214"/>
    <n v="105.47"/>
    <x v="176"/>
    <s v="ACUERDO MARCO REPARACION VEHICULO: 5343-BVH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86"/>
    <s v="D"/>
    <d v="2022-02-18T00:00:00"/>
    <n v="22022000901"/>
    <s v="2022 11 1621 214"/>
    <n v="1482.25"/>
    <x v="176"/>
    <s v="AC MARCO EXP SPSC23/2020: REPARACION DE VEHÍCULO 3383-GJN: ENDEREZAR BASTIDOR DEL ELEVADOR LATERAL EN BANCAD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5605"/>
    <s v="D"/>
    <d v="2022-02-22T00:00:00"/>
    <n v="22022001637"/>
    <s v="2022 07 1711 214"/>
    <n v="54.45"/>
    <x v="176"/>
    <s v="ACUERDO MARCO 3/2020, TRABAJOS EN VEHICULOS,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28"/>
    <s v="D"/>
    <d v="2022-02-22T00:00:00"/>
    <n v="22022001555"/>
    <s v="2022 08 1532 214"/>
    <n v="256.7"/>
    <x v="176"/>
    <s v="REPARACION 4746-FZF // FALLA ELEVALUNAS IZQ., PANEL IZQ.PARA SUSTITUIRLO (M.O.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5630"/>
    <s v="D"/>
    <d v="2022-02-22T00:00:00"/>
    <n v="22022001555"/>
    <s v="2022 08 1532 214"/>
    <n v="271.51"/>
    <x v="176"/>
    <s v="REPARACION 5689-CFT // PANEL DE PUERTA IZQ.PARA CAMBIAR ELEVALUNAS ROTO (M.O.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5632"/>
    <s v="D"/>
    <d v="2022-02-22T00:00:00"/>
    <n v="22022001555"/>
    <s v="2022 08 1532 214"/>
    <n v="1241.32"/>
    <x v="176"/>
    <s v="REPARACION 5667-CFT // ACCESORIOS PARA ACCEDER A CAJA DE CAMBIOS / SUSTITUIR EMBRAGUE Y VOLANTE MOTOR (M.O.+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424"/>
    <s v="D"/>
    <d v="2022-03-11T00:00:00"/>
    <n v="22022001637"/>
    <s v="2022 07 1711 214"/>
    <n v="150.78"/>
    <x v="176"/>
    <s v="ACUERDO MARCO 3/2020, REPARACION VEHICULO 5833-BZK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8474"/>
    <s v="D"/>
    <d v="2022-03-11T00:00:00"/>
    <n v="22022001555"/>
    <s v="2022 08 1532 214"/>
    <n v="333.9"/>
    <x v="176"/>
    <s v="REPARACION 5689-CFT: REVISIÓN FALLO DE INTERMITENCIAS / REPARAR (M.O. 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476"/>
    <s v="D"/>
    <d v="2022-03-11T00:00:00"/>
    <n v="22022001555"/>
    <s v="2022 08 1532 214"/>
    <n v="300.75"/>
    <x v="176"/>
    <s v="REPARACION VA-8042-T: APROXIMAR FRENOS/ METER EN FRENÓMETRO (MATERIALES + M.O.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615"/>
    <s v="D"/>
    <d v="2022-03-11T00:00:00"/>
    <n v="22022001555"/>
    <s v="2022 08 1532 214"/>
    <n v="393.29"/>
    <x v="176"/>
    <s v="REPARACION VEHICULO MATRÍCULA: 5667-CFT // Cº ACEITE MOTOR Y FILTROS - Cº VALVULINAS C/G REV.NIVELES, LUCES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642"/>
    <s v="ADO"/>
    <d v="2022-03-14T00:00:00"/>
    <n v="22022001186"/>
    <s v="2022 02 9332 214"/>
    <n v="217.91"/>
    <x v="176"/>
    <s v="REPARACION 6006-CCM // CAMBIAR ACEITE DE MOTOR, FILTRO ACEITE Y CAMBIAR CORREAS (M.O.+ MATERIALES)"/>
    <s v="24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386"/>
    <s v="D"/>
    <d v="2022-03-16T00:00:00"/>
    <n v="22022001627"/>
    <s v="2022 11 1361 214"/>
    <n v="297.37"/>
    <x v="176"/>
    <s v="REPARACION VEHICULO: 1791-CRZ // TAMBORES Y ZAPATAS, LIJAR ZAPATAS, APROXIMAR FRENOS Y METER EN FRENOMETRO/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9448"/>
    <s v="D"/>
    <d v="2022-03-16T00:00:00"/>
    <n v="22022001637"/>
    <s v="2022 07 1711 214"/>
    <n v="420.61"/>
    <x v="176"/>
    <s v="ACUERDO MARCO 3/2020, REPARACION VEHICULO 5729-KJK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29"/>
    <s v="D"/>
    <d v="2022-03-16T00:00:00"/>
    <n v="22022001451"/>
    <s v="2022 02 9332 214"/>
    <n v="292.5"/>
    <x v="176"/>
    <s v="REPARACION VEHICULO: 0701-DKW ////// Cº ACEITE Y FILTRO - Cº FILTROS DE GASOIL Y DE AIRE - ACCESORIO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73"/>
    <s v="D"/>
    <d v="2022-03-16T00:00:00"/>
    <n v="22022001555"/>
    <s v="2022 08 1532 214"/>
    <n v="54.45"/>
    <x v="176"/>
    <s v="REPARAR TUBERIA DE VACIO DE FRENO MANO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12683"/>
    <s v="D"/>
    <d v="2022-03-24T00:00:00"/>
    <n v="22022001637"/>
    <s v="2022 07 1711 214"/>
    <n v="55.66"/>
    <x v="176"/>
    <s v="ACUERDO MARCO 3/2020 TRABAJOS EN VEHÍCUL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6759"/>
    <s v="D"/>
    <d v="2022-03-02T00:00:00"/>
    <n v="22022001627"/>
    <s v="2022 11 1361 214"/>
    <n v="88.64"/>
    <x v="176"/>
    <s v="REPARACION 7425-FKM / MONTAR TOMAS DE AIRE ITV A 3 EJES/ REVISIÓN DE AMORTIGUADORES (M.O.+ MATERIALES)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6761"/>
    <s v="D"/>
    <d v="2022-03-02T00:00:00"/>
    <n v="22022001627"/>
    <s v="2022 11 1361 214"/>
    <n v="24.2"/>
    <x v="176"/>
    <s v="ALBARAN: 22 179 500025218L ////  LITRO AD BLUE (20) ///  DESTINO: SEIS Y 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3517"/>
    <s v="AD"/>
    <d v="2022-02-14T00:00:00"/>
    <n v="22022001929"/>
    <s v="2022 04 9204 641"/>
    <n v="28958.93"/>
    <x v="45"/>
    <s v="MIGRACIÓN DEL SISTEMA DE CORREO ELECTRÓNICO DEL AYTO. DE VALLADOLID A EXCHANGE ON-LINE, LOTE 3 (REAJUSTE) (58/2021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9000536"/>
    <s v="AD"/>
    <d v="2022-01-01T00:00:00"/>
    <n v="22022001997"/>
    <s v="2022 04 9204 641"/>
    <n v="10300"/>
    <x v="177"/>
    <s v="SISTEMA DE CITA PREVIA, LOTE 13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0036836"/>
    <s v="AD"/>
    <d v="2022-02-28T00:00:00"/>
    <n v="22021005105"/>
    <s v="2022 08 1532 619"/>
    <n v="617.47"/>
    <x v="28"/>
    <s v="A.T. CONTROL DE CALIDAD. LOTE 1. ACERA Y CARRIL BICI EN CARRETERA DE RUEDA.-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37295"/>
    <s v="AD"/>
    <d v="2022-02-28T00:00:00"/>
    <n v="22021002836"/>
    <s v="2022 08 1532 619"/>
    <n v="13042.35"/>
    <x v="28"/>
    <s v="LOTE A: Ensayos de laboratorio (materiales y unidades de obra) para control calidad en la ejecución del Lote 1 Conservac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511"/>
    <s v="D"/>
    <d v="2022-02-14T00:00:00"/>
    <n v="22022001871"/>
    <s v="2022 04 9204 641"/>
    <n v="73810"/>
    <x v="139"/>
    <s v="SUMINISTRO, INSTALACIÓN, CONFIGURACIÓN Y PUESTA EN MARCHA DE UN SISTEMA DE COPIAS DE SEGURIDAD, LOTE 1 (58/2021)"/>
    <s v="30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0043823"/>
    <s v="AD"/>
    <d v="2022-02-28T00:00:00"/>
    <n v="22021003909"/>
    <s v="2022 05 4331 609"/>
    <n v="1721.12"/>
    <x v="28"/>
    <s v="A.M. Servicio de Control de Calidad obras municipales CONTRATO DE OBRAS -CORREDOR VERDE (URBAN GreenUP G.A. nº 730426)"/>
    <s v="220"/>
    <s v="MALAGA"/>
    <s v="MALAGA"/>
    <x v="1"/>
    <s v="PrAbier - Procedimiento Abierto"/>
    <s v="UniC - Único Criterio"/>
    <x v="1"/>
    <x v="0"/>
    <s v="6"/>
    <s v="6. Inversiones reales"/>
    <s v="05"/>
    <x v="3"/>
    <s v="4331"/>
    <s v="4331. Desarrollo empresarial"/>
    <s v="60"/>
    <s v="609"/>
  </r>
  <r>
    <n v="220210033090"/>
    <s v="AD"/>
    <d v="2022-02-28T00:00:00"/>
    <n v="22021005030"/>
    <s v="2022 06 3261 632"/>
    <n v="263.38"/>
    <x v="28"/>
    <s v="ENSAYOS DE CONTROL DE CALIDAD. LOTE 1.  PARA LA OBRA DE MEJORA DE VARIAS AULAS EN EL CEIP MARIA DE MOLINA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61"/>
    <s v="3261. Servicios complementarios de educación"/>
    <s v="63"/>
    <s v="632"/>
  </r>
  <r>
    <n v="220210034306"/>
    <s v="AD"/>
    <d v="2022-03-11T00:00:00"/>
    <n v="22021002556"/>
    <s v="2022 11 3111 632"/>
    <n v="542.92999999999995"/>
    <x v="28"/>
    <s v="A.M. 009/2020 CONTRATO LOTE 1 : ENSAYO CONTROL CALIDAD  DE OBRAS REFORMA CMPA"/>
    <s v="220"/>
    <s v="MALAGA"/>
    <s v="MALAGA"/>
    <x v="0"/>
    <s v="PrAbier - Procedimiento Abierto"/>
    <s v="MultiC - MultiCriterio"/>
    <x v="1"/>
    <x v="0"/>
    <s v="6"/>
    <s v="6. Inversiones reales"/>
    <s v="11"/>
    <x v="6"/>
    <s v="3111"/>
    <s v="3111. Protección de la salubridad pública"/>
    <s v="63"/>
    <s v="632"/>
  </r>
  <r>
    <n v="220210054482"/>
    <s v="AD"/>
    <d v="2022-02-28T00:00:00"/>
    <n v="22021006299"/>
    <s v="2022 06 3231 622"/>
    <n v="1239.5"/>
    <x v="28"/>
    <s v="SE-EIJI 21/2021. PS 1. ENSAYOS CONTROL DE CALIDAD CONSTRUCCION NUEVA E.I.M. SEPTIEMBRE A DICIEMBRE DE 2021.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42109"/>
    <s v="AD"/>
    <d v="2022-02-28T00:00:00"/>
    <n v="22021005623"/>
    <s v="2022 06 3232 632"/>
    <n v="263.06"/>
    <x v="28"/>
    <s v="LOTE 1 ENSAYOS DE CONTROL DE CALIDAD POR LAS OBRAS DE REFORMA DE SOLERAS EN PATIOS VICENTE ALEIXANDRE Y PONCE DE LEÓN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10043875"/>
    <s v="AD"/>
    <d v="2022-02-28T00:00:00"/>
    <n v="22021005787"/>
    <s v="2022 06 3231 632"/>
    <n v="140.66"/>
    <x v="28"/>
    <s v="LOTE 1 ENSAYOS DE CONTROL DE CALIDAD EN LA REFORMA ASEOS CASA NIÑOS/NIÑAS PAJARILLOS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3"/>
    <s v="632"/>
  </r>
  <r>
    <n v="220210056295"/>
    <s v="AD"/>
    <d v="2022-02-28T00:00:00"/>
    <n v="22021006392"/>
    <s v="2022 05 4331 622"/>
    <n v="213.86"/>
    <x v="28"/>
    <s v="A.M. Control de calidad de las obras de adecuación de la Nave ubicada en la calle Valle de Arán nº 1 para Hub de Innovac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0063762"/>
    <s v="AD"/>
    <d v="2022-02-28T00:00:00"/>
    <n v="22021006772"/>
    <s v="2022 05 4331 609"/>
    <n v="717.31"/>
    <x v="28"/>
    <s v="A.M.Ensayos de control de calidad de obras municipales del Lote 1,Obra de Infraestructura Verde: Barreras Acústicas Vege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68032"/>
    <s v="AD"/>
    <d v="2022-02-28T00:00:00"/>
    <n v="22021007324"/>
    <s v="2022 08 1532 619"/>
    <n v="891.62"/>
    <x v="28"/>
    <s v="Ensayos Control Calidad. Lote 1 Obra C/ Nueva del Carmen, entre Pza. Rafael Cano y Pza.Gómez del Barco. Plazo 12 meses.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74647"/>
    <s v="AD"/>
    <d v="2022-02-28T00:00:00"/>
    <n v="22021008110"/>
    <s v="2022 08 1532 619"/>
    <n v="688.31"/>
    <x v="28"/>
    <s v="Ensayos de Control  de Calidad en la obra Reparación de estructuras y mobiliario en la Plaza de la Solidaridad.-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50352"/>
    <s v="AD"/>
    <d v="2022-02-28T00:00:00"/>
    <n v="22021006119"/>
    <s v="2022 06 3231 632"/>
    <n v="197.1"/>
    <x v="28"/>
    <s v="ENSAYOS DE CONTROL DE CALIDAD PARA LA OBRA REFORMA SOLERA Y ZONA DE LA CUBIERTA EN EIM CAMPANILLA (LOTE 1)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3"/>
    <s v="632"/>
  </r>
  <r>
    <n v="220210056284"/>
    <s v="AD"/>
    <d v="2022-03-11T00:00:00"/>
    <n v="22022002810"/>
    <s v="2022 11 1631 632"/>
    <n v="128.37"/>
    <x v="28"/>
    <s v="CONTROL DE CALIDAD OBRA CONSTRUCCIÓN MÓDULO OFICINAS Y LAVANDERIA PARA TALLER DEL SERVICIO DE LIMPIEZA"/>
    <s v="220"/>
    <s v="MALAGA"/>
    <s v="MALAGA"/>
    <x v="0"/>
    <s v="PrAbier - Procedimiento Abierto"/>
    <s v="MultiC - MultiCriterio"/>
    <x v="1"/>
    <x v="0"/>
    <s v="6"/>
    <s v="6. Inversiones reales"/>
    <s v="11"/>
    <x v="6"/>
    <s v="1631"/>
    <s v="1631. Limpieza viaria"/>
    <s v="63"/>
    <s v="632"/>
  </r>
  <r>
    <n v="220210056289"/>
    <s v="AD"/>
    <d v="2022-02-28T00:00:00"/>
    <n v="22021005812"/>
    <s v="2022 10 2311 632"/>
    <n v="104.03"/>
    <x v="28"/>
    <s v="ensayos control calidad obras reparación e impermeab. aseos Centro Integrado para pers.sin hogar. COVID-19"/>
    <s v="220"/>
    <s v="MALAGA"/>
    <s v="MALAG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84926"/>
    <s v="AD"/>
    <d v="2022-02-28T00:00:00"/>
    <n v="22021005726"/>
    <s v="2022 08 1532 619"/>
    <n v="544.45000000000005"/>
    <x v="28"/>
    <s v="Ensayos Control Calidad enAcondicionamiento Plaza grupo Aramburu-Las Viudas, entorno del Centro Municipal Segundo Montes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9000656"/>
    <s v="AD"/>
    <d v="2022-01-01T00:00:00"/>
    <n v="22022002081"/>
    <s v="2022 05 4331 622"/>
    <n v="394.9"/>
    <x v="28"/>
    <s v="A.M. Control de calidad de las obras de adecuación de la Nave ubicada en la calle Valle de Arán nº 1 para Hub de Innovac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9000706"/>
    <s v="AD"/>
    <d v="2022-01-01T00:00:00"/>
    <n v="22022002006"/>
    <s v="2022 02 1511 609"/>
    <n v="61297.68"/>
    <x v="28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9000772"/>
    <s v="AD"/>
    <d v="2022-01-01T00:00:00"/>
    <n v="22022002209"/>
    <s v="2022 08 1651 619"/>
    <n v="1357.14"/>
    <x v="28"/>
    <s v="LOTE 1 ACUERDO MARCO CONTROL DE CALIDAD ALUMBRADO. EXP: 8/2021 SEMEU"/>
    <s v="220"/>
    <s v="MALAGA"/>
    <s v="MALAGA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19000838"/>
    <s v="AD"/>
    <d v="2022-01-01T00:00:00"/>
    <n v="22022002210"/>
    <s v="2022 08 1532 619"/>
    <n v="2000"/>
    <x v="28"/>
    <s v="Ensayos Control Calidad.Lote 1. Obra C/ Nueva del Carmen, entre Pza.Rafael Cano y Pza. Gómez del Barco.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9000900"/>
    <s v="AD"/>
    <d v="2022-01-01T00:00:00"/>
    <n v="22022002155"/>
    <s v="2022 06 3231 622"/>
    <n v="2587"/>
    <x v="28"/>
    <s v="SE-EIJI 21/2021. PS 1. ENSAYOS CONTROL DE CALIDAD CONSTRUCCION NUEVA E.I.M. ENERO A AGOSTO DE 2022.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77216"/>
    <s v="AD"/>
    <d v="2022-02-28T00:00:00"/>
    <n v="22021008090"/>
    <s v="2022 06 3232 632"/>
    <n v="189.57"/>
    <x v="28"/>
    <s v="ENSAYOS DE CONTROL DE CALIDAD (LOTE 1) REPARACIONES CUBIERTA ISABEL LA CATÓLICA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20007916"/>
    <s v="D"/>
    <d v="2022-03-07T00:00:00"/>
    <n v="22022002032"/>
    <s v="2022 08 1341 609"/>
    <n v="8367.94"/>
    <x v="28"/>
    <s v="CONTRATO BASADO EN ACUERDO MARCO CONTROL DE CALIDAD ELEVADORES URBANOS LADERA ESTE PARQUESOL (LOTE 1). EXP: 50/2021"/>
    <s v="300"/>
    <s v="MALAGA"/>
    <s v="MALAG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81394"/>
    <s v="AD"/>
    <d v="2022-02-28T00:00:00"/>
    <n v="22021007258"/>
    <s v="2022 03 9241 632"/>
    <n v="3027.9"/>
    <x v="28"/>
    <s v="CONTROL DE CALIDAD LOTE 1: ENSAYOS// OBRA REHABILITACION ANTIGUO FRONTON DE LAS FLORES PARA CENTRO DOTACIONAL"/>
    <s v="220"/>
    <s v="MALAGA"/>
    <s v="MALAG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03492"/>
    <s v="AD"/>
    <d v="2022-02-14T00:00:00"/>
    <n v="22022002112"/>
    <s v="2022 03 9241 22706"/>
    <n v="107"/>
    <x v="28"/>
    <s v="Ensayos de materiales utilizados en las obras de las cubiertas de los Centros Delicias y Conde Ansúrez"/>
    <s v="220"/>
    <s v="MALAGA"/>
    <s v="MALAGA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20013252"/>
    <s v="D"/>
    <d v="2022-03-30T00:00:00"/>
    <n v="22022002363"/>
    <s v="2022 07 1721 22112"/>
    <n v="15.75"/>
    <x v="163"/>
    <s v="INTERRUP NIESSEN 8101 (2) / TECLA I  NIESSEN (2) / MARCO 2E NIESSEN (1) /// DESTINO: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20003513"/>
    <s v="AD"/>
    <d v="2022-02-14T00:00:00"/>
    <n v="22022001925"/>
    <s v="2022 04 9204 641"/>
    <n v="24667.89"/>
    <x v="139"/>
    <s v="SUMINISTRO, INSTALACIÓN, CONFIGURACIÓN Y PUESTA EN MARCHA DE UN SISTEMA DE COPIAS DE SEGURIDAD, LOTE 1 (REAJ) (58/2021"/>
    <s v="22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13250"/>
    <s v="D"/>
    <d v="2022-03-30T00:00:00"/>
    <n v="22022002363"/>
    <s v="2022 07 1721 22112"/>
    <n v="13.1"/>
    <x v="163"/>
    <s v="INTERRUPT LEGRAND/ TECLA/ MARCO //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20006753"/>
    <s v="D"/>
    <d v="2022-03-02T00:00:00"/>
    <n v="22022001623"/>
    <s v="2022 11 1361 22199"/>
    <n v="12.62"/>
    <x v="163"/>
    <s v="CONEXION FONESTAR/ PROLONGA/ CLAVIJA FENOPLÁSTICA // BOMBEROS, C/ ERAS/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19000884"/>
    <s v="AD"/>
    <d v="2022-01-01T00:00:00"/>
    <n v="22022000102"/>
    <s v="2022 11 1361 22104"/>
    <n v="3630"/>
    <x v="142"/>
    <s v="SPSC 013_2021;Contratación del Suministro de Prendas de Vestuario; LOTE 4: BOTAS Y ZAPATOS; SEISYPC."/>
    <s v="220"/>
    <s v="CARMONA"/>
    <s v="SEVILL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20001611"/>
    <s v="AD"/>
    <d v="2022-01-26T00:00:00"/>
    <n v="22022001538"/>
    <s v="2022 06 3321 22001"/>
    <n v="391"/>
    <x v="178"/>
    <s v="SUSCRIPCIÓN VARIAS REVISTAS PARA LAS BIBLIOTECAS MUNICIPALES, PLAZO DE EJECUCIÓN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418"/>
    <s v="AD"/>
    <d v="2022-01-01T00:00:00"/>
    <n v="22022000554"/>
    <s v="2022 04 9231 22799"/>
    <n v="15910.84"/>
    <x v="179"/>
    <s v="PRORROGA MANTENIMIENTO WEB OBSERVATORIO URBANO 2021-2022. SERVICIO INFORMACIO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19000433"/>
    <s v="AD"/>
    <d v="2022-01-01T00:00:00"/>
    <n v="22022000557"/>
    <s v="2022 05 4331 22799"/>
    <n v="7385.2"/>
    <x v="179"/>
    <s v="Prorroga del contrato del Observatorio Urbano para los año 2021-2022. Agencia de Innov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19000417"/>
    <s v="AD"/>
    <d v="2022-01-01T00:00:00"/>
    <n v="22022000553"/>
    <s v="2022 09 3301 22799"/>
    <n v="1674.83"/>
    <x v="179"/>
    <s v="PRORROGA CONTRATO PUBLICACIÓN DATOS DEL OBSERVATORIO CULTURAL Y TURISTICO EN OBSERVATORIO URBANO HASTA 24/10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20008964"/>
    <s v="AD"/>
    <d v="2022-03-15T00:00:00"/>
    <n v="22022002547"/>
    <s v="2022 01 9206 22199"/>
    <n v="3.36"/>
    <x v="163"/>
    <s v="MATERIAL DE MANTENIMIENTO PARA EL ARCHIVO MUNICIPAL, FEBRERO 2022.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19000930"/>
    <s v="AD"/>
    <d v="2022-01-01T00:00:00"/>
    <n v="22022000126"/>
    <s v="2022 11 3111 22100"/>
    <n v="16000"/>
    <x v="5"/>
    <s v="SUMINISTRO ENERGIA ELECTRICA 2022 Y 2023 . SERVICIO SALUD PUBLICA. EXPTE. PR-SE 13/2021"/>
    <s v="220"/>
    <s v="BILBAO"/>
    <s v="VIZCAYA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0"/>
  </r>
  <r>
    <n v="220219000175"/>
    <s v="AD"/>
    <d v="2022-01-01T00:00:00"/>
    <n v="22022002185"/>
    <s v="2022 04 9204 641"/>
    <n v="18750"/>
    <x v="144"/>
    <s v="MTO. DEL SISTEMA DE INFORMACIÓN DEL PADRÓN MUNICIPAL DE HABITANTES DEL AYUNTAMIENTO DE VALLADOLID, PRIMERA PRÓRROGA"/>
    <s v="220"/>
    <s v="ECIJ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4243"/>
    <s v="ADO"/>
    <d v="2022-02-18T00:00:00"/>
    <n v="22022002338"/>
    <s v="2022 04 9341 22000"/>
    <n v="821.25"/>
    <x v="180"/>
    <s v="CIRCUITO DE CODIFICACION DE ENTIDADES FINANCIERAS (MODALIDAD CD-ROM): CD-ROM + APLICATIVO SEMESTRAL (2) // AÑO 2022"/>
    <s v="240"/>
    <s v="ALCOBENDAS"/>
    <s v="MADRID"/>
    <x v="4"/>
    <s v="AdDirec - Adjudicación Directa"/>
    <s v="SinC - Sin Criterio"/>
    <x v="2"/>
    <x v="0"/>
    <s v="2"/>
    <s v="2. Gastos corrientes en bienes y servicios"/>
    <s v="04"/>
    <x v="5"/>
    <s v="9341"/>
    <s v="9341. Tesorería y recaudación"/>
    <s v="22"/>
    <s v="22000"/>
  </r>
  <r>
    <n v="220220009359"/>
    <s v="AD"/>
    <d v="2022-03-16T00:00:00"/>
    <n v="22022002800"/>
    <s v="2022 08 1532 22699"/>
    <n v="658.24"/>
    <x v="181"/>
    <s v="Suministro y montaje válvula y puesta en marcha de bomba para circuito de agua caliente sanitaria en instalaciones SEPI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699"/>
  </r>
  <r>
    <n v="220219000537"/>
    <s v="AD"/>
    <d v="2022-01-01T00:00:00"/>
    <n v="22022001998"/>
    <s v="2022 04 9204 641"/>
    <n v="7260"/>
    <x v="182"/>
    <s v="SISTEMA DE INFORMACIÓN AL CIUDADANO Y GESTIÓN DE SUGERENCIAS Y QUEJAS: DOGMA, LOTE 14"/>
    <s v="220"/>
    <s v="TRES CANTOS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9000539"/>
    <s v="AD"/>
    <d v="2022-01-01T00:00:00"/>
    <n v="22022000083"/>
    <s v="2022 04 9204 216"/>
    <n v="3977.88"/>
    <x v="183"/>
    <s v="MANTENIMIENTO GESTIÓN DE BIBLIOTECAS DEL ARCHIVO MUNICIPAL AbsysNET, LOTE 1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5778"/>
    <s v="AD"/>
    <d v="2022-02-23T00:00:00"/>
    <n v="22022002340"/>
    <s v="2022 08 1532 210"/>
    <n v="7260"/>
    <x v="184"/>
    <s v="Suministro hormigones y morteros para uso directo por los equipos del S.E.P.I. en las condiciones solicitadas para 2022."/>
    <s v="220"/>
    <s v="BARCELONA"/>
    <s v="BARCELON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10684"/>
    <s v="AD"/>
    <d v="2022-03-22T00:00:00"/>
    <n v="22022002790"/>
    <s v="2022 06 3321 22799"/>
    <n v="750"/>
    <x v="152"/>
    <s v="DISEÑO Y MAQUETACIÓN PARA LAS BIBLIOTECAS MUNICIPALES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799"/>
  </r>
  <r>
    <n v="220209000758"/>
    <s v="AD"/>
    <d v="2022-01-01T00:00:00"/>
    <n v="22022000278"/>
    <s v="2022 02 9331 224"/>
    <n v="41903.46"/>
    <x v="109"/>
    <s v="CONTRATACIÓN AÑOS 2021-2022 SEGURO DAÑOS MATERIALES (LOTE 2) AYUNTAMIENTO VALLADOLID (Exp. 15/2020) JTAGOB 16y23-12-2020"/>
    <s v="220"/>
    <s v="GETXO"/>
    <s v="VIZCAYA"/>
    <x v="7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01610"/>
    <s v="AD"/>
    <d v="2022-01-26T00:00:00"/>
    <n v="22022001524"/>
    <s v="2022 10 2312 213"/>
    <n v="3902.25"/>
    <x v="155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1610"/>
    <s v="AD"/>
    <d v="2022-01-26T00:00:00"/>
    <n v="22022001525"/>
    <s v="2022 10 2312 213"/>
    <n v="1542.75"/>
    <x v="155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5792"/>
    <s v="AD"/>
    <d v="2022-02-23T00:00:00"/>
    <n v="22022002378"/>
    <s v="2022 08 1532 203"/>
    <n v="943.8"/>
    <x v="156"/>
    <s v="Alquiler carretillas elevadoras 4x4, incluido portes, para movimiento de palets y otros materiales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19000713"/>
    <s v="AD"/>
    <d v="2022-01-01T00:00:00"/>
    <n v="22022000577"/>
    <s v="2022 01 9312 22706"/>
    <n v="6737.28"/>
    <x v="185"/>
    <s v="ADJUDICACION CONTRATO Y REAJUSTE ANUALIDADES CONTROL FINANCIERO DE SUBVENCIONES (LOTE 1)"/>
    <s v="220"/>
    <s v="OURENSE"/>
    <s v="OURENSE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19000712"/>
    <s v="AD"/>
    <d v="2022-01-01T00:00:00"/>
    <n v="22022000576"/>
    <s v="2022 01 9312 22706"/>
    <n v="6351.29"/>
    <x v="185"/>
    <s v="ADJUDICACION CONTRATO Y REAJUSTE ANUALIDADES CONTROL FINANCERO DE SUBVENCIONES (LOTE 3)"/>
    <s v="220"/>
    <s v="OURENSE"/>
    <s v="OURENSE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00009642"/>
    <s v="AD"/>
    <d v="2022-02-28T00:00:00"/>
    <n v="22020002273"/>
    <s v="2022 10 2312 622"/>
    <n v="29638.560000000001"/>
    <x v="157"/>
    <s v="DIRECCION FACULT. DE OBRAS.CPM PARQUESOL CON SED Y BIBLIOTECA MPAL."/>
    <s v="220"/>
    <s v="VALLADOLID"/>
    <s v="VALLADOL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6713"/>
    <s v="AD"/>
    <d v="2022-02-28T00:00:00"/>
    <n v="22022002308"/>
    <s v="2022 02 9332 632"/>
    <n v="35335.15"/>
    <x v="78"/>
    <s v="MANTENIMIENTO DE TEJADOS EN EL ANTIGUO MONASTERIO DE SANTA CATALINA DE SIENA"/>
    <s v="220"/>
    <s v="VALLADOLID"/>
    <s v="VALLADOLID"/>
    <x v="1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2492"/>
    <s v="D"/>
    <d v="2022-02-02T00:00:00"/>
    <n v="22022001628"/>
    <s v="2022 03 9241 213"/>
    <n v="2114.8000000000002"/>
    <x v="163"/>
    <s v="MATERIAL ELÉCTRICO // AA.VV. SAN NICOLÁS / CC CASA CUNA / C.M SANTIAGO LÓPEZ / C.M. SEGUNDO MONT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2607"/>
    <s v="AD"/>
    <d v="2022-02-07T00:00:00"/>
    <n v="22022001882"/>
    <s v="2022 05 4331 22799"/>
    <n v="1815"/>
    <x v="186"/>
    <s v="TRABAJOS DE MAQUETACIÓN DE LA ESTRATEGIA CLIMÁTICA DE VALLADOLID."/>
    <s v="220"/>
    <s v="ZARATAN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19000925"/>
    <s v="AD"/>
    <d v="2022-01-01T00:00:00"/>
    <n v="22022000121"/>
    <s v="2022 10 2412 22100"/>
    <n v="13500"/>
    <x v="5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9000936"/>
    <s v="AD"/>
    <d v="2022-01-01T00:00:00"/>
    <n v="22022000132"/>
    <s v="2022 08 1532 22100"/>
    <n v="13500"/>
    <x v="5"/>
    <s v="ENERGÍA ELÉCTRICA PARQUE VÍAS PÚBLICAS.-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0"/>
  </r>
  <r>
    <n v="220220000301"/>
    <s v="ADO"/>
    <d v="2022-01-21T00:00:00"/>
    <n v="22022001063"/>
    <s v="2022 02 9332 212"/>
    <n v="1435.47"/>
    <x v="163"/>
    <s v="RELE SE LV481001 DIFER. 240V SIN COMUNIC. (4 UNIDADES) /// DESTINO: CASA CONSISTORIAL"/>
    <s v="24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397"/>
    <s v="AD"/>
    <d v="2022-03-04T00:00:00"/>
    <n v="22022002582"/>
    <s v="2022 03 9241 212"/>
    <n v="108.9"/>
    <x v="187"/>
    <s v="ENGRASAR PERSIANA METÁLICA ENTRADA C/ MARTIN LUTHER KING, CIC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412"/>
    <s v="AD"/>
    <d v="2022-01-01T00:00:00"/>
    <n v="22022000548"/>
    <s v="2022 01 9203 22000"/>
    <n v="8955.67"/>
    <x v="188"/>
    <s v="PRÓRROGA CONTRATO SUMINISTRO MATERIAL ORDINARIO NO INVENTARIABLE AYTO. VALLADOLID, LOTE 4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09"/>
    <s v="AD"/>
    <d v="2022-01-01T00:00:00"/>
    <n v="22022000545"/>
    <s v="2022 01 9203 22000"/>
    <n v="2606.48"/>
    <x v="188"/>
    <s v="PRÓRROGA CONTRATO SUMINISTRO ORDINARIO NO INVENTARIABLE AYTO. VALLADOLID, LOTE 1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20000369"/>
    <s v="AD"/>
    <d v="2022-01-24T00:00:00"/>
    <n v="22022001533"/>
    <s v="2022 03 9241 22104"/>
    <n v="2707.01"/>
    <x v="189"/>
    <s v="SUMINISTRO DE VESTUARIO PARA PRESONAL CENTROS DEL SPC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4"/>
  </r>
  <r>
    <n v="220220003280"/>
    <s v="AD"/>
    <d v="2022-02-10T00:00:00"/>
    <n v="22022002045"/>
    <s v="2022 07 1711 213"/>
    <n v="4000"/>
    <x v="190"/>
    <s v="REPARACION Y TRABAJOS EN PLATAFORMAS ELEVADORAS.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09497"/>
    <s v="D"/>
    <d v="2022-03-16T00:00:00"/>
    <n v="22022001449"/>
    <s v="2022 02 9332 212"/>
    <n v="773.65"/>
    <x v="163"/>
    <s v="MATERIALES DE ELECTRICIDAD PARA EL CENTRO DE MANTENIMIENTO/ CASA CONSISTORIAL/ ACOPIOS/ VIAS Y OB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1607"/>
    <s v="AD"/>
    <d v="2022-01-26T00:00:00"/>
    <n v="22022001435"/>
    <s v="2022 10 2412 203"/>
    <n v="372.45"/>
    <x v="190"/>
    <s v="ALQUILER BRAZO ELEVADOR PARA EL CURSO DE PARQUES Y JARDINES III  DEL C. DE FORMACION PARA EL EMPLEO - DURACION 1 DIA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0"/>
    <s v="203"/>
  </r>
  <r>
    <n v="220220009357"/>
    <s v="AD"/>
    <d v="2022-03-16T00:00:00"/>
    <n v="22022002784"/>
    <s v="2022 11 1321 22699"/>
    <n v="285.56"/>
    <x v="190"/>
    <s v="ALQUILER DE PLATAFORMA DE TIJERA PARA REPARACIONES ELÉCTRICAS EN DEPENDENCIAS DE POLIC.IA.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10063804"/>
    <s v="AD"/>
    <d v="2022-03-11T00:00:00"/>
    <n v="22021003535"/>
    <s v="2022 07 1711 623"/>
    <n v="22311.19"/>
    <x v="191"/>
    <s v="SUMINISTRO DE MAQUINARIA DE SIEGA CON DESTINO AL SERVICIO DE PARQUES Y JARDINES."/>
    <s v="220"/>
    <s v="VALLADOLID"/>
    <s v="VALLADOLID"/>
    <x v="3"/>
    <s v="PrAbier - Procedimiento Abierto"/>
    <s v="MultiC - MultiCriterio"/>
    <x v="0"/>
    <x v="0"/>
    <s v="6"/>
    <s v="6. Inversiones reales"/>
    <s v="07"/>
    <x v="4"/>
    <s v="1711"/>
    <s v="1711. Parques y jardines"/>
    <s v="62"/>
    <s v="623"/>
  </r>
  <r>
    <n v="220220001749"/>
    <s v="D"/>
    <d v="2022-01-27T00:00:00"/>
    <n v="22022001636"/>
    <s v="2022 07 1711 213"/>
    <n v="266.32"/>
    <x v="191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78"/>
    <s v="D"/>
    <d v="2022-02-02T00:00:00"/>
    <n v="22022001636"/>
    <s v="2022 07 1711 213"/>
    <n v="423.05"/>
    <x v="191"/>
    <s v="ACUERDO MARCO 3/2020, ACCESORI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39"/>
    <s v="D"/>
    <d v="2022-03-02T00:00:00"/>
    <n v="22022001636"/>
    <s v="2022 07 1711 213"/>
    <n v="82.35"/>
    <x v="191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0129"/>
    <s v="AD"/>
    <d v="2022-01-21T00:00:00"/>
    <n v="22022001318"/>
    <s v="2022 11 1621 203"/>
    <n v="105.88"/>
    <x v="190"/>
    <s v="ALQUILER TIJERA TODO TERRENO PARA LA REPARACIÓN DE ALUMBRADO EN NAVE PARKING VEHÍCULOS Sº DE LIMPIEZA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0"/>
    <s v="203"/>
  </r>
  <r>
    <n v="220219000413"/>
    <s v="AD"/>
    <d v="2022-01-01T00:00:00"/>
    <n v="22022000549"/>
    <s v="2022 01 9203 22000"/>
    <n v="14645.4"/>
    <x v="192"/>
    <s v="PRÓRROGA CONTRATO SUMINISTRO MATERIAL ORDINARIO NO INVENTARIABLE AYTO. VALLADOLID, LOTE 5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11"/>
    <s v="AD"/>
    <d v="2022-01-01T00:00:00"/>
    <n v="22022000547"/>
    <s v="2022 01 9203 22000"/>
    <n v="10586.51"/>
    <x v="192"/>
    <s v="PRÓRROGA CONTRATO SUMINISTRO MATERIAL ORDINARIO NO INVENTARIBLE AYTO. VALLADOLID, LOTE 3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10"/>
    <s v="AD"/>
    <d v="2022-01-01T00:00:00"/>
    <n v="22022000546"/>
    <s v="2022 01 9203 22000"/>
    <n v="6452.4"/>
    <x v="192"/>
    <s v="PRÓRROGA CONTRATO SUMINISTRO MATERIAL ORDINARIO NO INVENTARIABLE AYTO. VALLADOLID,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20005789"/>
    <s v="AD"/>
    <d v="2022-02-23T00:00:00"/>
    <n v="22022001196"/>
    <s v="2022 01 9205 22199"/>
    <n v="2422.42"/>
    <x v="192"/>
    <s v="ADJUDICA SUMINISTRO TÓNER DIVERSOS COLORES Y OTRO MATERIAL PARA TRABAJOS IMPRENTA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6704"/>
    <s v="AD"/>
    <d v="2022-02-25T00:00:00"/>
    <n v="22022002515"/>
    <s v="2022 11 1621 22199"/>
    <n v="1500"/>
    <x v="192"/>
    <s v="CARPETAS, CORRECTORES Y PAPEL.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10311"/>
    <s v="AD"/>
    <d v="2022-03-21T00:00:00"/>
    <n v="22022002870"/>
    <s v="2022 03 9241 22199"/>
    <n v="424.02"/>
    <x v="192"/>
    <s v="AGENDAS Y DIETARIOS PARA EL PERSONAL DE PARTICIPACIÓN CIUDADANA (NO SUMINISTRADOS POR EL ALMACÉN DE ACOPIOS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934"/>
    <s v="AD"/>
    <d v="2022-01-01T00:00:00"/>
    <n v="22022000130"/>
    <s v="2022 05 4314 22100"/>
    <n v="11000"/>
    <x v="5"/>
    <s v="NUEVO CONTRATO DE SUMINISTRO ENERGIA ELECTRICA PARA LAS DEPENDENCIAS DEL EXCMO. AYUNTAMIENTO DE 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5"/>
    <x v="3"/>
    <s v="4314"/>
    <s v="4314. Fomento del comercio"/>
    <s v="22"/>
    <s v="22100"/>
  </r>
  <r>
    <n v="220220009697"/>
    <s v="AD"/>
    <d v="2022-03-17T00:00:00"/>
    <n v="22022002793"/>
    <s v="2022 11 1321 22199"/>
    <n v="139.15"/>
    <x v="192"/>
    <s v="SUMINISTRO DE LIBRO DE REGISTRO PARA SERVICIO DE POLICÍA MUNICIPAL EN PUENTE DUER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075"/>
    <s v="AD"/>
    <d v="2022-01-19T00:00:00"/>
    <n v="22022000898"/>
    <s v="2022 11 1621 214"/>
    <n v="3000"/>
    <x v="193"/>
    <s v="REPARACIÓN DE EMISORAS DE VEHÍCULOS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0133"/>
    <s v="AD"/>
    <d v="2022-01-21T00:00:00"/>
    <n v="22022001465"/>
    <s v="2022 11 1631 213"/>
    <n v="1886"/>
    <x v="193"/>
    <s v="CONTRATO MANTENIMIENTO Y UBICACIÓN REPETIDOR PARA LA TRANSMISIÓN DE COMUNICACIONES INTERNAS DEL Sº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3"/>
  </r>
  <r>
    <n v="220220003820"/>
    <s v="D"/>
    <d v="2022-02-16T00:00:00"/>
    <n v="22022001628"/>
    <s v="2022 03 9241 213"/>
    <n v="725.46"/>
    <x v="163"/>
    <s v="SUMINISTRO DE DIFERENTE MATERIAL PARA CENTROS CIVICOS Y MPAL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4107"/>
    <s v="D"/>
    <d v="2022-02-18T00:00:00"/>
    <n v="22022000045"/>
    <s v="2022 11 1631 22199"/>
    <n v="415.53"/>
    <x v="163"/>
    <s v="AC MARCO EXP V36-2017: SUMINSITROS PARA VESTUARIO ZONA VALLE ARÁN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913"/>
    <s v="D"/>
    <d v="2022-03-18T00:00:00"/>
    <n v="22022001183"/>
    <s v="2022 10 2312 212"/>
    <n v="413.96"/>
    <x v="163"/>
    <s v="MANT. SUMINISTRO DE MATERIAL DE ELECTRICIDAD // CPM DELICIAS 413.96 Y  CPM J.L. MOSQUERA 39.2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8967"/>
    <s v="AD"/>
    <d v="2022-03-15T00:00:00"/>
    <n v="22022002767"/>
    <s v="2022 02 9332 213"/>
    <n v="364.31"/>
    <x v="163"/>
    <s v="DOS SECADORES SECAMANOS SYP SL-2002 AUTOMATIC - PARA BAÑOS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7051"/>
    <s v="D"/>
    <d v="2022-03-03T00:00:00"/>
    <n v="22022001172"/>
    <s v="2022 10 2412 22199"/>
    <n v="738.06"/>
    <x v="194"/>
    <s v="SUMINISTRO DE DIFERENTES PLANTAS Y SEMILLAS ///  DESTINO:  CURSO PARQUES Y JARDINES III, EXP.47/0002/2021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32"/>
    <s v="D"/>
    <d v="2022-03-24T00:00:00"/>
    <n v="22022001172"/>
    <s v="2022 10 2412 22199"/>
    <n v="541.42999999999995"/>
    <x v="194"/>
    <s v="SUMINISTRO DE PLANTAS // CURSO: PARQUES Y JARDINES III Nº 47/0002/2021 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28"/>
    <s v="D"/>
    <d v="2022-03-24T00:00:00"/>
    <n v="22022001172"/>
    <s v="2022 10 2412 22199"/>
    <n v="110.16"/>
    <x v="194"/>
    <s v="SUMINISTRO DE DIFERENTES PLANTAS /// DESTINO: CURSO PARQUES Y JARDINES Nº 47/0002/2021 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23"/>
    <s v="D"/>
    <d v="2022-02-02T00:00:00"/>
    <n v="22022001172"/>
    <s v="2022 10 2412 22199"/>
    <n v="83.7"/>
    <x v="194"/>
    <s v="SUMINISTRO DE PLANTAS / SEMILLAS (PROGRAMA MIXTO PARQUES Y JARDINES III - EXP 47/002/2021)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44"/>
    <s v="D"/>
    <d v="2022-02-02T00:00:00"/>
    <n v="22022001172"/>
    <s v="2022 10 2412 22199"/>
    <n v="28.92"/>
    <x v="194"/>
    <s v="SUMINISTRO DE SCHLUMBERGEN MIX/ CACTURA VARIADOS/ CACTUS  CURSO PARQUES Y JARDINES III, EXPT 47/0002/2021 )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74"/>
    <s v="D"/>
    <d v="2022-03-24T00:00:00"/>
    <n v="22022001455"/>
    <s v="2022 11 1321 213"/>
    <n v="331.6"/>
    <x v="163"/>
    <s v="ACUERDO MARCO. SUMINISTRO DE MATERIAL PARA EL SERVICIO DE POLICÍA M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4198"/>
    <s v="D"/>
    <d v="2022-02-18T00:00:00"/>
    <n v="22022000030"/>
    <s v="2022 11 1621 22199"/>
    <n v="299.56"/>
    <x v="163"/>
    <s v="AC MARCO EXP V36/2017: SUMINISTRO DE MATERIAL ELECTRICO PARA EL SERVICIO DE LIMPIEZA DE C/ TOPACIO 63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5773"/>
    <s v="AD"/>
    <d v="2022-02-23T00:00:00"/>
    <n v="22022002317"/>
    <s v="2022 05 4331 22799"/>
    <n v="2609.73"/>
    <x v="195"/>
    <s v="CONTRATO DE SERVICIOS DE ASISTENCIA TECNICA PARA LA EJECUCION DE PRUEBAS DE SOFTWARE DEL COMPONENTE 2 (GAME) - S2CITY.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8284"/>
    <s v="AD"/>
    <d v="2022-03-10T00:00:00"/>
    <n v="22022002707"/>
    <s v="2022 11 1321 213"/>
    <n v="529.53"/>
    <x v="196"/>
    <s v="CERTIFICADO DE VERIFICACIÓN PERIÓDICA ANUAL DE ETILÓMETRO DE POLICÍA."/>
    <s v="220"/>
    <s v="TRES CANTOS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2361"/>
    <s v="AD"/>
    <d v="2022-03-23T00:00:00"/>
    <n v="22022002972"/>
    <s v="2022 03 9241 22199"/>
    <n v="3539.25"/>
    <x v="197"/>
    <s v="SUMINISTRO DE ELECTRODOS PARA LOS DESFIBRILADORES DE LOS CENTROS DE PARTICIPACIÓN CIUDADANA"/>
    <s v="220"/>
    <s v="BURGOS"/>
    <s v="BURGOS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20008691"/>
    <s v="D"/>
    <d v="2022-03-14T00:00:00"/>
    <n v="22022001456"/>
    <s v="2022 11 1321 22199"/>
    <n v="332.31"/>
    <x v="198"/>
    <s v="ACUERDO MARCO. SUMINISTRO DE MATERIAL DE MANTENIMIENTO PARA DEPENDENCIA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1771"/>
    <s v="D"/>
    <d v="2022-01-27T00:00:00"/>
    <n v="22022001641"/>
    <s v="2022 06 3232 212"/>
    <n v="309.05"/>
    <x v="198"/>
    <s v="ARENA-N / ESPUMA POLIURETANA / BEIGE MATE CERAMICA // C.P. ISABEL LA CATOLICA // MES DE DICIEMBRE 2021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84"/>
    <s v="D"/>
    <d v="2022-03-14T00:00:00"/>
    <n v="22022001650"/>
    <s v="2022 11 3111 22199"/>
    <n v="300.54000000000002"/>
    <x v="198"/>
    <s v="AM V.36/2017 MATERIAL CONSTRUCCION: ALBAR. Nº 2200369 - 20/01/22 / ALBAR. Nº 2200590 - 28/01/22 // CASA BARCO.FUGA AGU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5534"/>
    <s v="D"/>
    <d v="2022-02-22T00:00:00"/>
    <n v="22022001178"/>
    <s v="2022 10 2311 212"/>
    <n v="200.52"/>
    <x v="198"/>
    <s v="F-946. CERAMICAS SANCHEZ, S L. GRES ANTIDESLIZ. CRUCETA JUNTAS. DESTINO: CEAS ARGALES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580"/>
    <s v="D"/>
    <d v="2022-03-11T00:00:00"/>
    <n v="22022001641"/>
    <s v="2022 06 3232 212"/>
    <n v="136.97"/>
    <x v="198"/>
    <s v="SUMINISTRO DE MATERIAL PARA OBRA EN C.P. DEL PARQUE ALAMEDA /// MES FEBRERO DE 2022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573"/>
    <s v="D"/>
    <d v="2022-02-15T00:00:00"/>
    <n v="22022001641"/>
    <s v="2022 06 3232 212"/>
    <n v="67.03"/>
    <x v="198"/>
    <s v="ALBARANES: 2200102 - 2200475 (ENERO) // CEMENTO GRIS (TOTAL 13) - SACO RAFIA  (100 UD) // DESTINO: COLEGIO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05"/>
    <s v="D"/>
    <d v="2022-03-14T00:00:00"/>
    <n v="22022000045"/>
    <s v="2022 11 1631 22199"/>
    <n v="50.8"/>
    <x v="198"/>
    <s v="MATERIAL DE CONSTRUCCIÓN / CASETA DE C/ FCO GARCÍA LORCA / AM EXP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8609"/>
    <s v="D"/>
    <d v="2022-03-11T00:00:00"/>
    <n v="22022001640"/>
    <s v="2022 06 3231 212"/>
    <n v="47.49"/>
    <x v="198"/>
    <s v="MATERIAL DE CONSTRUCCIÓN // ALB. DE 21/02/22: CEMENTO GRIS 25KG / ARENA+PIÑON SACO // E.I.M. MAFALDA Y GUILLE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9681"/>
    <s v="D"/>
    <d v="2022-03-16T00:00:00"/>
    <n v="22022001449"/>
    <s v="2022 02 9332 212"/>
    <n v="40.86"/>
    <x v="198"/>
    <s v="ALB. 2201179 de 18-02-22 // GEOTEXTIL - CEMENTO GRIS - ARENA LAVADA - ARENA PIÑÓN  /// 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19000911"/>
    <s v="AD"/>
    <d v="2022-01-01T00:00:00"/>
    <n v="22022000107"/>
    <s v="2022 10 2311 22100"/>
    <n v="8800"/>
    <x v="5"/>
    <s v="CONTRATO SUMINISTRO ENERGÍA ELÉCTRICA PARA COMEDOR SOCIAL - 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20002418"/>
    <s v="D"/>
    <d v="2022-02-02T00:00:00"/>
    <n v="22022001169"/>
    <s v="2022 10 2412 212"/>
    <n v="33.590000000000003"/>
    <x v="198"/>
    <s v="SUMINISTRO DE BAENA BEIGE C2 GRES PARA EL CENTRO DE FORMACION PARA EL EMPLEO, JACINTO BENAVENTE- DURACION 1 DIA- A. MARC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12540"/>
    <s v="D"/>
    <d v="2022-03-24T00:00:00"/>
    <n v="22022001626"/>
    <s v="2022 03 9241 212"/>
    <n v="28.28"/>
    <x v="198"/>
    <s v="MATERIAL DE CONSTRUCCIÓN // ALB. DE 28/02/2022:  ROJO MATE PRENSADO BALDOSIN / CEMENTO RAPIDO VICAT // CC ESGUE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509"/>
    <s v="D"/>
    <d v="2022-03-16T00:00:00"/>
    <n v="22022001449"/>
    <s v="2022 02 9332 212"/>
    <n v="24.38"/>
    <x v="198"/>
    <s v="ALBARAN Nº 2200523 DE 26/01/2022: ESPUMA POLIURETANO / LIMPIADOR ESPUMA // CASA CONSISTORIAL - CUARTO DE CALDE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2410"/>
    <s v="D"/>
    <d v="2022-02-02T00:00:00"/>
    <n v="22022001178"/>
    <s v="2022 10 2311 212"/>
    <n v="16.649999999999999"/>
    <x v="198"/>
    <s v="F-255. CERAMICAS SANCHEZ. ESPUMA POLIURETANO/ LIMPIADOR. VIVIENDA: C/ CARMELO, 21, 3º C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5796"/>
    <s v="AD"/>
    <d v="2022-02-23T00:00:00"/>
    <n v="22022002385"/>
    <s v="2022 11 1321 22706"/>
    <n v="2582.14"/>
    <x v="199"/>
    <s v="AUDITORÍA DE SEGUIMIENTO DE CERTIFICACIÓN DE CALIDAD 9001 EN EL SERVICIO DE POLICÍA MUNICIPAL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2500"/>
    <s v="D"/>
    <d v="2022-02-02T00:00:00"/>
    <n v="22022001628"/>
    <s v="2022 03 9241 213"/>
    <n v="238.39"/>
    <x v="163"/>
    <s v="LAMPARA LED / TASA ECORAEE / ARO EMP YLD / INT.HORA / TASA ECORAEE // DESTINOS: PARQUESOL -  C.SANTIAGO LÓP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2364"/>
    <s v="AD"/>
    <d v="2022-03-23T00:00:00"/>
    <n v="22022002984"/>
    <s v="2022 11 1321 22199"/>
    <n v="1573"/>
    <x v="200"/>
    <s v="EQUIPAMIENTO DE DOS NUEVOS AGENTES DE LA UNIDAD CICLISTA Y MATERIALES REPARACIÓN BICICLETAS DEL P. INFANTIL DE TRÁFIC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843"/>
    <s v="AD"/>
    <d v="2022-02-16T00:00:00"/>
    <n v="22022002258"/>
    <s v="2022 06 2315 22611"/>
    <n v="1650"/>
    <x v="201"/>
    <s v="RECITAL DE TEATRO FORO A CARGO DE TEATRO CORSARIO &quot;&quot;MUJERES DEL SIGLO DE ORO&quot;&quot; EN EL CENTRO CÍVICO JOSÉ MOSQUERA 7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1257"/>
    <s v="AD"/>
    <d v="2022-01-01T00:00:00"/>
    <n v="22022001690"/>
    <s v="2022 03 9241 22609"/>
    <n v="484"/>
    <x v="201"/>
    <s v="Cristina Urdiales: representación obra &quot;&quot;Titiricorp&quot;&quot; en CC José María Luelmo el  día 04/01/2022.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442"/>
    <s v="ADO"/>
    <d v="2022-02-02T00:00:00"/>
    <n v="22022001705"/>
    <s v="2022 03 9241 22609"/>
    <n v="484"/>
    <x v="201"/>
    <s v="REPRESENTACIÓN DE LA OBRA &quot;&quot;TITIRICORP&quot;&quot; DE CRISTINA URDIALES (M.F.S) // EL DÍA 07/11/2021 EN EL CIC NATIVIDAD CHACÓN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6814"/>
    <s v="D"/>
    <d v="2022-03-02T00:00:00"/>
    <n v="22022001628"/>
    <s v="2022 03 9241 213"/>
    <n v="208.08"/>
    <x v="163"/>
    <s v="MARCO COMPACTO BLANCO/ BASE 2P+T / CLAVIJA (P. DE ANTEQUERA) // TUBO LED/ TASA ECORAEE/ CLAVIJA/ SECADOR (CC. BAILARIN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6872"/>
    <s v="D"/>
    <d v="2022-03-02T00:00:00"/>
    <n v="22022000026"/>
    <s v="2022 11 1621 214"/>
    <n v="194.96"/>
    <x v="163"/>
    <s v="MANIPULA SE XD4-PA22 (2) / SELECTOR  VERDE / CUERPO. VERDE //// VEHICULO: 8612-RRG ///  DESTINO: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935"/>
    <s v="AD"/>
    <d v="2022-01-01T00:00:00"/>
    <n v="22022000131"/>
    <s v="2022 05 4312 22100"/>
    <n v="8000"/>
    <x v="5"/>
    <s v="NUEVO CONTRATO DE SUMINISTRO DE ENERGIA ELECTRICA PARA LAS DEPENDENCIAS DEL EXCMO. AYUNTAMIENTO DE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100"/>
  </r>
  <r>
    <n v="220220003153"/>
    <s v="D"/>
    <d v="2022-02-09T00:00:00"/>
    <n v="22022001184"/>
    <s v="2022 10 2312 212"/>
    <n v="186.46"/>
    <x v="163"/>
    <s v="SUMIN. CAJA SUP / D.BASE CIMA,PLACA 1CT CIMA,CONECTOR, MTR CANAL, MTS TUBO,BRIDA UNEX DE CPM FRAY LUIS DE LEON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219"/>
    <s v="AD"/>
    <d v="2022-02-22T00:00:00"/>
    <n v="22022002314"/>
    <s v="2022 02 9332 213"/>
    <n v="182.15"/>
    <x v="163"/>
    <s v="SUMINISTRO DE SECADOR SECAMANOS PARA BAÑO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7041"/>
    <s v="D"/>
    <d v="2022-03-03T00:00:00"/>
    <n v="22022001184"/>
    <s v="2022 10 2312 212"/>
    <n v="182.15"/>
    <x v="163"/>
    <s v="MANT. SUMINISTRO DE SECADOR  DE PARED  PARA BAÑO SYP SL-2002 AUTOMATIC (CPM ZONA SUR)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204"/>
    <s v="AD"/>
    <d v="2022-02-22T00:00:00"/>
    <n v="22022002205"/>
    <s v="2022 01 9206 22001"/>
    <n v="752"/>
    <x v="202"/>
    <s v="SUSCRIPCIONES ANUALES A COSITAL NETWORK Y A REVISTA DE ESTUDIOS LOCALES CUNAL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8281"/>
    <s v="AD"/>
    <d v="2022-03-10T00:00:00"/>
    <n v="22022002592"/>
    <s v="2022 11 3111 22199"/>
    <n v="3000"/>
    <x v="203"/>
    <s v="ADQUISICION DE DOCUMENTACION OFICIAL: MICROCHIP, CERTIFICADOS Y CARTILLAS PARA LOS ANIMALES DEL CMP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20006770"/>
    <s v="D"/>
    <d v="2022-03-02T00:00:00"/>
    <n v="22022000042"/>
    <s v="2022 11 1631 214"/>
    <n v="5185.1499999999996"/>
    <x v="204"/>
    <s v="AC MARCO EXP V36-2017: CEPILLOS PARA REPARACION Y MANTENIMIENTO BARREDORAS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2677"/>
    <s v="D"/>
    <d v="2022-03-24T00:00:00"/>
    <n v="22022000042"/>
    <s v="2022 11 1631 214"/>
    <n v="2680.25"/>
    <x v="204"/>
    <s v="RAVO CEPILLO LATERAL NYLON-ACERO TRENZADO (24) // ELGIN PELICAN ARO DE FIBRA (60) / AM EXP 36-2017.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3292"/>
    <s v="D"/>
    <d v="2022-03-30T00:00:00"/>
    <n v="22022000042"/>
    <s v="2022 11 1631 214"/>
    <n v="2478.1999999999998"/>
    <x v="204"/>
    <s v="AC MARCO EXP V36/2017: CEPILLOS PARA REPARACION Y MANTENIMIENTO DE BARREDORAS PARA LIMPIEZA VIAR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075"/>
    <s v="D"/>
    <d v="2022-02-18T00:00:00"/>
    <n v="22022000026"/>
    <s v="2022 11 1621 214"/>
    <n v="2156.85"/>
    <x v="204"/>
    <s v="AC MARCO EXP V36/2017: RECAMBIOS PARA REPRACIONES VEHÍCULOS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2"/>
    <s v="D"/>
    <d v="2022-02-18T00:00:00"/>
    <n v="22022000026"/>
    <s v="2022 11 1621 214"/>
    <n v="2153.84"/>
    <x v="204"/>
    <s v="AC MARCO EXP V36/2017: REPUESTOS PARA REPARACIONES DE VEHCIULOS DEL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788"/>
    <s v="D"/>
    <d v="2022-03-02T00:00:00"/>
    <n v="22022000026"/>
    <s v="2022 11 1621 214"/>
    <n v="1821.28"/>
    <x v="204"/>
    <s v="SUMINISTRO DE DIVERSOS REPUESTOS PARA VEHICULOS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1013"/>
    <s v="AD"/>
    <d v="2022-01-01T00:00:00"/>
    <n v="22022000453"/>
    <s v="2022 01 9206 203"/>
    <n v="1330"/>
    <x v="43"/>
    <s v="ALQUILER 2 FOTOCOPIADORAS COLOR Y B/N PARA EL ARCHIVO MUNICIPAL, DEL 8 DE FEBRERO AL 31 DE DICIEMBR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9001016"/>
    <s v="AD"/>
    <d v="2022-01-01T00:00:00"/>
    <n v="22022000454"/>
    <s v="2022 01 9206 213"/>
    <n v="397"/>
    <x v="43"/>
    <s v="COPIAS COLOR Y B/N 2 FOTOCOPIADORAS ARCHIVO MUNICIPAL, DEL 8 DE FEBRERO AL 31 DE DICIEMBRE D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20006317"/>
    <s v="D"/>
    <d v="2022-02-25T00:00:00"/>
    <n v="22022000026"/>
    <s v="2022 11 1621 214"/>
    <n v="1630.49"/>
    <x v="204"/>
    <s v="AC MRACO EXP V36-2017: REPUESTOS PARA REPARACIONES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7077"/>
    <s v="D"/>
    <d v="2022-03-03T00:00:00"/>
    <n v="22022000026"/>
    <s v="2022 11 1621 214"/>
    <n v="1396.12"/>
    <x v="204"/>
    <s v="SUMINISTRO DE REPUESTOS PARA VEHICULOS / AM EXP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081"/>
    <s v="D"/>
    <d v="2022-02-18T00:00:00"/>
    <n v="22022000026"/>
    <s v="2022 11 1621 214"/>
    <n v="1269.6199999999999"/>
    <x v="204"/>
    <s v="AC MARCO EXP V36/2017: RECAMBIOS PARA VEHÍCULOS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87"/>
    <s v="D"/>
    <d v="2022-03-30T00:00:00"/>
    <n v="22022000026"/>
    <s v="2022 11 1621 214"/>
    <n v="1202.47"/>
    <x v="204"/>
    <s v="aAC MARCO EXP V36/2017: REPUESTOS PARA REPARACIONES VEHÍCULOS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686"/>
    <s v="D"/>
    <d v="2022-03-14T00:00:00"/>
    <n v="22022000026"/>
    <s v="2022 11 1621 214"/>
    <n v="1070.25"/>
    <x v="204"/>
    <s v="SUMINISTRO DE RECAMBIOS PARA VEHICULOS 0774-DWR - 3241-FNW- TALLER / AM EXP V36-2017.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2669"/>
    <s v="D"/>
    <d v="2022-03-24T00:00:00"/>
    <n v="22022000026"/>
    <s v="2022 11 1621 214"/>
    <n v="752.31"/>
    <x v="204"/>
    <s v="REPUESTOS (E3813BDK / 8875KMN / 4069KXH / 2568FZB / E3465BGW / 4459KLP) Y ALMACEN / AM EXP V36-2017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1786"/>
    <s v="AD"/>
    <d v="2022-01-28T00:00:00"/>
    <n v="22022000894"/>
    <s v="2022 04 9321 22799"/>
    <n v="2032.8"/>
    <x v="205"/>
    <s v="Fabricación de placas de vado (permanente y horario) destinadas a la renovaión-sustitución por deterioro."/>
    <s v="220"/>
    <s v="VALLADOLID"/>
    <s v="VALLADOLID"/>
    <x v="4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19000882"/>
    <s v="AD"/>
    <d v="2022-01-01T00:00:00"/>
    <n v="22022000100"/>
    <s v="2022 11 1361 22104"/>
    <n v="16879.5"/>
    <x v="205"/>
    <s v="SPSC 013_2021;Contratación del Suministro de Prendas de Vestuario; LOTE 2: COMPLEMENTOS TÉCNICOS 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0689"/>
    <s v="AD"/>
    <d v="2022-01-01T00:00:00"/>
    <n v="22022000091"/>
    <s v="2022 11 1321 22104"/>
    <n v="7260"/>
    <x v="205"/>
    <s v="SUMINISTRO ROPA DE TRABAJO LABORAL PERSONAL POLICÍA.  EJERCICIO 2022. EXPTE. SPSC -02/2021. LOTE Nº 9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12372"/>
    <s v="AD"/>
    <d v="2022-03-23T00:00:00"/>
    <n v="22022002887"/>
    <s v="2022 10 2312 22199"/>
    <n v="974.05"/>
    <x v="205"/>
    <s v="BOLSAS EMBOLSADORAS PARA MAQUINA DE EMBOLSAR PARAGUAS PARA TODOS LOS CPM( 12 CAJAS DE 2000 UNIDADES)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9579"/>
    <s v="D"/>
    <d v="2022-03-16T00:00:00"/>
    <n v="22022001456"/>
    <s v="2022 11 1321 22199"/>
    <n v="1651.48"/>
    <x v="205"/>
    <s v="ACUERDO MARCO. ESCALERA CASTELLANA MAXI CATM8 (1) . ALMACÉN POLICÍA M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5571"/>
    <s v="D"/>
    <d v="2022-02-22T00:00:00"/>
    <n v="22022001456"/>
    <s v="2022 11 1321 22199"/>
    <n v="1059.5999999999999"/>
    <x v="205"/>
    <s v="ACUERDO MARCO. SUMINISTRO MANTA EMBALAJE AZUL 140X200   ( 105 UNIDADES ) /// POLICIA M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12372"/>
    <s v="AD"/>
    <d v="2022-03-23T00:00:00"/>
    <n v="22022002886"/>
    <s v="2022 10 2312 22199"/>
    <n v="695.75"/>
    <x v="205"/>
    <s v="BOLSAS EMBOLSADORAS PARA MAQUINA DE EMBOLSAR PARAGUAS PARA TODOS LOS CPM( 12 CAJAS DE 2000 UNIDADES)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19001032"/>
    <s v="AD"/>
    <d v="2022-01-01T00:00:00"/>
    <n v="22022000467"/>
    <s v="2022 01 9203 203"/>
    <n v="727.64"/>
    <x v="43"/>
    <s v="CONTRATO CENTRAL.  ALQUILER MAQ. FOTOC. KYOCERA 4053, R.I.  8/2/2022-31/12/2022; 1/1/2023 -31/12/2023 ;1/1/2024-7/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9001033"/>
    <s v="AD"/>
    <d v="2022-01-01T00:00:00"/>
    <n v="22022000468"/>
    <s v="2022 01 9203 213"/>
    <n v="870"/>
    <x v="43"/>
    <s v="CONTRATO CENTRAL. COPIAS MAQ. FOTOC. KYOCERA 4053, R.I. 8/2/2022-31/12/2022; 1/1/2023-31/12/2023, 1/1/2024-7/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20013437"/>
    <s v="AD"/>
    <d v="2022-03-31T00:00:00"/>
    <n v="22022003127"/>
    <s v="2022 10 2312 22199"/>
    <n v="192.4"/>
    <x v="205"/>
    <s v="SUMINISTRO DE MAQUINA EMBOLSADORAS DE PARAGUAS PARA EL CPM PUENTE COLGANTE- DURA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6836"/>
    <s v="D"/>
    <d v="2022-03-02T00:00:00"/>
    <n v="22022001593"/>
    <s v="2022 07 1711 22199"/>
    <n v="625.01"/>
    <x v="205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9393"/>
    <s v="D"/>
    <d v="2022-03-16T00:00:00"/>
    <n v="22022001623"/>
    <s v="2022 11 1361 22199"/>
    <n v="314.60000000000002"/>
    <x v="205"/>
    <s v="GRANULADO IGNIFUGO VERMICULITA 40L SACO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719"/>
    <s v="D"/>
    <d v="2022-03-14T00:00:00"/>
    <n v="22022001456"/>
    <s v="2022 11 1321 22199"/>
    <n v="263.54000000000002"/>
    <x v="205"/>
    <s v="ACUERDO MARCO. ESCALERA VARITREX PLUS 4X3 PARA TALLER DE REPARACIONES DE VEHÍ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4171"/>
    <s v="D"/>
    <d v="2022-02-18T00:00:00"/>
    <n v="22022001650"/>
    <s v="2022 11 3111 22199"/>
    <n v="232.2"/>
    <x v="205"/>
    <s v="A.M. V. 36/2017: BOTA PU PRADO VERDE (1) / ZAPATO RUN LOW (1) / RABBORA TRAIL MID (1) // SALUD PÚB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4173"/>
    <s v="D"/>
    <d v="2022-02-18T00:00:00"/>
    <n v="22022001650"/>
    <s v="2022 11 3111 22199"/>
    <n v="193.6"/>
    <x v="205"/>
    <s v="A.M. V.36/2017: ZAPATO SMESTAD BOA MARINO 78214 599 Nº 40 (1 UD.) ////// ZAPATO MONTI S3 SRC Nº37 (1 UD.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6766"/>
    <s v="D"/>
    <d v="2022-03-02T00:00:00"/>
    <n v="22022001623"/>
    <s v="2022 11 1361 22199"/>
    <n v="61.5"/>
    <x v="205"/>
    <s v="CHAQUETA SHERMAN LANA POLAR T-L (1) ///// CINTA AISLANTE AMARILLA 20X19MM Y BLANCA 20X19MM (TOTAL 7)/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2498"/>
    <s v="D"/>
    <d v="2022-02-02T00:00:00"/>
    <n v="22022001593"/>
    <s v="2022 07 1711 22199"/>
    <n v="137.81"/>
    <x v="205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9391"/>
    <s v="D"/>
    <d v="2022-03-16T00:00:00"/>
    <n v="22022001623"/>
    <s v="2022 11 1361 22199"/>
    <n v="117.98"/>
    <x v="205"/>
    <s v="TORNILLO SOBREMESA 65MM ALYCO///SERVICIO DE EXTINCION DE INCENDIOS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901"/>
    <s v="D"/>
    <d v="2022-03-02T00:00:00"/>
    <n v="22022002421"/>
    <s v="2022 08 1341 22699"/>
    <n v="53.54"/>
    <x v="205"/>
    <s v="PILA PARA BALIZA SINEX (15)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341"/>
    <s v="1341. Movilidad"/>
    <s v="22"/>
    <s v="22699"/>
  </r>
  <r>
    <n v="220220008379"/>
    <s v="D"/>
    <d v="2022-03-11T00:00:00"/>
    <n v="22022000028"/>
    <s v="2022 11 1621 22104"/>
    <n v="37.51"/>
    <x v="205"/>
    <s v="ZAPATO CASTAÑO S2 SRC Nº 49 /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20004217"/>
    <s v="D"/>
    <d v="2022-02-18T00:00:00"/>
    <n v="22022000028"/>
    <s v="2022 11 1621 22104"/>
    <n v="36.99"/>
    <x v="205"/>
    <s v="AC MARCO EXP V36/2017: BOTA HAYA S2+CI+SRC (1) PERSONAL DEL Sº 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20009388"/>
    <s v="D"/>
    <d v="2022-03-16T00:00:00"/>
    <n v="22022001623"/>
    <s v="2022 11 1361 22199"/>
    <n v="26.17"/>
    <x v="205"/>
    <s v="TORNILLO BANCO SOBREMESA 125MM//SERVICIO DE EXTINCIÓ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178"/>
    <s v="D"/>
    <d v="2022-02-18T00:00:00"/>
    <n v="22022000030"/>
    <s v="2022 11 1621 22199"/>
    <n v="10.16"/>
    <x v="205"/>
    <s v="AC MARCO EXP V36/2017: SEÑAL ADESIVA OBLIGATORIO CERRAR PUERTAS 150X200 (6 UD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1602"/>
    <s v="AD"/>
    <d v="2022-01-26T00:00:00"/>
    <n v="22022001365"/>
    <s v="2022 10 2412 22100"/>
    <n v="7055.53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5205"/>
    <s v="AD"/>
    <d v="2022-02-22T00:00:00"/>
    <n v="22022002206"/>
    <s v="2022 01 9206 22001"/>
    <n v="744.88"/>
    <x v="206"/>
    <s v="SUSCRIPCIÓN ANUAL A BASE DE DATOS PROYECTO CSP 2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10183"/>
    <s v="AD"/>
    <d v="2022-03-18T00:00:00"/>
    <n v="22022002840"/>
    <s v="2022 01 9205 203"/>
    <n v="3862.32"/>
    <x v="207"/>
    <s v="ADJUDICA ALQUILER/MANTENIMIENTO EQUIPO PRODUCCIÓN DIGITAL BIZHUB PRO C-6500 IMPRENTA: MARZO a DICIEMBR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19001058"/>
    <s v="AD"/>
    <d v="2022-01-01T00:00:00"/>
    <n v="22022000486"/>
    <s v="2022 04 9202 203"/>
    <n v="1500"/>
    <x v="43"/>
    <s v="CONTRATO DE ALQUILER MAQUINAS FOTOCOPIADORAS PERSONAL Y FORMACIO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1059"/>
    <s v="AD"/>
    <d v="2022-01-01T00:00:00"/>
    <n v="22022000487"/>
    <s v="2022 04 9202 213"/>
    <n v="2310"/>
    <x v="43"/>
    <s v="ABONO DE COPIAS DE FOTOCOPIADORAS PERSONAL Y FORMACION AÑOS 2022-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19000909"/>
    <s v="AD"/>
    <d v="2022-01-01T00:00:00"/>
    <n v="22022000105"/>
    <s v="2022 01 9205 22100"/>
    <n v="7000"/>
    <x v="5"/>
    <s v="ADJUDICA EXPTE PR-SE 13/2021 NUEVO CONTRATO SUMINISTRO ENERGÍA ELÉCTRICA A IMPRENT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2"/>
    <s v="22100"/>
  </r>
  <r>
    <n v="220219000094"/>
    <s v="AD"/>
    <d v="2022-01-01T00:00:00"/>
    <n v="22022000374"/>
    <s v="2022 01 9205 203"/>
    <n v="725.32"/>
    <x v="207"/>
    <s v="ARRENDAMIENTO y MANTENIMIENTO EQUIPO PRODUCCIÓN DIGITAL BIZHUB C-6500 PARA IMPRENTA: ENERO Y FEBRER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20002609"/>
    <s v="ADO"/>
    <d v="2022-02-07T00:00:00"/>
    <n v="22022001709"/>
    <s v="2022 01 9205 203"/>
    <n v="362.66"/>
    <x v="207"/>
    <s v="CUOTA 10/12 (DICIEMBRE 2021) MANTENIMIENTO Y COPIAS EQUIPO BIZHUB C-6500 / N A03U020002212.1 / IMPRENTA"/>
    <s v="24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20006379"/>
    <s v="AD"/>
    <d v="2022-02-25T00:00:00"/>
    <n v="22022002456"/>
    <s v="2022 11 1621 213"/>
    <n v="516.78"/>
    <x v="208"/>
    <s v="INSPECCIÓN NIVEL B DE LOS COMPRESORES DEL TALLER DEL SERVICIO DE LIMPIEZA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9602"/>
    <s v="D"/>
    <d v="2022-03-16T00:00:00"/>
    <n v="22022000902"/>
    <s v="2022 11 1631 214"/>
    <n v="1092.7"/>
    <x v="209"/>
    <s v="VEHÍCULO E3465BGW // PARABRISAS VERDE / MONTAR PARABRISAS. LIMPIEZA VIARI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8603"/>
    <s v="D"/>
    <d v="2022-03-11T00:00:00"/>
    <n v="22022001643"/>
    <s v="2022 06 3321 212"/>
    <n v="173.13"/>
    <x v="163"/>
    <s v="MATERIALES DE ELECTRICIDAD // BIBLIOTECAS PÚ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5556"/>
    <s v="D"/>
    <d v="2022-02-22T00:00:00"/>
    <n v="22022001455"/>
    <s v="2022 11 1321 213"/>
    <n v="169.59"/>
    <x v="163"/>
    <s v="ACUERDO MARCO SUMINISTRO DE DIVERSO MATERIAL DE ELECTRICIDAD PARA DEPENDENCIAS DE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9511"/>
    <s v="D"/>
    <d v="2022-03-16T00:00:00"/>
    <n v="22022001449"/>
    <s v="2022 02 9332 212"/>
    <n v="167.09"/>
    <x v="163"/>
    <s v="INTERRUPTOR/ TECLA/ MARCO/ LÁMPARA/ TASA ECORAEE/ BALASTO //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400"/>
    <s v="D"/>
    <d v="2022-03-16T00:00:00"/>
    <n v="22022001623"/>
    <s v="2022 11 1361 22199"/>
    <n v="159.66999999999999"/>
    <x v="163"/>
    <s v="MATERIALES DE FERRETERIA // PARQUE DE BOMBEROS -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3150"/>
    <s v="D"/>
    <d v="2022-02-09T00:00:00"/>
    <n v="22022001184"/>
    <s v="2022 10 2312 212"/>
    <n v="133.66999999999999"/>
    <x v="163"/>
    <s v="SUMINITRO, DETECTOR LEGRAND (CPM LA VICTORIA)/ LÁMPARA (CPM ESGUEVA)/ MT CANAL/ BASE SCH/ ZÓCALO (CPM Z.SUR)-DUR 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6356"/>
    <s v="D"/>
    <d v="2022-02-25T00:00:00"/>
    <n v="22022001455"/>
    <s v="2022 11 1321 213"/>
    <n v="126.26"/>
    <x v="163"/>
    <s v="MT CANAL UNEX SUELO ANTRAC./ CONMUTADOR LEGRAND (P.M. LA VICTORIA) // EMP IRELUZ/ TASA ECORAEE (P.M. PARQUESOL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2480"/>
    <s v="D"/>
    <d v="2022-02-02T00:00:00"/>
    <n v="22022001637"/>
    <s v="2022 07 1711 214"/>
    <n v="780.11"/>
    <x v="210"/>
    <s v="ACUERDO MARCO 3/2020, REPARACION DE MOTO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250"/>
    <s v="D"/>
    <d v="2022-02-09T00:00:00"/>
    <n v="22022001637"/>
    <s v="2022 07 1711 214"/>
    <n v="236.47"/>
    <x v="210"/>
    <s v="ACUERDO MARCO 3/2020, REPARACION MOTO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252"/>
    <s v="D"/>
    <d v="2022-02-09T00:00:00"/>
    <n v="22022001637"/>
    <s v="2022 07 1711 214"/>
    <n v="467.53"/>
    <x v="210"/>
    <s v="ACUERDO MARCO 3/2020, REPARACION MOTO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09"/>
    <s v="D"/>
    <d v="2022-02-22T00:00:00"/>
    <n v="22022001637"/>
    <s v="2022 07 1711 214"/>
    <n v="437.35"/>
    <x v="210"/>
    <s v="ACUERDO MARCO 3/2020, REPARACIÓN MOTOS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77"/>
    <s v="D"/>
    <d v="2022-02-22T00:00:00"/>
    <n v="22022001453"/>
    <s v="2022 11 1321 214"/>
    <n v="1203.57"/>
    <x v="210"/>
    <s v="ACUERDO MARCO. REPARACIÓN MOTOCICLETAS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682"/>
    <s v="D"/>
    <d v="2022-02-22T00:00:00"/>
    <n v="22022001453"/>
    <s v="2022 11 1321 214"/>
    <n v="432.45"/>
    <x v="210"/>
    <s v="ACUERDO MARCO. REPARACIÓN DE MOTROCICLETAS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850"/>
    <s v="D"/>
    <d v="2022-03-02T00:00:00"/>
    <n v="22022001637"/>
    <s v="2022 07 1711 214"/>
    <n v="800.91"/>
    <x v="210"/>
    <s v="ACUERDO MARCO 3/2020, REPARACION MOT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8661"/>
    <s v="D"/>
    <d v="2022-03-14T00:00:00"/>
    <n v="22022001454"/>
    <s v="2022 11 1321 214"/>
    <n v="254.49"/>
    <x v="210"/>
    <s v="ACUERDO MARCO. REPARACIÓN DE MOTOCICLET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446"/>
    <s v="D"/>
    <d v="2022-03-16T00:00:00"/>
    <n v="22022001637"/>
    <s v="2022 07 1711 214"/>
    <n v="183.92"/>
    <x v="210"/>
    <s v="ACUERDO MARCO 3/2020, REPARACION DE MOTO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2531"/>
    <s v="D"/>
    <d v="2022-03-24T00:00:00"/>
    <n v="22022001453"/>
    <s v="2022 11 1321 214"/>
    <n v="376.07"/>
    <x v="210"/>
    <s v="ACUERDO MARCO. REPARACIÓN DE MOTOCICLET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645"/>
    <s v="D"/>
    <d v="2022-02-22T00:00:00"/>
    <n v="22022001178"/>
    <s v="2022 10 2311 212"/>
    <n v="124.17"/>
    <x v="163"/>
    <s v="F-989. CADIELSA. MATERIALES PARA EL MANTENIMIENTO DE LA JEFATURA ZONA SAN AGUSTÍN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751"/>
    <s v="D"/>
    <d v="2022-03-14T00:00:00"/>
    <n v="22022001628"/>
    <s v="2022 03 9241 213"/>
    <n v="111.21"/>
    <x v="163"/>
    <s v="SUMINISTRO DE DIFERENTES MATERIALES  /////  DESTINO: C.C BAILARIN VICENTE ESCUDERO -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2870"/>
    <s v="AD"/>
    <d v="2022-03-25T00:00:00"/>
    <n v="22022002035"/>
    <s v="2022 04 9204 641"/>
    <n v="14636.16"/>
    <x v="112"/>
    <s v="CONTRATACIÓN DEL SUMINISTRO DE LICENCIAS UIPATH PARA EL DESPLIEGUE DE UNA PLATAFORMA RPA"/>
    <s v="220"/>
    <s v="BOECILLO"/>
    <s v="VALLADOL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0010021"/>
    <s v="D"/>
    <d v="2022-03-18T00:00:00"/>
    <n v="22022001177"/>
    <s v="2022 10 2311 212"/>
    <n v="107.24"/>
    <x v="163"/>
    <s v="F-2342. CADIELSA VALLADOLID, S.L.U. TUBO / MANGUITO / CURVA / PROYECTOR / TASA / CAJA / ABRAZADERA. COMEDOR SOCIAL.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47"/>
    <s v="D"/>
    <d v="2022-02-18T00:00:00"/>
    <n v="22022001455"/>
    <s v="2022 11 1321 213"/>
    <n v="104.01"/>
    <x v="163"/>
    <s v="ACUERDO MARCO. SUMINISTRO DE MATERIAL DE ELECTRICIDAD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3150"/>
    <s v="D"/>
    <d v="2022-02-09T00:00:00"/>
    <n v="22022001183"/>
    <s v="2022 10 2312 212"/>
    <n v="96.6"/>
    <x v="163"/>
    <s v="SUMINITRO, DETECTOR LEGRAND (CPM LA VICTORIA)/ LÁMPARA (CPM ESGUEVA)/ MT CANAL/ BASE SCH/ ZÓCALO (CPM Z.SUR)-DUR 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3125"/>
    <s v="D"/>
    <d v="2022-02-09T00:00:00"/>
    <n v="22022001178"/>
    <s v="2022 10 2311 212"/>
    <n v="95.14"/>
    <x v="163"/>
    <s v="F-488. CADIELSA. INTERRUPTOR BL /MARCO 1E /BASTIDOR 1E /FLUORESCENTE /CEBADOR. CEAS CENTR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10084922"/>
    <s v="AD"/>
    <d v="2022-02-28T00:00:00"/>
    <n v="22021004334"/>
    <s v="2022 09 3341 632"/>
    <n v="286.88"/>
    <x v="28"/>
    <s v="CONTROL CALIDAD OBRA ADECUACION ESPACIO MARCELINO PONCELA COMO CENTRO ALMACENAMIENTO Y RESTAURACION P. MUEBLE. LOTE 1"/>
    <s v="220"/>
    <s v="MALAGA"/>
    <s v="MALAG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20008415"/>
    <s v="D"/>
    <d v="2022-03-11T00:00:00"/>
    <n v="22022001636"/>
    <s v="2022 07 1711 213"/>
    <n v="469.77"/>
    <x v="211"/>
    <s v="ACUERDO MARCO 3/2020, REPUESTOS PARA MAQUINARIA."/>
    <s v="300"/>
    <s v="PALENCIA"/>
    <s v="PALENCIA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155"/>
    <s v="D"/>
    <d v="2022-02-09T00:00:00"/>
    <n v="22022001184"/>
    <s v="2022 10 2312 212"/>
    <n v="89.21"/>
    <x v="163"/>
    <s v="SUMINISTRO TUBO LED (4) ,TASA ECORAE (CPM DELICIAS) Y DETECTOR LEGRAND (1) + DETECTOR ORBIS (1) (CPM Z. ESTE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19001113"/>
    <s v="AD"/>
    <d v="2022-01-01T00:00:00"/>
    <n v="22022001983"/>
    <s v="2022 09 3341 632"/>
    <n v="219.75"/>
    <x v="28"/>
    <s v="CONTROL CALIDAD OBRA ADECUACION ESPACIO MARCELINA PONCELA COMO CENTRO ALMACENAMIENTO Y RESTAURACION P. MUEBLE. LOTE 1"/>
    <s v="220"/>
    <s v="MALAGA"/>
    <s v="MALAG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20007923"/>
    <s v="AD"/>
    <d v="2022-03-07T00:00:00"/>
    <n v="22022002511"/>
    <s v="2022 06 3232 632"/>
    <n v="29469.09"/>
    <x v="212"/>
    <s v="CTTO DE OBRAS PARA EL ACONDICIONAMIENTO DE LA VIVIENDA DEL CONSERJE EN EL CEIP ALLUE MORER. PLAZO EJECUCIÓN: 2 MESES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10077195"/>
    <s v="AD"/>
    <d v="2022-02-28T00:00:00"/>
    <n v="22021007317"/>
    <s v="2022 03 9241 632"/>
    <n v="13530"/>
    <x v="212"/>
    <s v="MEJORA DE LA VENTILACIÓN E ILUMINACIÓN DEL C.C. JOSÉ LUIS MOSQUERA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13438"/>
    <s v="AD"/>
    <d v="2022-03-31T00:00:00"/>
    <n v="22022003075"/>
    <s v="2022 10 2311 213"/>
    <n v="711.31"/>
    <x v="212"/>
    <s v="Reparación de anomalías instalación del gas en viv. mpal. sita en c/ Guardería nº 6, bajo D. Marz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10083444"/>
    <s v="AD"/>
    <d v="2022-02-28T00:00:00"/>
    <n v="22021005576"/>
    <s v="2022 10 2311 632"/>
    <n v="712.75"/>
    <x v="212"/>
    <s v="Gasto complementario obras reforma vivienda c/ Guardería nº 6, bajo D,  por realizar trabajos a mayores."/>
    <s v="22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02406"/>
    <s v="D"/>
    <d v="2022-02-02T00:00:00"/>
    <n v="22022001184"/>
    <s v="2022 10 2312 212"/>
    <n v="86.27"/>
    <x v="163"/>
    <s v="SUMINISTRO DE BALASTO ELT 4X18W (1 UD)-  (CPM JOSE LUIS MOSQ.) /// DETECTOR ORBIS (2 UD) - (CPM ZONA ESTE)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9523"/>
    <s v="D"/>
    <d v="2022-03-16T00:00:00"/>
    <n v="22022001449"/>
    <s v="2022 02 9332 212"/>
    <n v="73.45"/>
    <x v="163"/>
    <s v="ANALOG.ENCHU/ TAPA/ MT CANAL/ ANGULO LEGRAND/ ANGULO P LEGRAND/ CAJA SOLERA // SAN BENITO, C. CONSISTORIAL (MNTO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0363"/>
    <s v="AD"/>
    <d v="2022-01-24T00:00:00"/>
    <n v="22022001517"/>
    <s v="2022 08 1532 203"/>
    <n v="2057"/>
    <x v="213"/>
    <s v="Alquiler y retirada de contenedores de obra, a demanda según necesidades.-"/>
    <s v="220"/>
    <s v="LA FLECHA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20007108"/>
    <s v="AD"/>
    <d v="2022-03-03T00:00:00"/>
    <n v="22022002557"/>
    <s v="2022 06 3231 212"/>
    <n v="1815"/>
    <x v="213"/>
    <s v="SUMINISTRO DE CONTENEDORES, ÁRIDOS Y RETIRADA DE ESCOMBROS POR LAS OBRAS EN LAS ESCUELAS INFANTILES MUNICIPALES. 2022"/>
    <s v="220"/>
    <s v="LA FLECHA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8289"/>
    <s v="AD"/>
    <d v="2022-03-10T00:00:00"/>
    <n v="22022002738"/>
    <s v="2022 11 3111 22699"/>
    <n v="565.4"/>
    <x v="213"/>
    <s v="CONTENEDORES/ARENA REPARACION FUGA AGUA CASA BARCO"/>
    <s v="220"/>
    <s v="LA FLECHA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699"/>
  </r>
  <r>
    <n v="220220008634"/>
    <s v="AD"/>
    <d v="2022-03-11T00:00:00"/>
    <n v="22022002740"/>
    <s v="2022 11 1321 22699"/>
    <n v="104.5"/>
    <x v="213"/>
    <s v="ALQUILER DE CONTENEDOR PARA ESCOMBROS REPARACIÓN DE FACHADA EDIFICIO DE JEFATURA C/ VICTORIA S/N."/>
    <s v="220"/>
    <s v="LA FLECH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8286"/>
    <s v="AD"/>
    <d v="2022-03-10T00:00:00"/>
    <n v="22022002725"/>
    <s v="2022 11 1621 219"/>
    <n v="965"/>
    <x v="214"/>
    <s v="SUMINISTRO REPUESTOS REPARACIÓN CONTENEDORES DEL SERVICIO DE LIMPIEZA"/>
    <s v="220"/>
    <s v="GETAFE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9"/>
  </r>
  <r>
    <n v="220220008667"/>
    <s v="D"/>
    <d v="2022-03-14T00:00:00"/>
    <n v="22022001455"/>
    <s v="2022 11 1321 213"/>
    <n v="63.83"/>
    <x v="163"/>
    <s v="ACUERDO MARCO. SUMINISTRO DE MATERIAL DE ELECTRICIDAD PARA DEPENDENCI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8352"/>
    <s v="D"/>
    <d v="2022-03-11T00:00:00"/>
    <n v="22022001178"/>
    <s v="2022 10 2311 212"/>
    <n v="50.82"/>
    <x v="163"/>
    <s v="F-1622. CADIELSA. MARCO ARTS 71PANAC-MARESC32 ESCAY (2 UNIDADES). CEAS ARGALES-DELICIAS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39"/>
    <s v="D"/>
    <d v="2022-02-18T00:00:00"/>
    <n v="22022000045"/>
    <s v="2022 11 1631 22199"/>
    <n v="48.29"/>
    <x v="163"/>
    <s v="AC MARCO EXP V36-2017: DETECTOR LEGRAND 48941  EMP. 360º  IP41 // SERVICIO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491"/>
    <s v="D"/>
    <d v="2022-03-16T00:00:00"/>
    <n v="22022001449"/>
    <s v="2022 02 9332 212"/>
    <n v="46.8"/>
    <x v="163"/>
    <s v="REGLETA AIRFAL/ TASA ECORAEE/ TUBO LDV/ TASA ECORAEE // DEPÓSITO ARCHIVO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2486"/>
    <s v="D"/>
    <d v="2022-02-02T00:00:00"/>
    <n v="22022001593"/>
    <s v="2022 07 1711 22199"/>
    <n v="41.49"/>
    <x v="163"/>
    <s v="ACUERDO MARCO 2017/36, MATERIAL ELECTRIC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13220"/>
    <s v="D"/>
    <d v="2022-03-30T00:00:00"/>
    <n v="22022000030"/>
    <s v="2022 11 1621 22199"/>
    <n v="40.9"/>
    <x v="163"/>
    <s v="AC MARCO EXP V36-2017; SUMINISTRO MATERIAL ELECTRICO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913"/>
    <s v="D"/>
    <d v="2022-03-18T00:00:00"/>
    <n v="22022001184"/>
    <s v="2022 10 2312 212"/>
    <n v="39.200000000000003"/>
    <x v="163"/>
    <s v="MANT. SUMINISTRO DE MATERIAL DE ELECTRICIDAD // CPM DELICIAS 413.96 Y  CPM J.L. MOSQUERA 39.2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3206"/>
    <s v="D"/>
    <d v="2022-03-30T00:00:00"/>
    <n v="22022002690"/>
    <s v="2022 09 3341 213"/>
    <n v="31.61"/>
    <x v="163"/>
    <s v="SUMINISTRO MATERIALES ELECTRICIDAD, TIMBRE, PULSADOR,  PARA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10"/>
    <s v="3341"/>
    <s v="3341. Coordinación de políticas culturales"/>
    <s v="21"/>
    <s v="213"/>
  </r>
  <r>
    <n v="220220003811"/>
    <s v="D"/>
    <d v="2022-02-16T00:00:00"/>
    <n v="22022001593"/>
    <s v="2022 07 1711 22199"/>
    <n v="27.64"/>
    <x v="163"/>
    <s v="ACUERDO MARCO 2017/36, MATERIAL ELÉCTRIC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2282"/>
    <s v="AD"/>
    <d v="2022-02-01T00:00:00"/>
    <n v="22022001785"/>
    <s v="2022 10 2312 22612"/>
    <n v="600"/>
    <x v="215"/>
    <s v="ACCIÓN DEL PLAN MPAL. DE SOLIDARIDAD DIRIGIDO A LA FORMACIÓN DEL PERSONAL MUNICIPAL EN ESTA MATER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2"/>
  </r>
  <r>
    <n v="220220005809"/>
    <s v="AD"/>
    <d v="2022-02-23T00:00:00"/>
    <n v="22022002411"/>
    <s v="2022 06 3232 213"/>
    <n v="3652.02"/>
    <x v="216"/>
    <s v="REPARACION BOMBA DE CALEFACCIÓN EN EL CP JOSE ZORRILLA. PLZ EJECUCIÓN: 15 DÍAS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2415"/>
    <s v="D"/>
    <d v="2022-02-02T00:00:00"/>
    <n v="22022001179"/>
    <s v="2022 10 2311 212"/>
    <n v="24.03"/>
    <x v="163"/>
    <s v="F-559. CADIELSA. LÁMPARA PH/ TASA ECORAEE/ LAMPARA LED. CENTRO DE INDOMICILIADOS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237"/>
    <s v="D"/>
    <d v="2022-02-18T00:00:00"/>
    <n v="22022000045"/>
    <s v="2022 11 1631 22199"/>
    <n v="22.39"/>
    <x v="163"/>
    <s v="AC MARCO EXP V36/2017: MATERIAL ELÉCTRICO (NTERRUPTOR/ PULSADOR/ BASTIDOR/ MARCO) // VESTUARIOS SERV.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12366"/>
    <s v="AD"/>
    <d v="2022-03-23T00:00:00"/>
    <n v="22022002986"/>
    <s v="2022 11 1321 213"/>
    <n v="2000"/>
    <x v="217"/>
    <s v="REVISIÓN, RETIMBRADO Y RELLENADO DE EXTINTORES DE DEPENDENCIAS Y VEHÍCULOS DE POLICÍ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9493"/>
    <s v="D"/>
    <d v="2022-03-16T00:00:00"/>
    <n v="22022001449"/>
    <s v="2022 02 9332 212"/>
    <n v="22.26"/>
    <x v="163"/>
    <s v="DOWN.EMP IRELUZ / TASA ECORAEE / ARMARIO IDE METAL 400X300 IP // DESTINOS: PZA STA ANA Y MUEST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3155"/>
    <s v="D"/>
    <d v="2022-02-09T00:00:00"/>
    <n v="22022001183"/>
    <s v="2022 10 2312 212"/>
    <n v="20.79"/>
    <x v="163"/>
    <s v="SUMINISTRO TUBO LED (4) ,TASA ECORAE (CPM DELICIAS) Y DETECTOR LEGRAND (1) + DETECTOR ORBIS (1) (CPM Z. ESTE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0412"/>
    <s v="AD"/>
    <d v="2022-01-25T00:00:00"/>
    <n v="22022000731"/>
    <s v="2022 09 3341 22701"/>
    <n v="580.79999999999995"/>
    <x v="217"/>
    <s v="CONTRATO MENOR MANTENIMIENTO SISTEMA CONTRA INCENDIOS DEL EDIFICIO CUPULA DEL MILENIO. 15-01-2022 AL 14-07-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13245"/>
    <s v="D"/>
    <d v="2022-03-30T00:00:00"/>
    <n v="22022001650"/>
    <s v="2022 11 3111 22199"/>
    <n v="18.8"/>
    <x v="163"/>
    <s v="LAMPARA PH LEDSPOTMV ND / TASA ECORAEE // SALUD PÚB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8271"/>
    <s v="AD"/>
    <d v="2022-03-10T00:00:00"/>
    <n v="22022002567"/>
    <s v="2022 11 1361 22199"/>
    <n v="346.67"/>
    <x v="217"/>
    <s v="Extintores de prácticas de agua y CO2, y precintos de plástico para formación en extinción de incendi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3123"/>
    <s v="D"/>
    <d v="2022-02-09T00:00:00"/>
    <n v="22022001178"/>
    <s v="2022 10 2311 212"/>
    <n v="18.54"/>
    <x v="163"/>
    <s v="F-484. CADIELSA. INTERRUP GAVE A-5500000 12A CAL.0 (1 UNID.) JEFATURA DE ZONA. 1DIA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077"/>
    <s v="D"/>
    <d v="2022-02-18T00:00:00"/>
    <n v="22022000901"/>
    <s v="2022 11 1621 214"/>
    <n v="514.19000000000005"/>
    <x v="218"/>
    <s v="AC MARCO EXP SPSC 23/2020: MATRICULA 1375LMR: MANTENIMIENTO / KIT REPARACION / ACEITE / SIGAUS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8"/>
    <s v="D"/>
    <d v="2022-02-18T00:00:00"/>
    <n v="22022000901"/>
    <s v="2022 11 1621 214"/>
    <n v="910.1"/>
    <x v="218"/>
    <s v="AC MARCO EXP SPSC 23/2020: CAMBIAR SENSOR NOX ( 34 ) ///  VEHICULO MATRICULA: 8875-KMN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22"/>
    <s v="D"/>
    <d v="2022-02-18T00:00:00"/>
    <n v="22022000901"/>
    <s v="2022 11 1621 214"/>
    <n v="1410.48"/>
    <x v="218"/>
    <s v="AC MARCO EXP SPSC 23/2020:  SENSOR NOX ( 2294291 -2294290 ) 2 UNIDADES REPARACIÓN VEHICULO MATRICULA: 8776-KMN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7080"/>
    <s v="D"/>
    <d v="2022-03-03T00:00:00"/>
    <n v="22022000901"/>
    <s v="2022 11 1621 214"/>
    <n v="1462.09"/>
    <x v="218"/>
    <s v="CAMBIAR VALVULA LIMITADORA  / REGULADOR GAS  / VEHICULO MATRICULA: 1895-LFR / AM SPSC 23/2020 / SERVICIO DE LIMPIEZA.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4"/>
    <s v="D"/>
    <d v="2022-03-30T00:00:00"/>
    <n v="22022000901"/>
    <s v="2022 11 1621 214"/>
    <n v="487.18"/>
    <x v="218"/>
    <s v="AC MARCO EXP SPSC 23/2020: CAMBAIR FARO PARA VEHÍCULO DE MATRICULA: 1895LFR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6"/>
    <s v="D"/>
    <d v="2022-03-30T00:00:00"/>
    <n v="22022000901"/>
    <s v="2022 11 1621 214"/>
    <n v="982.54"/>
    <x v="218"/>
    <s v="AC MARCO EXP SPSC 23/2020: MANTENIMIENTO 30.000 KM VEHÍCULO MATRÍICULA 1375LMR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8"/>
    <s v="D"/>
    <d v="2022-03-30T00:00:00"/>
    <n v="22022000901"/>
    <s v="2022 11 1621 214"/>
    <n v="772.62"/>
    <x v="218"/>
    <s v="AC MARCO EXP SPSC 23/2020: CAMBIAR PASTILLAS DE FRENO VEHÍCULO MATRÍCULA 0375LDD Sº LIMPIEZA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31"/>
    <s v="D"/>
    <d v="2022-02-18T00:00:00"/>
    <n v="22022000030"/>
    <s v="2022 11 1621 22199"/>
    <n v="13.66"/>
    <x v="163"/>
    <s v="AC MARCO EXP V36/2017: SUMINISTRO MATERIAL ELECTRICO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71"/>
    <s v="D"/>
    <d v="2022-03-11T00:00:00"/>
    <n v="22022000030"/>
    <s v="2022 11 1621 22199"/>
    <n v="12.15"/>
    <x v="163"/>
    <s v="AC MARCO EXP V36-2017: MATERIAL ELÉCTRICO PARA EL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017"/>
    <s v="D"/>
    <d v="2022-03-03T00:00:00"/>
    <n v="22022001643"/>
    <s v="2022 06 3321 212"/>
    <n v="9.6999999999999993"/>
    <x v="163"/>
    <s v="CONMUTADOR ZENIT BLANCO/ BASTIDOR ZENIT 2MODUL/ MARCO 2E // BIBLIOTECA SAN JUA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0117"/>
    <s v="D"/>
    <d v="2022-03-18T00:00:00"/>
    <n v="22022001641"/>
    <s v="2022 06 3232 212"/>
    <n v="4674.6899999999996"/>
    <x v="219"/>
    <s v="ARMADO / LUNA 4MM / DESMONTAJE / CLIMALIT / SEGURIDAD 3+3 //////  DESTINO: DIFERENTES COLEGIOS PUBLICOS"/>
    <s v="300"/>
    <s v="ZARATAN"/>
    <s v="VALLADOLID"/>
    <x v="0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739"/>
    <s v="D"/>
    <d v="2022-02-22T00:00:00"/>
    <n v="22022001552"/>
    <s v="2022 08 1532 210"/>
    <n v="2867.68"/>
    <x v="219"/>
    <s v="SEGURIDAD 12+12 CANTOS PULIDOS // PASARELA ANTIGUO MATADERO"/>
    <s v="300"/>
    <s v="ZARATAN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4121"/>
    <s v="D"/>
    <d v="2022-02-18T00:00:00"/>
    <n v="22022001456"/>
    <s v="2022 11 1321 22199"/>
    <n v="644.23"/>
    <x v="219"/>
    <s v="ACUERDO MARCO. SUMINISTRO ESPEJO 5MM C/P (2130X1150)   2 UNIDADES ---  POLICIA MUNICIPAL"/>
    <s v="300"/>
    <s v="ZARATAN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745"/>
    <s v="D"/>
    <d v="2022-03-14T00:00:00"/>
    <n v="22022001626"/>
    <s v="2022 03 9241 212"/>
    <n v="566.70000000000005"/>
    <x v="219"/>
    <s v="CLIMALIT PLANITHERM 6/16 LUNA 4MM / SEGURIDAD 6+6 / ESPEJO DE 3 MM /// DESTINO: EDIF. SEGUNDO MONTES"/>
    <s v="300"/>
    <s v="ZARATAN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2462"/>
    <s v="D"/>
    <d v="2022-02-02T00:00:00"/>
    <n v="22022001641"/>
    <s v="2022 06 3232 212"/>
    <n v="550.57000000000005"/>
    <x v="219"/>
    <s v="SEGURIDAD 3+3 (P.G.BOSQUE) / LUNA 4MM (ALLUE MOER) / LUNA 4MM (CRISTOBAL COLÓN) / LUNA 4MM (MARTÍN BARÓ)"/>
    <s v="300"/>
    <s v="ZARATAN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0"/>
    <s v="D"/>
    <d v="2022-02-02T00:00:00"/>
    <n v="22022001626"/>
    <s v="2022 03 9241 212"/>
    <n v="410.26"/>
    <x v="219"/>
    <s v="CLIMALIT 5+5/12/3+3 (1385X975) // CENTRO SANTIAGO LOPEZ"/>
    <s v="300"/>
    <s v="ZARATAN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968"/>
    <s v="D"/>
    <d v="2022-03-18T00:00:00"/>
    <n v="22022001183"/>
    <s v="2022 10 2312 212"/>
    <n v="110.96"/>
    <x v="219"/>
    <s v="MANT. SUMINISTRO DE CLIMALIT /6/MATE4 (1095 X 695) // C.P.M. LAS DELICIAS- DURACION 1 DIA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2408"/>
    <s v="D"/>
    <d v="2022-02-02T00:00:00"/>
    <n v="22022001179"/>
    <s v="2022 10 2311 212"/>
    <n v="52.41"/>
    <x v="219"/>
    <s v="F-249. CRISTALERIA ZARATAN. CLIMALIT 4/12/CARGLASS (1045X345) CENTRO INTEGRADO. 1 DIA. COVID-19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0019"/>
    <s v="D"/>
    <d v="2022-03-18T00:00:00"/>
    <n v="22022001179"/>
    <s v="2022 10 2311 212"/>
    <n v="52.39"/>
    <x v="219"/>
    <s v="F-2293. CRISTALERIA ZARATAN, S.L. CLIMALIT 4/12/ CARGLASS (1035X350). CENTRO INTEGRADO. 1 DIA. COVID-19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2446"/>
    <s v="D"/>
    <d v="2022-02-02T00:00:00"/>
    <n v="22022001169"/>
    <s v="2022 10 2412 212"/>
    <n v="7.87"/>
    <x v="163"/>
    <s v="MANT. SUMINISTRO DE BASE 2P  SE MGU3.037.18 (2 UNIDADES) // DESTINO: C.F. JACINTO BENAVENTE- DURACION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1801"/>
    <s v="AD"/>
    <d v="2022-01-28T00:00:00"/>
    <n v="22022001720"/>
    <s v="2022 07 1711 213"/>
    <n v="1200"/>
    <x v="220"/>
    <s v="MANTENIMIENTO DE MAQUINA RETRO-EXCAVADORA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10327"/>
    <s v="AD"/>
    <d v="2022-03-21T00:00:00"/>
    <n v="22022002904"/>
    <s v="2022 03 9241 22609"/>
    <n v="440"/>
    <x v="221"/>
    <s v="Actuación de Klinklanklown en CM Pinar de Antequera el día 12/03/2022. MFS"/>
    <s v="220"/>
    <s v="ARANDA DE DUERO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637"/>
    <s v="AD"/>
    <d v="2022-01-01T00:00:00"/>
    <n v="22022000084"/>
    <s v="2022 06 2315 22799"/>
    <n v="35101.82"/>
    <x v="222"/>
    <s v="CONTRATO DE SERVICIOS GESTIÓN Y DESARROLLO DE TALL. EDUCAT. EN MATERIA DE IGUAL. Y CONTRA LA VIOLENC. / AÑO 2022 Y 2023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0013231"/>
    <s v="D"/>
    <d v="2022-03-30T00:00:00"/>
    <n v="22022000045"/>
    <s v="2022 11 1631 22199"/>
    <n v="7.05"/>
    <x v="163"/>
    <s v="AC MARCO EXP V36/2017: MATERAIL ELECTRICO PARA  VESTUARIO EN PARQUE LOS ALMENDROS (LIMPIEZA VIARIA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2194"/>
    <s v="AD"/>
    <d v="2022-01-31T00:00:00"/>
    <n v="22022001770"/>
    <s v="2022 01 9206 22799"/>
    <n v="5679.93"/>
    <x v="223"/>
    <s v="DIGITALIZACIÓN DE LA DOCUMENTACIÓN QUE CONFORMA EL ARCHIVO JOAQUÍN MARTÍN DE UÑA, PARA EL ARCHIVO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3494"/>
    <s v="AD"/>
    <d v="2022-02-14T00:00:00"/>
    <n v="22022002136"/>
    <s v="2022 10 2312 22617"/>
    <n v="242"/>
    <x v="224"/>
    <s v="FORMAC. SOBRE ACTUALIZACION DELA REFORMA DEL CDIGO CIVIL EN MATERIA DE REPRESENTACION LEGAL A PERSONAS CONDISCAPAC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20003441"/>
    <s v="AD"/>
    <d v="2022-02-11T00:00:00"/>
    <n v="22022002040"/>
    <s v="2022 11 1321 22199"/>
    <n v="1000"/>
    <x v="225"/>
    <s v="REPARACIÓN DE CERRADURAS Y AMAESTRAMIENTO DE LLAVES PARA POLICÍ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368"/>
    <s v="AD"/>
    <d v="2022-01-24T00:00:00"/>
    <n v="22022001531"/>
    <s v="2022 08 1532 210"/>
    <n v="7260"/>
    <x v="226"/>
    <s v="Suministro de pinturas de todo tipo, disolventes, herramientas de pintor, etc.  según necesidades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19000917"/>
    <s v="AD"/>
    <d v="2022-01-01T00:00:00"/>
    <n v="22022000113"/>
    <s v="2022 06 3321 22100"/>
    <n v="5000"/>
    <x v="5"/>
    <s v="PR-SE 13/2021. NUEVO CONTRATO SUMINISTRO DE ENERGÍA ELÉCTRICA AYUNTAMIENTO DE VALLADOLID. BIBLIOTECAS PÚBLICA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0"/>
  </r>
  <r>
    <n v="220220005816"/>
    <s v="AD"/>
    <d v="2022-02-23T00:00:00"/>
    <n v="22022002457"/>
    <s v="2022 08 1532 210"/>
    <n v="7260"/>
    <x v="226"/>
    <s v="Suministro de pinturas de todo tipo, disolventes, herramientas de pintor, etc. según necesidades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2504"/>
    <s v="D"/>
    <d v="2022-02-02T00:00:00"/>
    <n v="22022001628"/>
    <s v="2022 03 9241 213"/>
    <n v="3.8"/>
    <x v="163"/>
    <s v="BRIDA UNEX 2221 2,5X101 BLANCA  ( 400 UNIDADES ) /// DESTINO: 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3183"/>
    <s v="AD"/>
    <d v="2022-03-30T00:00:00"/>
    <n v="22022002337"/>
    <s v="2022 05 4331 22799"/>
    <n v="17545"/>
    <x v="227"/>
    <s v="CONTRATO DE SERVICIOS DE APOYO A LAS TAREAS DE COMUNICACION Y PROMOCION DE ACTIVIDADES Y PROYECTOS DE LA AIDE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2767"/>
    <s v="AD"/>
    <d v="2022-03-24T00:00:00"/>
    <n v="22022002802"/>
    <s v="2022 05 4331 22799"/>
    <n v="7018"/>
    <x v="227"/>
    <s v="ACCIONES DE SENSIBILIZACIÓN Y DISEMINACIÓN DE LOS PROYECTOS EUROPEOS INTERREG POCTEP, INDNATUR Y CIRCULAR LABS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6911"/>
    <s v="AD"/>
    <d v="2022-03-02T00:00:00"/>
    <n v="22022002436"/>
    <s v="2022 05 4331 22602"/>
    <n v="2662"/>
    <x v="227"/>
    <s v="REALIZACIÓN DE IMÁGENES EN DISTINTOS FORMATOS Y VÍDEOS, PARA PROMOCIÓN Y PUBLICIDAD DE PROGRAMAS DE LA AGENCIA DE INNOV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02"/>
  </r>
  <r>
    <n v="220220010322"/>
    <s v="AD"/>
    <d v="2022-03-21T00:00:00"/>
    <n v="22022002897"/>
    <s v="2022 03 9241 22609"/>
    <n v="400"/>
    <x v="228"/>
    <s v="Actuación en CC Parquesol de Diabla Teatro el día 07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9361"/>
    <s v="AD"/>
    <d v="2022-03-16T00:00:00"/>
    <n v="22022002823"/>
    <s v="2022 06 2314 22613"/>
    <n v="7260"/>
    <x v="229"/>
    <s v="SERVICIO DE ASESORIA SEXOLOGICA EN ESPACIOS JOVENE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13"/>
  </r>
  <r>
    <n v="220220013176"/>
    <s v="AD"/>
    <d v="2022-03-29T00:00:00"/>
    <n v="22022002960"/>
    <s v="2022 06 3321 22001"/>
    <n v="758.72"/>
    <x v="230"/>
    <s v="SUSCRIPCIÓN DE VARIAS REVISTAS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438"/>
    <s v="AD"/>
    <d v="2022-02-11T00:00:00"/>
    <n v="22022002019"/>
    <s v="2022 03 9241 22699"/>
    <n v="227.48"/>
    <x v="231"/>
    <s v="DISEÑO DE DIPLOMAS PARA ENTREGAR A PARTICIPANTES EN LAS MUESTRAS DE TEATRO Y CULTURA TRADICIONAL DE 2021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2284"/>
    <s v="AD"/>
    <d v="2022-02-01T00:00:00"/>
    <n v="22022001712"/>
    <s v="2022 06 2314 22602"/>
    <n v="800"/>
    <x v="232"/>
    <s v="HOSTING Y DOMINIO DE PLANJUVENTUDVA.ES, DEMOEXPRESS. ES Y ESPACIOJOVENVALLADOLID.E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20012883"/>
    <s v="AD"/>
    <d v="2022-03-25T00:00:00"/>
    <n v="22022002942"/>
    <s v="2022 05 4331 22799"/>
    <n v="437.91"/>
    <x v="232"/>
    <s v="RENOVACIÓN DOMINIOS AGENCIA DE INNOVACIÓN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2285"/>
    <s v="AD"/>
    <d v="2022-02-01T00:00:00"/>
    <n v="22022001715"/>
    <s v="2022 06 2315 22799"/>
    <n v="350.01"/>
    <x v="232"/>
    <s v="DOMINIO IGUALDADVALLADOLID.ES Y HOSTING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06904"/>
    <s v="D"/>
    <d v="2022-03-02T00:00:00"/>
    <n v="22022000746"/>
    <s v="2022 04 9341 22699"/>
    <n v="51904.26"/>
    <x v="233"/>
    <s v="GASTOS Y COMISIONES CONTRATACION TERMINALES PUNTO DE VENTA FISICOS Y VIRTUALES AYTO DE VALLADOLID"/>
    <s v="300"/>
    <s v="VALENCIA"/>
    <s v="VALENCIA"/>
    <x v="0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2"/>
    <s v="22699"/>
  </r>
  <r>
    <n v="220209000667"/>
    <s v="AD"/>
    <d v="2022-01-01T00:00:00"/>
    <n v="22022000229"/>
    <s v="2022 06 3232 213"/>
    <n v="102835.31"/>
    <x v="234"/>
    <s v="CONTRATO DE MANTENIMIENTO DE LOS COLEGIOS PUBLICO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681"/>
    <s v="AD"/>
    <d v="2022-01-01T00:00:00"/>
    <n v="22022000235"/>
    <s v="2022 06 3321 213"/>
    <n v="1422.32"/>
    <x v="234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20002198"/>
    <s v="AD"/>
    <d v="2022-01-31T00:00:00"/>
    <n v="22022001646"/>
    <s v="2022 06 3232 22103"/>
    <n v="10853.7"/>
    <x v="17"/>
    <s v="SE 6-22. SUMINISTRO PELLETS PARA LA CALEFACCIÓN CEIP NUESTRA SEÑORA DEL DUERO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103"/>
  </r>
  <r>
    <n v="220220000426"/>
    <s v="AD"/>
    <d v="2022-01-25T00:00:00"/>
    <n v="22022001618"/>
    <s v="2022 08 1532 22103"/>
    <n v="2985.68"/>
    <x v="17"/>
    <s v="Suministro de 3.500 litros de Gasóleo C para la caldera del nuevo Parque de Conservación de la Vía Pública, C/Títulos 51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8636"/>
    <s v="AD"/>
    <d v="2022-03-11T00:00:00"/>
    <n v="22022002743"/>
    <s v="2022 11 3111 22103"/>
    <n v="1113.2"/>
    <x v="17"/>
    <s v="SUMINISTRO PELLETS CALDERA BIOMASA CMPA 2022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3"/>
  </r>
  <r>
    <n v="220220003436"/>
    <s v="AD"/>
    <d v="2022-02-11T00:00:00"/>
    <n v="22022002017"/>
    <s v="2022 03 9241 22103"/>
    <n v="834.9"/>
    <x v="17"/>
    <s v="SUMINISTRO DE PELLETS PARA EL CM PUENTE DUER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3"/>
  </r>
  <r>
    <n v="220220010308"/>
    <s v="AD"/>
    <d v="2022-03-21T00:00:00"/>
    <n v="22022002867"/>
    <s v="2022 03 9241 22103"/>
    <n v="530.46"/>
    <x v="17"/>
    <s v="SUMINISTRO DE GASÓLEO CALEFACCIÓN LOCAL C/ CONDE ARTECHE (0.548 M3 DIA 04/02/22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3"/>
  </r>
  <r>
    <n v="220220000406"/>
    <s v="AD"/>
    <d v="2022-01-25T00:00:00"/>
    <n v="22022000420"/>
    <s v="2022 10 2412 213"/>
    <n v="783.95"/>
    <x v="234"/>
    <s v="CONTRATO DE MANTENIMIENTO DE CALEFACCIÓN PARA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09000679"/>
    <s v="AD"/>
    <d v="2022-01-01T00:00:00"/>
    <n v="22022000233"/>
    <s v="2022 06 3261 213"/>
    <n v="711.16"/>
    <x v="234"/>
    <s v="CONTRATO DE MANTENIMIENTO DE LA ESCUELA MUNICIPAL DE MUSICA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0107"/>
    <s v="AD"/>
    <d v="2022-01-20T00:00:00"/>
    <n v="22022001195"/>
    <s v="2022 01 9205 22199"/>
    <n v="7120.85"/>
    <x v="235"/>
    <s v="ADJUDICA SUMINISTRO A IMPRENTA RESMAS DIVERSOS TIPOS PAPELES Y CARTULINAS DE OFFSET Y ESTUCADOS PARA DIGITAL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3169"/>
    <s v="AD"/>
    <d v="2022-03-29T00:00:00"/>
    <n v="22022002954"/>
    <s v="2022 06 2315 22699"/>
    <n v="1200"/>
    <x v="235"/>
    <s v="IMPRESIÓN DE SOPORTES PUBLICITARIOS A TRAVÉS DE IMPRENTA MUNICIPAL 2022: IGUALDAD E INFANCI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99"/>
  </r>
  <r>
    <n v="220220006701"/>
    <s v="AD"/>
    <d v="2022-02-25T00:00:00"/>
    <n v="22022002494"/>
    <s v="2022 03 9241 22602"/>
    <n v="780.23"/>
    <x v="235"/>
    <s v="SUMINISTRO DE PAPEL (SERVIDO EN IMPRENTA MUNICIPAL) PARA CARTELES DE LOS PROGRAMAS SPC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7105"/>
    <s v="AD"/>
    <d v="2022-03-03T00:00:00"/>
    <n v="22022002533"/>
    <s v="2022 06 3231 22699"/>
    <n v="150"/>
    <x v="235"/>
    <s v="SUMINISTRO PAPEL A IMPRENTA MUNICIPAL PARA ELABORACIÓN DE CARTELES Y DÍPTICOS INFORMATIVOS E.I.M. Y EDUC. ADULTOS.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20013184"/>
    <s v="AD"/>
    <d v="2022-03-30T00:00:00"/>
    <n v="22022003047"/>
    <s v="2022 11 1621 214"/>
    <n v="1413.28"/>
    <x v="236"/>
    <s v="SUMINISTRO MANDO A DISTANCIA DEL SISTEMA DE PESAJE DEL VEHÍCULO 1895 LFR DEL Sº DE LIMPIEZA"/>
    <s v="220"/>
    <s v="SAN ESTEBAN DE LITERA"/>
    <s v="HUESCA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7942"/>
    <s v="AD"/>
    <d v="2022-03-08T00:00:00"/>
    <n v="22022002535"/>
    <s v="2022 03 9241 22706"/>
    <n v="17811.2"/>
    <x v="237"/>
    <s v="SPARKSPACE: DINAMIZACIÓN DEL ENTORNO DE COMUNICACIÓN"/>
    <s v="220"/>
    <s v="BOEC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20006725"/>
    <s v="AD"/>
    <d v="2022-02-28T00:00:00"/>
    <n v="22021001427"/>
    <s v="2022 04 9321 641"/>
    <n v="21828.400000000001"/>
    <x v="145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0"/>
    <s v="6"/>
    <s v="6. Inversiones reales"/>
    <s v="04"/>
    <x v="5"/>
    <s v="9321"/>
    <s v="9321. Gestión de ingresos e inspección"/>
    <s v="64"/>
    <s v="641"/>
  </r>
  <r>
    <n v="220220000407"/>
    <s v="AD"/>
    <d v="2022-01-25T00:00:00"/>
    <n v="22022000421"/>
    <s v="2022 10 2412 213"/>
    <n v="325.64999999999998"/>
    <x v="234"/>
    <s v="CONTRATO DE MANTENIMIENTO DE CALEFACCIÓN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5"/>
    <s v="AD"/>
    <d v="2022-01-25T00:00:00"/>
    <n v="22022000419"/>
    <s v="2022 10 2412 213"/>
    <n v="198.73"/>
    <x v="234"/>
    <s v="CONTRATO DE MANTENIMIENTO DE CALEFACCIÓN DEL CFE &quot;&quot;JACINTO BENAVENTE&quot;&quot;, PROG.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0063233"/>
    <s v="AD"/>
    <d v="2022-03-11T00:00:00"/>
    <n v="22021006723"/>
    <s v="2022 11 1361 623"/>
    <n v="0.5"/>
    <x v="238"/>
    <s v="EQUIPOS DE RESPIRACIÓN DE SALVAMENTO Y RESCATE PARA INTERVENCIONES; SEISYPC."/>
    <s v="220"/>
    <s v="MADRID"/>
    <s v="MADRID"/>
    <x v="0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20000408"/>
    <s v="AD"/>
    <d v="2022-01-25T00:00:00"/>
    <n v="22022000422"/>
    <s v="2022 10 2412 213"/>
    <n v="191.67"/>
    <x v="234"/>
    <s v="CONTRATO DE MANTENIMIENTO DE CALEFACCIÓN PARA 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12875"/>
    <s v="D"/>
    <d v="2022-03-25T00:00:00"/>
    <n v="22022002249"/>
    <s v="2022 11 1361 213"/>
    <n v="4167"/>
    <x v="239"/>
    <s v="CONTRATO MANTENIMIENTO INSTALACIONES TÉRMICAS; LOTE 2; PREST COMPLEMENTARIAS; DEL 01/03/2022 AL 31/12/2022;SEISYPC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0311"/>
    <s v="ADO"/>
    <d v="2022-01-21T00:00:00"/>
    <n v="22022001241"/>
    <s v="2022 02 9331 213"/>
    <n v="242.3"/>
    <x v="43"/>
    <s v="COPIAS 01/10/2021 - 29/12/2021 // N. SERIE RFC9Y20331 - FC011371 // CASA CONSISTORIAL, TORREÓN, PATRIMONIO"/>
    <s v="24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20006690"/>
    <s v="AD"/>
    <d v="2022-02-25T00:00:00"/>
    <n v="22022002348"/>
    <s v="2022 07 1721 22199"/>
    <n v="2108.54"/>
    <x v="240"/>
    <s v="COMPRA DE BOTES DE HUMO PARA COMPROBAR ESTANQUEIDAD DE CHIMENEAS EN LAS INSPECCIONES DE SECCIÓN DE CONTROL AMBIENTAL"/>
    <s v="220"/>
    <s v="ESQUIROZ DE GALAR"/>
    <s v="NAVARR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10184"/>
    <s v="AD"/>
    <d v="2022-03-18T00:00:00"/>
    <n v="22022002851"/>
    <s v="2022 07 1721 22199"/>
    <n v="72"/>
    <x v="240"/>
    <s v="COMPRA DE BOTES DE HUMO PARA COMPROBAR ESTANQUEIDAD DE CHIMENEAS EN INSPECCIONES DE LA SECCIÓN DE CONTROL AMBIENTAL"/>
    <s v="220"/>
    <s v="ESQUIROZ DE GALAR"/>
    <s v="NAVARR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01711"/>
    <s v="AD"/>
    <d v="2022-01-27T00:00:00"/>
    <n v="22022001644"/>
    <s v="2022 11 1321 22799"/>
    <n v="1874.4"/>
    <x v="241"/>
    <s v="SERVICIO DE RECOGIDA Y DESTRUCCIÓN DE DOCUMENTACIÓN AFECTADA POR LA LEY DE PROTECCION DE DATOS . EJERCICIO DE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99"/>
  </r>
  <r>
    <n v="220220002259"/>
    <s v="AD"/>
    <d v="2022-01-31T00:00:00"/>
    <n v="22022001697"/>
    <s v="2022 10 2412 223"/>
    <n v="900"/>
    <x v="241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02259"/>
    <s v="AD"/>
    <d v="2022-01-31T00:00:00"/>
    <n v="22022001696"/>
    <s v="2022 10 2412 223"/>
    <n v="700"/>
    <x v="241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12874"/>
    <s v="D"/>
    <d v="2022-03-25T00:00:00"/>
    <n v="22022002248"/>
    <s v="2022 11 1361 213"/>
    <n v="3227"/>
    <x v="239"/>
    <s v="CONTRATO MANTENIMIENTO INSTALACIONES TÉRMICAS; LOTE 2; PREST BÁSICAS; DEL 01/03/2022 AL 31/12/2022/SEISYPC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1737"/>
    <s v="ADO"/>
    <d v="2022-01-27T00:00:00"/>
    <n v="22022001663"/>
    <s v="2022 03 9241 22699"/>
    <n v="330"/>
    <x v="241"/>
    <s v="SERVICIO PUNTUAL RECOGIDA PAPEL PARA RECICLAR // CIC CONDE ANSÚREZ - Bº ESPAÑA C/ BATUECAS, Nº 24 / MES DICIEMBRE 2021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2259"/>
    <s v="AD"/>
    <d v="2022-01-31T00:00:00"/>
    <n v="22022001698"/>
    <s v="2022 10 2412 223"/>
    <n v="200"/>
    <x v="241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12873"/>
    <s v="D"/>
    <d v="2022-03-25T00:00:00"/>
    <n v="22022000700"/>
    <s v="2022 11 1621 213"/>
    <n v="2420"/>
    <x v="239"/>
    <s v="ADJUDICACIÓN CONTRATO EXP SPSC 35/2021 MANTENIMIENTO INSTALACIONES TÉRMICAS SºLIMPIEZA, DEL 1-3 AL 30-12-2022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0003289"/>
    <s v="AD"/>
    <d v="2022-02-10T00:00:00"/>
    <n v="22022000907"/>
    <s v="2022 04 9321 22799"/>
    <n v="9317"/>
    <x v="242"/>
    <s v="Contratación del diseño, maquetación y cofección de la GUÍA DEL CONTRIBUYENTE/EJERCICIO 2022"/>
    <s v="220"/>
    <s v="ALDEAMAYOR DE SAN MARTIN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12872"/>
    <s v="D"/>
    <d v="2022-03-25T00:00:00"/>
    <n v="22022000701"/>
    <s v="2022 11 1621 213"/>
    <n v="2083"/>
    <x v="239"/>
    <s v="ASJUDICACIÓN CONTRATO REPARACIONES NSTALACIONES TÉRMICAS EXP SPSC 35/2021 DEL Sº LIMPIEZA, DEL 1-3 AL 31-12-22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266"/>
    <s v="AD"/>
    <d v="2022-01-01T00:00:00"/>
    <n v="22022001681"/>
    <s v="2022 04 9204 213"/>
    <n v="805.86"/>
    <x v="239"/>
    <s v="MANTENIMIENTO DE LOS SISTEMAS DE FONTANERÍA, SANEAMIENTO Y PANEL SOLAR,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09000471"/>
    <s v="AD"/>
    <d v="2022-01-01T00:00:00"/>
    <n v="22022000201"/>
    <s v="2022 11 3111 22113"/>
    <n v="10768.55"/>
    <x v="243"/>
    <s v="CONTRATO DE SUMINISTRO DE MEDICAMENTOS Y PIENSOS PARA EL CENTRO MUNICIPAL DE PROTECCION ANIMAL - LOTE 1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13"/>
  </r>
  <r>
    <n v="220220006914"/>
    <s v="AD"/>
    <d v="2022-03-02T00:00:00"/>
    <n v="22022001181"/>
    <s v="2022 04 9321 22602"/>
    <n v="5000"/>
    <x v="244"/>
    <s v="INSERCIONES PUBLICITARIAS EN MATERIA TRIBUTARIA PARA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9000845"/>
    <s v="AD"/>
    <d v="2022-01-01T00:00:00"/>
    <n v="22022000603"/>
    <s v="2022 11 1361 213"/>
    <n v="4122.37"/>
    <x v="187"/>
    <s v="EXPTE:23/2018; LOTE2; MANTENIMIENTO PREVENTIVO (3.275,37) Y MANT.CORRECTIVO (847) PUERTAS AUTOMATIZADAS;SEISYPC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2287"/>
    <s v="AD"/>
    <d v="2022-02-01T00:00:00"/>
    <n v="22022001775"/>
    <s v="2022 06 3321 223"/>
    <n v="300"/>
    <x v="245"/>
    <s v="SERVICIO DE REPARTO DE LIBROS PARA LAS BIBLIOTECAS MUNICIPALES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3"/>
  </r>
  <r>
    <n v="220220000362"/>
    <s v="AD"/>
    <d v="2022-01-24T00:00:00"/>
    <n v="22022001493"/>
    <s v="2022 06 3232 212"/>
    <n v="3000"/>
    <x v="190"/>
    <s v="ALQUILER DE MAQUINAS ELEVADORAS PARA EL MANTENIMIENTO Y REPARACIONES DE LOS COLEGIOS PÚBLICOS. PLAZO AÑO 2022"/>
    <s v="220"/>
    <s v="CABEZON DE PISUERGA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1788"/>
    <s v="AD"/>
    <d v="2022-01-28T00:00:00"/>
    <n v="22022001639"/>
    <s v="2022 02 9332 213"/>
    <n v="71.09"/>
    <x v="193"/>
    <s v="ADQUISICION DE ANTENA CON CONECTOR ACODADO PARA MEDIDOR TOPOGRAFIC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19000769"/>
    <s v="AD"/>
    <d v="2022-01-01T00:00:00"/>
    <n v="22022000095"/>
    <s v="2022 02 9332 213"/>
    <n v="18545.13"/>
    <x v="246"/>
    <s v="ADJUDICACION MANTEN.SISTEMAS DE CLIMATIZACIÓN, CALEFAC.EDIFIC.MUNIC.LOTES 1, 2 Y 3 DEL1.01 AL 30.09 DEL 2022"/>
    <s v="220"/>
    <s v="ALBACETE"/>
    <s v="ALBACETE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3105"/>
    <s v="AD"/>
    <d v="2022-02-09T00:00:00"/>
    <n v="22022002015"/>
    <s v="2022 09 3341 213"/>
    <n v="4299.8100000000004"/>
    <x v="246"/>
    <s v="REPARACION ENFRIADORA CPUPULA DEL MILENIO, ASUSTE DE PARAMETROS, PUESTA EN MARCHA Y VERIFICACION FUNCIONAMIENTO"/>
    <s v="220"/>
    <s v="ALBACETE"/>
    <s v="ALBACETE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1"/>
    <s v="213"/>
  </r>
  <r>
    <n v="220209000777"/>
    <s v="AD"/>
    <d v="2022-01-01T00:00:00"/>
    <n v="22022000282"/>
    <s v="2022 04 9204 216"/>
    <n v="13227"/>
    <x v="134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983"/>
    <s v="AD"/>
    <d v="2022-01-01T00:00:00"/>
    <n v="22022000624"/>
    <s v="2022 09 3341 22799"/>
    <n v="1307.8"/>
    <x v="246"/>
    <s v="CONTRATO MENOR SERVICIO DE MANTENIMIENTO INTEGRAL DE INSTALACIONES DE LA CUPULA DEL MILENIO. 01-12-2021 AL 31-03-2022"/>
    <s v="220"/>
    <s v="ALBACETE"/>
    <s v="ALBACETE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19000547"/>
    <s v="AD"/>
    <d v="2022-01-01T00:00:00"/>
    <n v="22022000563"/>
    <s v="2022 04 9204 216"/>
    <n v="3448.13"/>
    <x v="134"/>
    <s v="ASIST. TÉCNICA OPERACIÓN, CAU, Y MTO.  DEL SOFTWARE DE BASE Y COMUNICACIONES LOTE 1(MODIF.  CONTRATO 1/1 AL 7/2/22)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1111"/>
    <s v="AD"/>
    <d v="2022-01-01T00:00:00"/>
    <n v="22022000522"/>
    <s v="2022 05 4331 22799"/>
    <n v="13390.67"/>
    <x v="195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09450"/>
    <s v="D"/>
    <d v="2022-03-16T00:00:00"/>
    <n v="22022001593"/>
    <s v="2022 07 1711 22199"/>
    <n v="2157.89"/>
    <x v="247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7067"/>
    <s v="D"/>
    <d v="2022-03-03T00:00:00"/>
    <n v="22022001552"/>
    <s v="2022 08 1532 210"/>
    <n v="1162.57"/>
    <x v="247"/>
    <s v="ALBARAN: AV22/00016 de 04/01/2022 ////  SUMINISTRO DE DIFERENTE MATE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3257"/>
    <s v="D"/>
    <d v="2022-02-09T00:00:00"/>
    <n v="22022001593"/>
    <s v="2022 07 1711 22199"/>
    <n v="800.11"/>
    <x v="247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2438"/>
    <s v="D"/>
    <d v="2022-02-02T00:00:00"/>
    <n v="22022001172"/>
    <s v="2022 10 2412 22199"/>
    <n v="769.94"/>
    <x v="247"/>
    <s v="SUMINISTRO DE TIJERA PODAR,BOLSA NYLON, GAFA, TAPÓN,CASCO,CUTTER, CUCHILLA,CORDÓN-  P.Y JARDINES III- DURA 1 DIA- A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721"/>
    <s v="D"/>
    <d v="2022-02-16T00:00:00"/>
    <n v="22022001173"/>
    <s v="2022 10 2412 22199"/>
    <n v="719.7"/>
    <x v="247"/>
    <s v="SUMINISTRO DIF. MATERIAL // CURSO: PINTURA DECORATIVA IV DEL CENTRO DE FORMACION PARA EL EMPLEO- DURA 1 DIA- A.M.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34"/>
    <s v="D"/>
    <d v="2022-02-02T00:00:00"/>
    <n v="22022001173"/>
    <s v="2022 10 2412 22199"/>
    <n v="398.89"/>
    <x v="247"/>
    <s v="SUMINISTRO MATERIALES PARA EL C. DE FORMACIÓNPAR EL EMPLEO: PINTURA DECORATIVA IV- DUR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36"/>
    <s v="D"/>
    <d v="2022-02-02T00:00:00"/>
    <n v="22022001172"/>
    <s v="2022 10 2412 22199"/>
    <n v="196.88"/>
    <x v="247"/>
    <s v="SUMINISTRO DE MATERIAL PARA EL C. DE FORMACIÓN PARA EL EMPLEO: PARQUES Y JARDINES III- DUR A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8491"/>
    <s v="D"/>
    <d v="2022-03-11T00:00:00"/>
    <n v="22022000043"/>
    <s v="2022 11 1631 22104"/>
    <n v="191.7"/>
    <x v="247"/>
    <s v="ALBARAN: AV22/00788 de 11/02/2022 / BOTAS DE AGUA color VERDE (13 unidades) / AM EXP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20009378"/>
    <s v="D"/>
    <d v="2022-03-16T00:00:00"/>
    <n v="22022001174"/>
    <s v="2022 10 2412 22199"/>
    <n v="151.25"/>
    <x v="247"/>
    <s v="SUMINISTRO DE  ASPIRADOR INOX SOL/LIQU 30 LTS PARA EL  CURSO VALLADOLID CUIDA V DEL C. DE F. PARA EL EMP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74"/>
    <s v="D"/>
    <d v="2022-03-16T00:00:00"/>
    <n v="22022001172"/>
    <s v="2022 10 2412 22199"/>
    <n v="109.81"/>
    <x v="247"/>
    <s v="SUMINISTRO DE MATERIALES, BRIDAS...PARA EL CURSO DE PARQUES Y JARDINESIII DEL C. DE F. PARA EL EMPLEO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76"/>
    <s v="D"/>
    <d v="2022-03-16T00:00:00"/>
    <n v="22022001173"/>
    <s v="2022 10 2412 22199"/>
    <n v="105.32"/>
    <x v="247"/>
    <s v="SUMINISTRO DE TRIPODE BOSCH,ELEVADOR DE CARGA PARA EL  CURSO PINTURA DECORATIVA IV DEL C. DE F. PARA EL EMP- DURAC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919"/>
    <s v="AD"/>
    <d v="2022-01-01T00:00:00"/>
    <n v="22022000115"/>
    <s v="2022 06 2315 22100"/>
    <n v="3500"/>
    <x v="5"/>
    <s v="PR-SE 13/2021. NUEVO CONTRATO SUMINISTRO ENERGÍA ELÉCTRICA AYUNTAMIENTO DE VALLADOLID. CENTRO MUNICIPAL DE LA IGUALDAD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0"/>
  </r>
  <r>
    <n v="220220004231"/>
    <s v="D"/>
    <d v="2022-02-18T00:00:00"/>
    <n v="22022000043"/>
    <s v="2022 11 1631 22104"/>
    <n v="73.75"/>
    <x v="247"/>
    <s v="AC MARCO EXP V36/2017: SUMINISTRO BOTAS DE GOMA PARA PERSONAL D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20003723"/>
    <s v="D"/>
    <d v="2022-02-16T00:00:00"/>
    <n v="22022001169"/>
    <s v="2022 10 2412 212"/>
    <n v="70.03"/>
    <x v="247"/>
    <s v="SUMINISTRO DE PLACA MATRÍCULA  ,CINTA ADHESIVA,SEÑAL SALIDA PUERTA PARA EL CENTRO DE FORMACION PARA ELEMPLEO- DURA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3832"/>
    <s v="D"/>
    <d v="2022-02-16T00:00:00"/>
    <n v="22022001641"/>
    <s v="2022 06 3232 212"/>
    <n v="66.540000000000006"/>
    <x v="247"/>
    <s v="ALB: 05544 / REMACHE 4,8 x 21 BRALO (80)- (CP MIGUEL DELIBES) /// ALB: 05168 / DISCO WIDIO 230 mm (1)-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505"/>
    <s v="D"/>
    <d v="2022-03-16T00:00:00"/>
    <n v="22022001449"/>
    <s v="2022 02 9332 212"/>
    <n v="50.58"/>
    <x v="247"/>
    <s v="ALBARAN: AV22/00442 de 27/01/2022 ////// HOJA SIERRA SABLE (4 UNIDADES) ////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670"/>
    <s v="D"/>
    <d v="2022-02-22T00:00:00"/>
    <n v="22022001169"/>
    <s v="2022 10 2412 212"/>
    <n v="36.299999999999997"/>
    <x v="247"/>
    <s v="MANTENIMIENTO, SUMINISTRO DE TERMOVENTILADOR CERAMICOPARA EL   C. DE F. PARA EL EMPLEO - JACINTO BENAVENTE- DUR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8549"/>
    <s v="D"/>
    <d v="2022-03-11T00:00:00"/>
    <n v="22022001628"/>
    <s v="2022 03 9241 213"/>
    <n v="13.38"/>
    <x v="247"/>
    <s v="ALBARAN: AV22/00903 de 16/02/2022 / TORNILLO  / TUERCA HEX / ARANDELA / BROCA /// DESTINO: 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4251"/>
    <s v="D"/>
    <d v="2022-02-18T00:00:00"/>
    <n v="22022001184"/>
    <s v="2022 10 2312 212"/>
    <n v="12.58"/>
    <x v="247"/>
    <s v="MANTENIMIENTO, SUMINISTRO DE  ANCLAJE INDEMOLL CON TORNILLO 4*32  (50 UNID.) //// UBICACION: CPM ZONA SUR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2430"/>
    <s v="D"/>
    <d v="2022-02-02T00:00:00"/>
    <n v="22022001169"/>
    <s v="2022 10 2412 212"/>
    <n v="10.38"/>
    <x v="247"/>
    <s v="SUMINISTRO DE  BLISTER PILAS // CENTRO FORMAC. JACINTO BENAVENTE- DURACION 1 DIA- A. M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2432"/>
    <s v="D"/>
    <d v="2022-02-02T00:00:00"/>
    <n v="22022001174"/>
    <s v="2022 10 2412 22199"/>
    <n v="6.41"/>
    <x v="247"/>
    <s v="SUMINISTRO DE PILA LITIO ENERGIZERPARA EL C. DE  FORMACIÓN PARA EL EMPLEO, CURSO VALLADOLID CUIDA V- DUR1 DIA- A.M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743"/>
    <s v="AD"/>
    <d v="2022-01-01T00:00:00"/>
    <n v="22022001804"/>
    <s v="2022 05 4331 22799"/>
    <n v="9225.2800000000007"/>
    <x v="195"/>
    <s v="Servicios de asistencia técnica, mantenimiento y soporte del Comp 1 Sistema inteligente de Gestión de TSM. S2CITY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1598"/>
    <s v="AD"/>
    <d v="2022-01-26T00:00:00"/>
    <n v="22022001276"/>
    <s v="2022 06 3321 22001"/>
    <n v="395"/>
    <x v="248"/>
    <s v="5 SUSCRIPCIÓNES DE LA REVISTA PRIMICIAS NEWS,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849"/>
    <s v="AD"/>
    <d v="2022-01-01T00:00:00"/>
    <n v="22022000604"/>
    <s v="2022 10 2311 22799"/>
    <n v="32175"/>
    <x v="25"/>
    <s v="AMPLIACION DEL CONTRATO DE PROYECTOS SOCIOEDUCATIVOS Y DESARROLLO COMUNITARIO EN CEAS- DE 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647"/>
    <s v="AD"/>
    <d v="2022-01-01T00:00:00"/>
    <n v="22022000223"/>
    <s v="2022 10 2311 22799"/>
    <n v="8655"/>
    <x v="25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2290"/>
    <s v="AD"/>
    <d v="2022-02-01T00:00:00"/>
    <n v="22022001794"/>
    <s v="2022 11 1321 22199"/>
    <n v="289"/>
    <x v="249"/>
    <s v="ADQUISICIÓN DE FROGÓRIFICO PARA DEPENDENCIAS DEL DEPÓSITO DE VEHÍCULOS DE EL PER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499"/>
    <s v="AD"/>
    <d v="2022-02-14T00:00:00"/>
    <n v="22022002231"/>
    <s v="2022 11 1321 22199"/>
    <n v="108.9"/>
    <x v="249"/>
    <s v="SUMINISTRO DE NÚMEROS PROFESIONALES Y DISTINTIVOS PARA LA POLICÍ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446"/>
    <s v="AD"/>
    <d v="2022-02-11T00:00:00"/>
    <n v="22022002121"/>
    <s v="2022 03 9241 22199"/>
    <n v="40"/>
    <x v="249"/>
    <s v="TARJETA BONO REGALO PREMIO ACTIVIDADES DEPORTIVA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20003447"/>
    <s v="AD"/>
    <d v="2022-02-11T00:00:00"/>
    <n v="22022002066"/>
    <s v="2022 03 9241 635"/>
    <n v="553.9"/>
    <x v="249"/>
    <s v="SUMINISTRO DE MESA DE PING PONG PARA CIC SEGUNDO MONTES"/>
    <s v="220"/>
    <s v="VALLADOLID"/>
    <s v="VALLADOL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5"/>
  </r>
  <r>
    <n v="220220000116"/>
    <s v="AD"/>
    <d v="2022-01-20T00:00:00"/>
    <n v="22022001084"/>
    <s v="2022 01 9207 22001"/>
    <n v="2152.84"/>
    <x v="250"/>
    <s v="ADJUDICA RENOVACIÓN SUSCRIPCIONES A EL MUNDO AÑO 2022 - MEDIOS DE COMUNICACIÓN Y GOBIERNO Y RELACIONES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778"/>
    <s v="AD"/>
    <d v="2022-01-01T00:00:00"/>
    <n v="22022000598"/>
    <s v="2022 10 2316 22799"/>
    <n v="4000"/>
    <x v="25"/>
    <s v="Talleres de  sensibilización intercultural en CEAS y colegios. De enero a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6687"/>
    <s v="AD"/>
    <d v="2022-02-25T00:00:00"/>
    <n v="22022001180"/>
    <s v="2022 04 9321 22602"/>
    <n v="5500"/>
    <x v="251"/>
    <s v="INSERCIONES PUBLICITARIAS EN MATERIA TRIBUTARIA PARA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0033086"/>
    <s v="AD"/>
    <d v="2022-02-28T00:00:00"/>
    <n v="22021002765"/>
    <s v="2022 08 1532 619"/>
    <n v="81605.31"/>
    <x v="4"/>
    <s v="Obras de Urbanización de la calle NUEVA DEL CARMEN.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2268"/>
    <s v="AD"/>
    <d v="2022-01-31T00:00:00"/>
    <n v="22022001778"/>
    <s v="2022 02 9332 212"/>
    <n v="191.99"/>
    <x v="252"/>
    <s v="SUMINISTROS PARA REPARACIÓN DE SISTEMA DE APERTURA MOTORIZADA EN DIVERSAS VELUX _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0080"/>
    <s v="AD"/>
    <d v="2022-01-19T00:00:00"/>
    <n v="22022001156"/>
    <s v="2022 11 1621 214"/>
    <n v="3000"/>
    <x v="253"/>
    <s v="SUMINISTROS RE REPUESTOS ELECTRÓNICOS PARA LA REPARACION EQUIPOS RECOLECTORES DE VEHÍCULOS DEL Sº LIMPIEZA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985"/>
    <s v="AD"/>
    <d v="2022-01-01T00:00:00"/>
    <n v="22022000625"/>
    <s v="2022 10 2316 22799"/>
    <n v="4000"/>
    <x v="25"/>
    <s v="Talleres de sensibilización en materia de convivencia intercultural de enero a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8277"/>
    <s v="AD"/>
    <d v="2022-03-10T00:00:00"/>
    <n v="22022002701"/>
    <s v="2022 01 9207 22602"/>
    <n v="4114"/>
    <x v="251"/>
    <s v="ADJUDICA PUBLICIDAD Y COLABORACIÓN PUBLICACIÓN &quot;&quot;EL MUNICIPALISMO. LA HISTORIA DE LOS MUNICIPIOS DE CyL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6910"/>
    <s v="AD"/>
    <d v="2022-03-02T00:00:00"/>
    <n v="22022002355"/>
    <s v="2022 01 9203 213"/>
    <n v="6479.55"/>
    <x v="254"/>
    <s v="MANTENIMIENTO RELOJ TORREON CASA CONSISTORIA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1"/>
    <s v="213"/>
  </r>
  <r>
    <n v="220220010302"/>
    <s v="AD"/>
    <d v="2022-03-21T00:00:00"/>
    <n v="22022002721"/>
    <s v="2022 01 9207 22602"/>
    <n v="605"/>
    <x v="251"/>
    <s v="ADJUDICA DIFUSIÓN DIGITAL BANDO ALCALDÍA SOBRE INVASIÓN DE UCRANIA (funcionamiento ayuda solidaria)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19001172"/>
    <s v="AD"/>
    <d v="2022-01-01T00:00:00"/>
    <n v="22022000305"/>
    <s v="2022 09 4321 22799"/>
    <n v="27225"/>
    <x v="255"/>
    <s v="CONTRATO SERVICIO PLANIFICACION, GESTION PATROCINIOS, COLABORACION EVENTOS INTERES TURISTICO CULTURAL VALLADOLID 2022-23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19000691"/>
    <s v="AD"/>
    <d v="2022-01-01T00:00:00"/>
    <n v="22022002217"/>
    <s v="2022 02 1511 609"/>
    <n v="34808"/>
    <x v="256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20003949"/>
    <s v="AD"/>
    <d v="2022-02-17T00:00:00"/>
    <n v="22022002253"/>
    <s v="2022 08 1532 622"/>
    <n v="3290.37"/>
    <x v="256"/>
    <s v="Ensayos Control Calidad, LOTE 1 obra Traslado Instalaciones del SEPI,  Expte 30/2021  SEMEU Lote 1 EDIFICACIÓN."/>
    <s v="220"/>
    <s v="VALLADOLID"/>
    <s v="VALLADOLID"/>
    <x v="1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2"/>
    <s v="622"/>
  </r>
  <r>
    <n v="220220003950"/>
    <s v="AD"/>
    <d v="2022-02-17T00:00:00"/>
    <n v="22022002254"/>
    <s v="2022 08 1532 609"/>
    <n v="4116.42"/>
    <x v="256"/>
    <s v="Ensayos Control Calidad LOTE 2 URBANIZACION EXTERIOR  Traslado Instalaciones del SEPI. Expte 30/2021 SEMEU.-"/>
    <s v="220"/>
    <s v="VALLADOLID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0"/>
    <s v="609"/>
  </r>
  <r>
    <n v="220220005200"/>
    <s v="AD"/>
    <d v="2022-02-22T00:00:00"/>
    <n v="22022002163"/>
    <s v="2022 07 1721 213"/>
    <n v="3000"/>
    <x v="257"/>
    <s v="SUSTITUCIÓN DE ELEMENTOS POR AVERÍA EN LAS INSTALACIONES FOTOVOLTAICAS MUNICIPALES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292"/>
    <s v="AD"/>
    <d v="2022-02-10T00:00:00"/>
    <n v="22022001462"/>
    <s v="2022 09 4321 22799"/>
    <n v="3811.5"/>
    <x v="255"/>
    <s v="PRÓRROGA CONTRATO GESTIÓN DE LAS PANTALLAS DE GRAN FORMATO UBICADAS EN LA CIUDAD DE VALLADOLID 74/2017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20000371"/>
    <s v="AD"/>
    <d v="2022-01-24T00:00:00"/>
    <n v="22022001541"/>
    <s v="2022 11 1321 213"/>
    <n v="2000"/>
    <x v="257"/>
    <s v="ACCIONES DE CONSERVACIÓN DE INSTALACIONES DE CLIMATIZACIÓN EN DEPENDENCIAS DE POLICÍA MUNICIPAL ENERO Y FEBRERO DE 2022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5213"/>
    <s v="AD"/>
    <d v="2022-02-22T00:00:00"/>
    <n v="22022002264"/>
    <s v="2022 03 9241 213"/>
    <n v="1078.1099999999999"/>
    <x v="257"/>
    <s v="MANTENIMIENTO DE GRUPOS ELECTRÓGENOS DEPENDIENTES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10687"/>
    <s v="AD"/>
    <d v="2022-03-22T00:00:00"/>
    <n v="22022002979"/>
    <s v="2022 11 1321 213"/>
    <n v="1050"/>
    <x v="257"/>
    <s v="ACCIONES DE CONSERVACIÓN DE INSTALACIONES DE CLIMATIZACIÓN DE POLICÍA MUNICIPAL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245"/>
    <s v="AD"/>
    <d v="2022-01-01T00:00:00"/>
    <n v="22022000428"/>
    <s v="2022 03 9241 213"/>
    <n v="1078.1099999999999"/>
    <x v="258"/>
    <s v="MANTENIMIENTO DE GRUPOS ELECTRÓGENOS EN EDIFICIOS DEPENDIENTES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189000656"/>
    <s v="AD"/>
    <d v="2022-01-01T00:00:00"/>
    <n v="22022000152"/>
    <s v="2022 09 4321 22799"/>
    <n v="1171.76"/>
    <x v="255"/>
    <s v="CONTRATO SERVICIOS GESTION PANTALLAS DE GRAN FORMATO UBICADAS EN LA CIUDAD DE VALLADOLID. REAJUSTE ANUALIDADES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09000833"/>
    <s v="AD"/>
    <d v="2022-01-01T00:00:00"/>
    <n v="22022002102"/>
    <s v="2022 04 9204 641"/>
    <n v="78992.62"/>
    <x v="112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212"/>
    <s v="AD/"/>
    <d v="2022-02-22T00:00:00"/>
    <n v="22022000428"/>
    <s v="2022 03 9241 213"/>
    <n v="-1078.1099999999999"/>
    <x v="258"/>
    <s v="ANULAR POR CAMBIO CIF//MTO. GRUPOS ELECTRÓGENOS EN EDIFICIOS DEP.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8623"/>
    <s v="AD"/>
    <d v="2022-03-11T00:00:00"/>
    <n v="22021000743"/>
    <s v="2022 04 9204 641"/>
    <n v="66677.820000000007"/>
    <x v="112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011"/>
    <s v="AD"/>
    <d v="2022-01-01T00:00:00"/>
    <n v="22022000168"/>
    <s v="2022 10 2313 22799"/>
    <n v="30000"/>
    <x v="112"/>
    <s v="SERVICIO DE MANTENIMIENTO DE LA APLICACION INFORMATICA PRESTAVA, AÑOS 2021 Y 2022"/>
    <s v="220"/>
    <s v="BOECILLO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2"/>
    <s v="22799"/>
  </r>
  <r>
    <n v="220220002540"/>
    <s v="AD"/>
    <d v="2022-02-04T00:00:00"/>
    <n v="22022001852"/>
    <s v="2022 07 1721 22799"/>
    <n v="821"/>
    <x v="7"/>
    <s v="INSTALACIÓN DE SONÓMETROS DE INTEMPERIE EN ZONA CENTRO DE LA CIUDAD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09000826"/>
    <s v="AD"/>
    <d v="2022-03-11T00:00:00"/>
    <n v="22021001164"/>
    <s v="2022 04 9204 641"/>
    <n v="21670.01"/>
    <x v="112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1602"/>
    <s v="AD"/>
    <d v="2022-01-26T00:00:00"/>
    <n v="22022001366"/>
    <s v="2022 10 2412 22100"/>
    <n v="2930.88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2533"/>
    <s v="AD"/>
    <d v="2022-02-03T00:00:00"/>
    <n v="22022001802"/>
    <s v="2022 03 9241 213"/>
    <n v="886.03"/>
    <x v="259"/>
    <s v="SUMINISTRO E INSTALACIÓN DE LÍNEAS DE ALIMENTACIÓN MÁQUINAS AACC EN CIC SANTIAGO LÓPEZ"/>
    <s v="220"/>
    <s v="MEDINA DEL CAMPO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0031504"/>
    <s v="AD"/>
    <d v="2022-02-28T00:00:00"/>
    <n v="22021004793"/>
    <s v="2022 02 9332 632"/>
    <n v="1016.41"/>
    <x v="259"/>
    <s v="OBRAS REFORMQ INSTALACIÓN ELÉCTRICA ARCHIVO MUNICIPAL"/>
    <s v="220"/>
    <s v="MEDINA DEL CAMPO"/>
    <s v="VALLADOLID"/>
    <x v="1"/>
    <s v="AdDirec - Adjudicación Directa"/>
    <s v="MultiC - MultiCriterio"/>
    <x v="2"/>
    <x v="0"/>
    <s v="6"/>
    <s v="6. Inversiones reales"/>
    <s v="02"/>
    <x v="7"/>
    <s v="9332"/>
    <s v="9332. Mantenimiento de edificios e instalaciones municipales"/>
    <s v="63"/>
    <s v="632"/>
  </r>
  <r>
    <n v="220220012362"/>
    <s v="AD"/>
    <d v="2022-03-23T00:00:00"/>
    <n v="22022002977"/>
    <s v="2022 09 4321 213"/>
    <n v="871.2"/>
    <x v="260"/>
    <s v="REPARACION BOMBA DE ACHIQUE EN TERRENOS DE LA ANTIGUA HIPICA MILITAR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4321"/>
    <s v="4321. Turismo"/>
    <s v="21"/>
    <s v="213"/>
  </r>
  <r>
    <n v="220220007948"/>
    <s v="AD"/>
    <d v="2022-03-08T00:00:00"/>
    <n v="22022002624"/>
    <s v="2022 11 1621 212"/>
    <n v="502.15"/>
    <x v="260"/>
    <s v="TRABAJOS DE ILUMINACIÓN DE ENTRADA AL TALLER Y ALUMBRADO DE TABLEROS DE ANUNCIOS,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09000827"/>
    <s v="AD"/>
    <d v="2022-01-01T00:00:00"/>
    <n v="22022002101"/>
    <s v="2022 04 9204 641"/>
    <n v="0.02"/>
    <x v="112"/>
    <s v="SERVICIO DE SOPORTE AL DESARROLLO Y OFICINA DE CALIDAD DEL AYUNTAMIENTO DE VALLADOLID, LOTE 1 COMPLEMENTARIO REAJUSTE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8276"/>
    <s v="AD"/>
    <d v="2022-03-10T00:00:00"/>
    <n v="22022002689"/>
    <s v="2022 07 1721 633"/>
    <n v="3000.8"/>
    <x v="260"/>
    <s v="SUMINISTRO E INSTALACIÓN DE UN CARGADOR ELÉCTRICO EN EL EDIFICIO CASA DEL BARCO. SERVICIO MEDIO AMBIENTE"/>
    <s v="220"/>
    <s v="VALLADOLID"/>
    <s v="VALLADOLID"/>
    <x v="0"/>
    <s v="AdDirec - Adjudicación Directa"/>
    <s v="SinC - Sin Criterio"/>
    <x v="2"/>
    <x v="0"/>
    <s v="6"/>
    <s v="6. Inversiones reales"/>
    <s v="07"/>
    <x v="4"/>
    <s v="1721"/>
    <s v="1721. Protección del medio ambiente"/>
    <s v="63"/>
    <s v="633"/>
  </r>
  <r>
    <n v="220220005934"/>
    <s v="AD"/>
    <d v="2022-02-24T00:00:00"/>
    <n v="22022002405"/>
    <s v="2022 07 1721 22112"/>
    <n v="3565.75"/>
    <x v="261"/>
    <s v="REVISIONES DE LOS FILTROS DE CAMPANA DEL LABORATORIO Y MATERIAL PARA LA MISMA. SERVICIO MEDIO AMBIENTE"/>
    <s v="220"/>
    <s v="LAGUNA DE DUERO"/>
    <s v="VALLADOL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5933"/>
    <s v="AD"/>
    <d v="2022-02-24T00:00:00"/>
    <n v="22022002404"/>
    <s v="2022 07 1721 213"/>
    <n v="471.9"/>
    <x v="261"/>
    <s v="MANTENIMIENTO DE  LA VITRINA DE GASES Y ARMARIO DE SEGURIDAD DEL LABORATORIO DE MASAS. SERVICIO MEDIO AMBIENTE"/>
    <s v="220"/>
    <s v="LAGUNA DE DUERO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106"/>
    <s v="AD"/>
    <d v="2022-02-09T00:00:00"/>
    <n v="22022001964"/>
    <s v="2022 11 1361 22199"/>
    <n v="296.60000000000002"/>
    <x v="262"/>
    <s v="Dos mochilas para material de cerrajería; Servicio de Extinción de Incendios, Salvamento y Protección Civil."/>
    <s v="220"/>
    <s v="AGOST"/>
    <s v="ALICANTE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1192"/>
    <s v="AD"/>
    <d v="2022-01-01T00:00:00"/>
    <n v="22022000535"/>
    <s v="2022 04 9231 22799"/>
    <n v="48565"/>
    <x v="263"/>
    <s v="PRORROGA CONTRATO IMPRESION, PLEGADO Y ENSOBRADO DE ENVIOS POSTALES AÑOS 2022-2023 (SE39/2019)"/>
    <s v="220"/>
    <s v="MALAGA"/>
    <s v="MALAGA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09000038"/>
    <s v="AD"/>
    <d v="2022-01-01T00:00:00"/>
    <n v="22022000170"/>
    <s v="2022 04 9231 22799"/>
    <n v="10083.33"/>
    <x v="263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10037246"/>
    <s v="AD"/>
    <d v="2022-02-28T00:00:00"/>
    <n v="22021002927"/>
    <s v="2022 10 2312 632"/>
    <n v="505.85"/>
    <x v="264"/>
    <s v="contratación obra: cubierta CPM LA VICTORIA- GARSAN"/>
    <s v="220"/>
    <s v="BURGOS"/>
    <s v="BURGOS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3"/>
    <s v="632"/>
  </r>
  <r>
    <n v="220220007930"/>
    <s v="AD"/>
    <d v="2022-03-07T00:00:00"/>
    <n v="22022002600"/>
    <s v="2022 02 9332 212"/>
    <n v="1848.88"/>
    <x v="265"/>
    <s v="REPARACION FUGAS EN INSTALACION CALEFACCION EDIFICIO SAN BENITO"/>
    <s v="220"/>
    <s v="VALLADOLID"/>
    <s v="VALLADOLID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3114"/>
    <s v="ADO"/>
    <d v="2022-02-09T00:00:00"/>
    <n v="22022001679"/>
    <s v="2022 10 2311 632"/>
    <n v="712.75"/>
    <x v="212"/>
    <s v="F-543. SANCHEZ ROMERA. REFORMA VIVIENDA C/ GUARDERÍA, 6: SUMINISTRO Y COLOCACIÓN DE INODORO Y MAMPARA DIC.21"/>
    <s v="24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02201"/>
    <s v="AD"/>
    <d v="2022-01-31T00:00:00"/>
    <n v="22022001633"/>
    <s v="2022 06 2315 22611"/>
    <n v="2600"/>
    <x v="266"/>
    <s v="TALLERES DE ACTIVIDADES A EJECUTAR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9338"/>
    <s v="AD"/>
    <d v="2022-03-16T00:00:00"/>
    <n v="22022002299"/>
    <s v="2022 06 2315 22611"/>
    <n v="330"/>
    <x v="266"/>
    <s v="COLABORACIÓN Y ACTUACIÓN DE TRÍO MUSICAL CON MOTIVO DEL ACTO DEL DÍA INTERNACIONAL DE LA MUJER EL 8 DE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13430"/>
    <s v="AD"/>
    <d v="2022-03-31T00:00:00"/>
    <n v="22022003092"/>
    <s v="2022 06 3231 22699"/>
    <n v="220"/>
    <x v="267"/>
    <s v="TRASLADO ALUMNOS EIM MAFALDA Y GUILLE AL MUSEO DE LA CIENCIA: PROYECCIÓN EN EL PLANETARIO &quot;&quot;LOS SONIDOS DEL BOSQUE&quot;&quot; 6/4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09000285"/>
    <s v="AD"/>
    <d v="2022-01-01T00:00:00"/>
    <n v="22022000182"/>
    <s v="2022 11 1631 22700"/>
    <n v="28788.38"/>
    <x v="268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20012644"/>
    <s v="D"/>
    <d v="2022-03-24T00:00:00"/>
    <n v="22022001455"/>
    <s v="2022 11 1321 213"/>
    <n v="1999.84"/>
    <x v="269"/>
    <s v="ACUERDO  MARCO. AURICULARES INALÁMBRICOS PERSONAL CENTRO DE OPERACIONES, PILAS, ETC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4143"/>
    <s v="D"/>
    <d v="2022-02-18T00:00:00"/>
    <n v="22022001456"/>
    <s v="2022 11 1321 22199"/>
    <n v="927.5"/>
    <x v="269"/>
    <s v="Suministro Destructora Fellowes 225CI Corte en Particulas ///  DESTINO: POLICIA MUNICIPAL DISTRITO 3º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322"/>
    <s v="D"/>
    <d v="2022-03-11T00:00:00"/>
    <n v="22022001623"/>
    <s v="2022 11 1361 22199"/>
    <n v="771.98"/>
    <x v="269"/>
    <s v="Lona PVC 1000x1000 Amarillo (10 UNIDADES) ///  Lona PVC 3000x1000 Naranja (10 UNIDADES) /// DESTINO 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3580"/>
    <s v="D"/>
    <d v="2022-02-15T00:00:00"/>
    <n v="22022001628"/>
    <s v="2022 03 9241 213"/>
    <n v="470.61"/>
    <x v="269"/>
    <s v="INTERRUPTOR AUTOMÁTICO (C.S. SANTIAGO LÓPEZ) // LINTERNA RECARGABLE/ DICROICA LED/ CARGADOR ALIMENTADOR (CC V. ESCUDERO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5762"/>
    <s v="D"/>
    <d v="2022-02-22T00:00:00"/>
    <n v="22022001628"/>
    <s v="2022 03 9241 213"/>
    <n v="319.14999999999998"/>
    <x v="269"/>
    <s v="PROYECTOR IP65 50W NEGRO 4000LM 4000K (6 UNIDADES) //// FOCO CARRIL (6 UNIDADES) /// DESTINO: CC BAILARIN V.E.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1751"/>
    <s v="D"/>
    <d v="2022-01-27T00:00:00"/>
    <n v="22022001636"/>
    <s v="2022 07 1711 213"/>
    <n v="130.03"/>
    <x v="270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753"/>
    <s v="D"/>
    <d v="2022-01-27T00:00:00"/>
    <n v="22022001636"/>
    <s v="2022 07 1711 213"/>
    <n v="743.53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758"/>
    <s v="D"/>
    <d v="2022-01-27T00:00:00"/>
    <n v="22022001640"/>
    <s v="2022 06 3231 212"/>
    <n v="27.35"/>
    <x v="270"/>
    <s v="CERRADURA MCM / PINTURA SPRAY FAREN RAL 9010 400ML BLANCO BRILLO // EI MAFALDA Y GUILLE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1760"/>
    <s v="D"/>
    <d v="2022-01-27T00:00:00"/>
    <n v="22022001640"/>
    <s v="2022 06 3231 212"/>
    <n v="6.22"/>
    <x v="270"/>
    <s v="PASADOR ALMA CRUZ 250 9016 BLANCO // E.I.M. FANTASÍA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1767"/>
    <s v="D"/>
    <d v="2022-01-27T00:00:00"/>
    <n v="22022001641"/>
    <s v="2022 06 3232 212"/>
    <n v="91.61"/>
    <x v="270"/>
    <s v="CARTEL PLAST. (CP G. QUINTANA) / SIKAFLEX MASILLA (CP T. GALVÁN) / BROCAS COBALTO 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58"/>
    <s v="D"/>
    <d v="2022-02-02T00:00:00"/>
    <n v="22022001641"/>
    <s v="2022 06 3232 212"/>
    <n v="398.07"/>
    <x v="270"/>
    <s v="MATERIALES // CEIP PARQUE ALAMEDA/ CP JOSE ZORRILLA/ CP F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6"/>
    <s v="D"/>
    <d v="2022-02-02T00:00:00"/>
    <n v="22022001626"/>
    <s v="2022 03 9241 212"/>
    <n v="352.12"/>
    <x v="270"/>
    <s v="EGAÑA AMORT. / MANGUITO / TOPE RET.-INOFIX / LLAVES MEC.ACERO // DESTINO CC: B.V.ESCUD. - JOSE L.MOSQ.-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2482"/>
    <s v="D"/>
    <d v="2022-02-02T00:00:00"/>
    <n v="22022001636"/>
    <s v="2022 07 1711 213"/>
    <n v="1710.4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84"/>
    <s v="D"/>
    <d v="2022-02-02T00:00:00"/>
    <n v="22022001636"/>
    <s v="2022 07 1711 213"/>
    <n v="71.81"/>
    <x v="270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658"/>
    <s v="ADO"/>
    <d v="2022-01-27T00:00:00"/>
    <n v="22022001494"/>
    <s v="2022 04 9202 213"/>
    <n v="256.43"/>
    <x v="43"/>
    <s v="COPIAS (COLOR:2.401-NE:17.453)/ RFC9Y20759 FC011338 / 01-10-21 A 29-12-21 / CASA CONSIST. GESTION PERSONAL 3ª PLTA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20003192"/>
    <s v="D"/>
    <d v="2022-02-09T00:00:00"/>
    <n v="22022001641"/>
    <s v="2022 06 3232 212"/>
    <n v="9.17"/>
    <x v="270"/>
    <s v="Nº ORDEN: 29519 / ADHESIVO MONTAJE SOUDAL T-REX 290ML CRISTAL POWER /// DESTINO: CP GARCIA QUINTAN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259"/>
    <s v="D"/>
    <d v="2022-02-09T00:00:00"/>
    <n v="22022001636"/>
    <s v="2022 07 1711 213"/>
    <n v="574.75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562"/>
    <s v="D"/>
    <d v="2022-02-15T00:00:00"/>
    <n v="22022001641"/>
    <s v="2022 06 3232 212"/>
    <n v="413.03"/>
    <x v="270"/>
    <s v="MATERIALES PARA COLEGIOS/ CP FRANCISCO PINO/ CP PONCE DE LEÓN/ CP ISABEL LA CATÓ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578"/>
    <s v="D"/>
    <d v="2022-02-15T00:00:00"/>
    <n v="22022001626"/>
    <s v="2022 03 9241 212"/>
    <n v="40.43"/>
    <x v="270"/>
    <s v="ORDEN: 30189 / CERRADURA (CC RONDILLA) / ORDEN: 30266 / MANILLA (CC C.CUNA) / ORDEN:30345 / CADENA (10) (CC BAILARIN V.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802"/>
    <s v="D"/>
    <d v="2022-02-16T00:00:00"/>
    <n v="22022001636"/>
    <s v="2022 07 1711 213"/>
    <n v="683.7"/>
    <x v="270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804"/>
    <s v="D"/>
    <d v="2022-02-16T00:00:00"/>
    <n v="22022001636"/>
    <s v="2022 07 1711 213"/>
    <n v="724.79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4194"/>
    <s v="D"/>
    <d v="2022-02-18T00:00:00"/>
    <n v="22022000030"/>
    <s v="2022 11 1621 22199"/>
    <n v="23.52"/>
    <x v="270"/>
    <s v="AC MARCO EXP V36/2017: SUMINISTROS VARIOS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5530"/>
    <s v="D"/>
    <d v="2022-02-22T00:00:00"/>
    <n v="22022001178"/>
    <s v="2022 10 2311 212"/>
    <n v="11.39"/>
    <x v="270"/>
    <s v="F-841. EXCLUSIVAS MAOR, S.L. CERRADURA MCM. CEAS BARRIO ESPAÑ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6791"/>
    <s v="D"/>
    <d v="2022-03-02T00:00:00"/>
    <n v="22022001650"/>
    <s v="2022 11 3111 22199"/>
    <n v="15.34"/>
    <x v="270"/>
    <s v="A.M. SUMINISTROS V.36/2017 :. Nº ORDEN: 29621 //// CIERRA.JUSTOR BRAZO Nº56 BLANCO (1) //// CMP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6795"/>
    <s v="D"/>
    <d v="2022-03-02T00:00:00"/>
    <n v="22022001626"/>
    <s v="2022 03 9241 212"/>
    <n v="606.62"/>
    <x v="270"/>
    <s v="Nº ORDEN: 0029162 / PERFIL ARANIA 35x35MM / BANDEJA ARANIA  800x300 GRIS / DESTINO: CIC CONDE ANSUREZ-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6844"/>
    <s v="D"/>
    <d v="2022-03-02T00:00:00"/>
    <n v="22022001641"/>
    <s v="2022 06 3232 212"/>
    <n v="146.91"/>
    <x v="270"/>
    <s v="SUMINISTRO DE REPUESTOS /// DESTINO: COLEGIOS - CP PABLO PICASSO- CP CRIST. COLON- CP ANTONIO Gª QUINTAN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56"/>
    <s v="D"/>
    <d v="2022-03-02T00:00:00"/>
    <n v="22022001636"/>
    <s v="2022 07 1711 213"/>
    <n v="582.03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58"/>
    <s v="D"/>
    <d v="2022-03-02T00:00:00"/>
    <n v="22022001636"/>
    <s v="2022 07 1711 213"/>
    <n v="70.069999999999993"/>
    <x v="270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7033"/>
    <s v="D"/>
    <d v="2022-03-03T00:00:00"/>
    <n v="22022001183"/>
    <s v="2022 10 2312 212"/>
    <n v="183.29"/>
    <x v="270"/>
    <s v="MANT. SUMINISTRO DE   ANTIP. TESA CIERRE 1910 908 VERDE (1) //// DESTINO: CPM PUENTE COLGANTE 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7065"/>
    <s v="D"/>
    <d v="2022-03-03T00:00:00"/>
    <n v="22022001552"/>
    <s v="2022 08 1532 210"/>
    <n v="87.23"/>
    <x v="270"/>
    <s v="Nº ORDEN: 30353- / BOMBILLO TESA (3 UD) ////  DESTINO: VIAS Y OB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485"/>
    <s v="D"/>
    <d v="2022-03-11T00:00:00"/>
    <n v="22022000030"/>
    <s v="2022 11 1621 22199"/>
    <n v="52.54"/>
    <x v="270"/>
    <s v="PETACA ADAP/CONTERA CUADRADA/MANILLA/MECANIZADO LLAVES/ADHESIVO ALUM(C/TREPADOR) AM EXP V36-2017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82"/>
    <s v="D"/>
    <d v="2022-03-11T00:00:00"/>
    <n v="22022001641"/>
    <s v="2022 06 3232 212"/>
    <n v="2052.8000000000002"/>
    <x v="270"/>
    <s v="CINTA ANTID,/ CHAPA INOX./ ANGULO INOX./ PLETINA INOX./ VARILLA INOX. (CP FCO QUEVEDO) // TUBO/ PLETINA 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41"/>
    <s v="D"/>
    <d v="2022-03-14T00:00:00"/>
    <n v="22022001626"/>
    <s v="2022 03 9241 212"/>
    <n v="289.31"/>
    <x v="270"/>
    <s v="MATERIAL PARA CIC CONDE ANSÚREZ/ CC DELICIAS/ C.M. PTE DUERO/ CC J.L.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368"/>
    <s v="D"/>
    <d v="2022-03-16T00:00:00"/>
    <n v="22022001178"/>
    <s v="2022 10 2311 212"/>
    <n v="236.03"/>
    <x v="270"/>
    <s v="F-2002. EXCLUSIVAS MAOR. BOMBILLO / COPIAS LLAVE MAESTRAS (CEAS BARRIO ESPAÑA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380"/>
    <s v="D"/>
    <d v="2022-03-16T00:00:00"/>
    <n v="22022001172"/>
    <s v="2022 10 2412 22199"/>
    <n v="6.05"/>
    <x v="270"/>
    <s v="SUMINISTRO DE COPIA LLAVE MAGNETICA CODIFICABLEPARA EL CURSO DE  PARQUES Y JARDINES III DEL C. DE F. EMP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82"/>
    <s v="D"/>
    <d v="2022-03-16T00:00:00"/>
    <n v="22022001173"/>
    <s v="2022 10 2412 22199"/>
    <n v="33.880000000000003"/>
    <x v="270"/>
    <s v="SUMINISTRO DE MANILLA SOAL CHAPARRO M9005 NEGRAPARA EL CURSO DE PINTURA DECORATIVA IV DEL C. DE F. EMPLEO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84"/>
    <s v="D"/>
    <d v="2022-03-16T00:00:00"/>
    <n v="22022001169"/>
    <s v="2022 10 2412 212"/>
    <n v="49.85"/>
    <x v="270"/>
    <s v="MANT. SUMINISTRO DE CERRADURA,TOPE MADERA , FILTRO ATOMIZADOR, LLAVES MECANIZADAS  PARA EL JACINTO BENAVENTE- DUR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9396"/>
    <s v="D"/>
    <d v="2022-03-16T00:00:00"/>
    <n v="22022001623"/>
    <s v="2022 11 1361 22199"/>
    <n v="9.8000000000000007"/>
    <x v="270"/>
    <s v="RIEGO CONECTOR CLABER GRIFO / ACEITE 3 EN 1 100ML LUBRICANTE DE CERRADURAS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441"/>
    <s v="D"/>
    <d v="2022-03-16T00:00:00"/>
    <n v="22022001636"/>
    <s v="2022 07 1711 213"/>
    <n v="1274.3499999999999"/>
    <x v="270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9443"/>
    <s v="D"/>
    <d v="2022-03-16T00:00:00"/>
    <n v="22022001636"/>
    <s v="2022 07 1711 213"/>
    <n v="61.54"/>
    <x v="270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9489"/>
    <s v="D"/>
    <d v="2022-03-16T00:00:00"/>
    <n v="22022001449"/>
    <s v="2022 02 9332 212"/>
    <n v="134.44"/>
    <x v="270"/>
    <s v="CERRAJERIA / TUBO INOX /// PILA DURACELL / CERRADURA TESA  // DESTINOS: ALMACEN Y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07"/>
    <s v="D"/>
    <d v="2022-03-16T00:00:00"/>
    <n v="22022001449"/>
    <s v="2022 02 9332 212"/>
    <n v="101.22"/>
    <x v="270"/>
    <s v="ELECTRODO RUTILO KANGAROO (260) / RUEDA (4) / DEST. POZIDRIV / DEST. PLANA /// 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17"/>
    <s v="D"/>
    <d v="2022-03-16T00:00:00"/>
    <n v="22022001449"/>
    <s v="2022 02 9332 212"/>
    <n v="858.65"/>
    <x v="270"/>
    <s v="CHAPA PERF. INOX (2)- UBICACION: RECINTO FERIAL //////  VARIOS - UBICACION: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38"/>
    <s v="D"/>
    <d v="2022-03-16T00:00:00"/>
    <n v="22022001449"/>
    <s v="2022 02 9332 212"/>
    <n v="16.79"/>
    <x v="270"/>
    <s v="Nº ALBARAN T22/338 DE 24/02/2022: REVISAR Nº OR: 1889 / MARCA: SENCO / MODELO: 125D (MANO DE OBRA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677"/>
    <s v="D"/>
    <d v="2022-03-16T00:00:00"/>
    <n v="22022001449"/>
    <s v="2022 02 9332 212"/>
    <n v="450.98"/>
    <x v="270"/>
    <s v="VARILLA INOX/ CHAPA INOX (TALLER) / PERNIO SOLDAR C/ RODAMIENTO/ PULBERIZADOR SPRAY (TALLER CERRAJERÍA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966"/>
    <s v="D"/>
    <d v="2022-03-18T00:00:00"/>
    <n v="22022001184"/>
    <s v="2022 10 2312 212"/>
    <n v="7.44"/>
    <x v="270"/>
    <s v="MANT. SUMINISTRO DE RUFETE PLETINA LATON ADH. 35 0,83 21014 BLISTER (CPM JOSE LUIS MOSQUERA)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702"/>
    <s v="D"/>
    <d v="2022-03-24T00:00:00"/>
    <n v="22022001626"/>
    <s v="2022 03 9241 212"/>
    <n v="29.25"/>
    <x v="270"/>
    <s v="CERRADURA MCM 1301 2-50-00 S/BOMBILLO / HEMBRILLA ABIERTA 22.120 ZINC 100 INDUS  / TACO FISCHER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742"/>
    <s v="D"/>
    <d v="2022-03-24T00:00:00"/>
    <n v="22022001449"/>
    <s v="2022 02 9332 212"/>
    <n v="572.37"/>
    <x v="270"/>
    <s v="SUMINISTRO DE MATERIALES PARA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3143"/>
    <s v="D"/>
    <d v="2022-03-29T00:00:00"/>
    <n v="22022001636"/>
    <s v="2022 07 1711 213"/>
    <n v="3283.12"/>
    <x v="270"/>
    <s v="REPARACIÓ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13145"/>
    <s v="D"/>
    <d v="2022-03-29T00:00:00"/>
    <n v="22022001636"/>
    <s v="2022 07 1711 213"/>
    <n v="54.3"/>
    <x v="270"/>
    <s v="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13158"/>
    <s v="D"/>
    <d v="2022-03-29T00:00:00"/>
    <n v="22022001641"/>
    <s v="2022 06 3232 212"/>
    <n v="1297.51"/>
    <x v="270"/>
    <s v="MATERIALES PARA EL MANTENIMIENTO DE COLEGIOS PÚBLIC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751"/>
    <s v="D"/>
    <d v="2022-03-02T00:00:00"/>
    <n v="22022001623"/>
    <s v="2022 11 1361 22199"/>
    <n v="158.27000000000001"/>
    <x v="270"/>
    <s v="BOMBILLO TESA SEGURIDAD CON 8 LLAVES/ BOMBILLO TESA 5200 35x35 LN CON 8 LLAVES // SERVICIO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25"/>
    <s v="D"/>
    <d v="2022-03-11T00:00:00"/>
    <n v="22022001623"/>
    <s v="2022 11 1361 22199"/>
    <n v="265.64"/>
    <x v="270"/>
    <s v="PERNIO SOLDAR / ACEITE / LLAVES MECANIZADAS/ BOMBILLO /// UBICACION: BOMBEROS - C/LAS ERA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152"/>
    <s v="D"/>
    <d v="2022-02-18T00:00:00"/>
    <n v="22022001453"/>
    <s v="2022 11 1321 214"/>
    <n v="59.56"/>
    <x v="271"/>
    <s v="ACUERDO MARCO. REPARACIÓN  VEHÍCULO NISSAN - MATRÍCULA 8075LJV DE POLICIA. : MANTENIMIENTO DE 1 AÑO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784"/>
    <s v="D"/>
    <d v="2022-03-02T00:00:00"/>
    <n v="22022000026"/>
    <s v="2022 11 1621 214"/>
    <n v="216.83"/>
    <x v="269"/>
    <s v="Sensor Onrom Inductivo Corto Enr. 15mm (4 UNIDADES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102"/>
    <s v="D"/>
    <d v="2022-03-29T00:00:00"/>
    <n v="22022001178"/>
    <s v="2022 10 2311 212"/>
    <n v="40.67"/>
    <x v="269"/>
    <s v="F-3059. ENERGINOBA. Proyector IP20 Keeper (2) / Lámpara Led PARATHOM PAR16 (2) VIV. C/ ORIOL, 7 BAJ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427"/>
    <s v="D"/>
    <d v="2022-03-16T00:00:00"/>
    <n v="22022001178"/>
    <s v="2022 10 2311 212"/>
    <n v="26.11"/>
    <x v="269"/>
    <s v="F-2035. ENERGINOBA BATERÍAS. REGLETA ESPEJO/ LÁMPARA LED STANDARD (2) VIVIENDA SOCIAL EN C/ CARMELO, 21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487"/>
    <s v="D"/>
    <d v="2022-03-16T00:00:00"/>
    <n v="22022001449"/>
    <s v="2022 02 9332 212"/>
    <n v="25.99"/>
    <x v="269"/>
    <s v="Pila alcalina Panasonic bronce LR06 AA blister 4 u (12 unidades) //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2699"/>
    <s v="D"/>
    <d v="2022-03-24T00:00:00"/>
    <n v="22022001628"/>
    <s v="2022 03 9241 213"/>
    <n v="23.46"/>
    <x v="269"/>
    <s v="Grapa de fijacion a techo para carril trifasico (10 uds) // CC JUAN DE AUSTRI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10032816"/>
    <s v="AD"/>
    <d v="2022-02-28T00:00:00"/>
    <n v="22021005005"/>
    <s v="2022 02 9332 632"/>
    <n v="933.97"/>
    <x v="269"/>
    <s v="SUMINISTRO MATERIAL AMPLIACIÓN ILUMINACION EXISTENTE DESPACHO ARCHIVO MUNICIPAL"/>
    <s v="220"/>
    <s v="VALLADOLID"/>
    <s v="VALLADOLID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20013277"/>
    <s v="ADO"/>
    <d v="2022-03-30T00:00:00"/>
    <n v="22022002929"/>
    <s v="2022 07 1623 22700"/>
    <n v="107870.66"/>
    <x v="52"/>
    <s v="PARTE DE CUOTA DE DICIEMBRE-21// Prestación Patrimonial Pub.no Tributario -Tratamiento de Residuos (Incl. Impto Elimin.)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9342"/>
    <s v="AD"/>
    <d v="2022-03-16T00:00:00"/>
    <n v="22022002645"/>
    <s v="2022 06 2315 22613"/>
    <n v="4000"/>
    <x v="272"/>
    <s v="SERVICIO DE GUARDERIA EN EL CENTRO MUNICIPAL DE LA IGUALDA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3"/>
  </r>
  <r>
    <n v="220220006312"/>
    <s v="ADO"/>
    <d v="2022-02-25T00:00:00"/>
    <n v="22022002372"/>
    <s v="2022 06 2315 22611"/>
    <n v="60.02"/>
    <x v="272"/>
    <s v="SERVICIO MONITOR/CUIDADOR DEL CENTRO MPAL DE IGUALDAD /// MES DE DICIEMBRE DE 2021"/>
    <s v="24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5820"/>
    <s v="AD"/>
    <d v="2022-02-23T00:00:00"/>
    <n v="22022000712"/>
    <s v="2022 07 1721 22799"/>
    <n v="20204.5"/>
    <x v="39"/>
    <s v="VS 18/18 PRÓRROGA CONTRATO SERVICIO CALIBRACIONES PARA EL SERVICIO DE MEDIO AMBIENTE. LOTE 1"/>
    <s v="220"/>
    <s v="LLANERA"/>
    <s v="ASTURIAS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0000064"/>
    <s v="AD"/>
    <d v="2022-01-19T00:00:00"/>
    <n v="22022000007"/>
    <s v="2022 07 1721 22799"/>
    <n v="3173.12"/>
    <x v="39"/>
    <s v="MODIFICACIÓN DE BASE DE DATOS Y MÓDULO SCAL DE LA RED DE CONTROL DE LA CONTAMINACIÓN ATMOSFÉRICA"/>
    <s v="220"/>
    <s v="LLANERA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5801"/>
    <s v="AD"/>
    <d v="2022-02-23T00:00:00"/>
    <n v="22022002392"/>
    <s v="2022 07 1721 22799"/>
    <n v="2662"/>
    <x v="39"/>
    <s v="REALIZACIÓN DEL MÓDULO DE INFORME DE ENSAYO DEL LDR DE LA RCCAVA. SERVICIO MEDIO AMBIENTE"/>
    <s v="220"/>
    <s v="LLANERA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09000331"/>
    <s v="AD"/>
    <d v="2022-01-01T00:00:00"/>
    <n v="22022002093"/>
    <s v="2022 06 3321 622"/>
    <n v="111161.95"/>
    <x v="15"/>
    <s v="OBRA NUEVA BIBLIOTECA PARQUESOL (AÑO 2020:220.258,98)  AÑO 2021: 1.580.549,39 - 2022:111.161,95 TOTAL ADJ: 1.911.970,3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0063844"/>
    <s v="AD"/>
    <d v="2022-02-28T00:00:00"/>
    <n v="22021004563"/>
    <s v="2022 05 4331 622"/>
    <n v="59968.78"/>
    <x v="15"/>
    <s v="AdjudicaciónContrato Obras adecuación de nave Calle Valle de Aran,1 destinada a HUB INNOVACION. Proyecto 2021/2/4331/1/1"/>
    <s v="220"/>
    <s v="ZAMORA"/>
    <s v="ZAMORA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2"/>
    <s v="622"/>
  </r>
  <r>
    <n v="220220000421"/>
    <s v="AD"/>
    <d v="2022-01-25T00:00:00"/>
    <n v="22022001588"/>
    <s v="2022 04 9202 22607"/>
    <n v="1149.5"/>
    <x v="273"/>
    <s v="VIDEO FINISH EDOSOF PARA REALIZACIÓN PRUEBAS FÍSICAS PROVISIÓN 19 PLAZAS BOMBERO DEL SEIS Y PC."/>
    <s v="220"/>
    <s v="CASTELLON"/>
    <s v="CASTELLON"/>
    <x v="4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13165"/>
    <s v="AD"/>
    <d v="2022-03-29T00:00:00"/>
    <n v="22022003064"/>
    <s v="2022 08 1532 22103"/>
    <n v="2727.95"/>
    <x v="274"/>
    <s v="Suministro de 2.700 litros de Gasóleo C para la caldera del nuevo Parque de Conservación Vías Públicas, en C/ Títulos,51"/>
    <s v="220"/>
    <s v="ZIERBENA"/>
    <s v="BIZCAY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19001120"/>
    <s v="AD"/>
    <d v="2022-01-01T00:00:00"/>
    <n v="22022000283"/>
    <s v="2022 06 3232 213"/>
    <n v="7116.31"/>
    <x v="217"/>
    <s v="SE-EIJI 27/2021. MANTENIMIENTO INSTALACIONES DE PROTECCIÓN CONTRA INCENDIOS. EDIFICIOS MUNICIPALES. LOTE 1. COLEGIO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12377"/>
    <s v="AD"/>
    <d v="2022-03-23T00:00:00"/>
    <n v="22022002932"/>
    <s v="2022 10 2316 22616"/>
    <n v="1026"/>
    <x v="275"/>
    <s v="120 UDS CONST. ESPAÑOLA PARA ALUMNADO DE 8 CURSOS DE REFERENTES CULTURALES DE VALLADOLID 2022"/>
    <s v="220"/>
    <s v="POZUELO DE ALARCON"/>
    <s v="MADRID"/>
    <x v="3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19001136"/>
    <s v="AD"/>
    <d v="2022-01-01T00:00:00"/>
    <n v="22022000299"/>
    <s v="2022 02 9332 213"/>
    <n v="4177.62"/>
    <x v="217"/>
    <s v="SE-EIJI 27/2021. ADJ. EXPTE.MANT. INSTALACIONES DE PROTEC. CONTRA INCENDIOS.(LOTE 3) EDIFICIOS MUNICIPALES. CG 65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19001206"/>
    <s v="AD"/>
    <d v="2022-01-01T00:00:00"/>
    <n v="22022001488"/>
    <s v="2022 04 9204 213"/>
    <n v="1040.5999999999999"/>
    <x v="217"/>
    <s v="MANTENIMIENTO DEL SISTEMA DE DETECCIÓN Y EXTINCIÓN DE INCENDIOS, LOTE 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0005813"/>
    <s v="AD"/>
    <d v="2022-02-23T00:00:00"/>
    <n v="22022002434"/>
    <s v="2022 11 1621 22699"/>
    <n v="3060"/>
    <x v="276"/>
    <s v="GASTO CURSO FORMACIÓNEN GESTIÓN DE CONFLICTOS PARA EL PERSONAL DEL TALLER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699"/>
  </r>
  <r>
    <n v="220219001255"/>
    <s v="AD"/>
    <d v="2022-01-01T00:00:00"/>
    <n v="22022001688"/>
    <s v="2022 03 9241 22609"/>
    <n v="440"/>
    <x v="277"/>
    <s v="Actuación en CC Delicias el día 04/01/2022. MFS NAVIDAD"/>
    <s v="220"/>
    <s v="ESPINOSA DE LOS MONTEROS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1122"/>
    <s v="AD"/>
    <d v="2022-01-01T00:00:00"/>
    <n v="22022000285"/>
    <s v="2022 06 3231 213"/>
    <n v="916.96"/>
    <x v="217"/>
    <s v="SE-EIJI 27/2021. MANTENIMIENTO INSTALACIONES DE PROTECCIÓN CONTRA INCENDIOS. EDIFICIOS MUNICIPALES. LOTE 1. ESCUELAS INF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12521"/>
    <s v="ADO"/>
    <d v="2022-03-24T00:00:00"/>
    <n v="22022001259"/>
    <s v="2022 02 9332 212"/>
    <n v="568.1"/>
    <x v="217"/>
    <s v="SERVICIO DE ASISTENCIA TECNICA POR AVISO DE AVERIA O ALARMA / BATERIA YUVASA 12 V Y 40 Ah (ARCHIVO MPAL)"/>
    <s v="24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2"/>
  </r>
  <r>
    <n v="220220000112"/>
    <s v="AD"/>
    <d v="2022-01-20T00:00:00"/>
    <n v="22022001312"/>
    <s v="2022 11 1321 22706"/>
    <n v="6358.55"/>
    <x v="278"/>
    <s v="CONTRATACIÓN DE SERVICIOS TÉCNICOS REDACCIÓN DE PROYECTO DE ACONDICIONAMIENTO DE EL PER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2203"/>
    <s v="AD"/>
    <d v="2022-01-31T00:00:00"/>
    <n v="22022001670"/>
    <s v="2022 10 2312 22618"/>
    <n v="1197.9000000000001"/>
    <x v="279"/>
    <s v="REVISTA VIVE DISFRUTANDO ,  INFORMACIONES DE INTERES PARA LOS  CPM DURANTE 2022- 6 EDICIONES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8"/>
  </r>
  <r>
    <n v="220220005780"/>
    <s v="AD"/>
    <d v="2022-02-23T00:00:00"/>
    <n v="22022002344"/>
    <s v="2022 06 3232 22799"/>
    <n v="1016.4"/>
    <x v="280"/>
    <s v="CTTO SERVICIOS PARA TRATAMIENTO DE DESRATIZACION (RATA &quot;&quot;VOLADORA&quot;&quot;) EN COLES NO INCLUIDO CTTO LIMPIEZA/VOZAS VERDES.2022"/>
    <s v="220"/>
    <s v="VILLANUBLA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19001138"/>
    <s v="AD"/>
    <d v="2022-01-01T00:00:00"/>
    <n v="22022000301"/>
    <s v="2022 05 4331 213"/>
    <n v="337.45"/>
    <x v="217"/>
    <s v="CONTRATO SERVICIO DE MANTENIMIENTO DE LAS INSTALACIONES DE PROTECCIÓN CONTRA INCENDIOS - AGENCIA INNOV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1"/>
    <s v="213"/>
  </r>
  <r>
    <n v="220219001125"/>
    <s v="AD"/>
    <d v="2022-01-01T00:00:00"/>
    <n v="22022000288"/>
    <s v="2022 06 2314 213"/>
    <n v="298.94"/>
    <x v="217"/>
    <s v="SE-EIJI 27/2021. MANTENIMIENTO INSTALACIONES DE PROTECCIÓN CONTRA INCENDIOS. EDIFICIOS MUNICIPALES. LOTE 1. ESP JOVEN ZN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1124"/>
    <s v="AD"/>
    <d v="2022-01-01T00:00:00"/>
    <n v="22022000287"/>
    <s v="2022 06 3321 213"/>
    <n v="67"/>
    <x v="217"/>
    <s v="SE-EIJI 27/2021. MANTENIMIENTO INSTALACIONES DE PROTECCIÓN CONTRA INCENDIOS. EDIFICIOS MUNICIPALES. LOTE 1. BIBLIOTECA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127"/>
    <s v="AD"/>
    <d v="2022-01-01T00:00:00"/>
    <n v="22022000290"/>
    <s v="2022 06 2315 213"/>
    <n v="30.92"/>
    <x v="217"/>
    <s v="SE-EIJI 27/2021. MANTENIMIENTO INSTALACIONES DE PROTECCIÓN CONTRA INCENDIOS. EDIFICIOS MUNICIPALES. LOTE 1.C.M. IGUALDAD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0535"/>
    <s v="AD"/>
    <d v="2022-01-01T00:00:00"/>
    <n v="22022000082"/>
    <s v="2022 04 9204 216"/>
    <n v="3012.9"/>
    <x v="281"/>
    <s v="MANTENIMIENTO SERVICIO DE ACCESIBILIDAD WEB AUMENTADA,: INCLUSITE, LOTE 12"/>
    <s v="220"/>
    <s v="VILA-REAL"/>
    <s v="CASTELLON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8892"/>
    <s v="AD"/>
    <d v="2022-03-15T00:00:00"/>
    <n v="22022001975"/>
    <s v="2022 08 1513 83100"/>
    <n v="30250"/>
    <x v="282"/>
    <s v="Expediente 33_2019 SEMEU_ Actuaciones obligatorias de carácter subsidiario y/o urgente. LOTE 1"/>
    <s v="220"/>
    <s v="VALLADOLID"/>
    <s v="VALLADOLID"/>
    <x v="0"/>
    <s v="PrAbier - Procedimiento Abierto"/>
    <s v="MultiC - MultiCriterio"/>
    <x v="0"/>
    <x v="0"/>
    <s v="8"/>
    <s v="8. Activos financieros"/>
    <s v="08"/>
    <x v="1"/>
    <s v="1513"/>
    <s v="1513. Licencias urbanísticas"/>
    <s v="83"/>
    <s v="83100"/>
  </r>
  <r>
    <n v="220219000546"/>
    <s v="AD"/>
    <d v="2022-01-01T00:00:00"/>
    <n v="22022000562"/>
    <s v="2022 09 3341 22799"/>
    <n v="19581.97"/>
    <x v="227"/>
    <s v="PRORROGA CONTRATO PRESTACION DEL SERVICIO MANTENIMIENTO COMUNICACION 2.0 AREA CULTURA Y TURISMO. 01-01-22 AL 28-08-2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09000726"/>
    <s v="AD"/>
    <d v="2022-01-01T00:00:00"/>
    <n v="22022000263"/>
    <s v="2022 08 1532 22103"/>
    <n v="31500"/>
    <x v="17"/>
    <s v="ADJUDICACIÓN SUMINISTRO DE GASOLEO TIPO A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19000443"/>
    <s v="AD"/>
    <d v="2022-01-01T00:00:00"/>
    <n v="22022000559"/>
    <s v="2022 05 4331 22799"/>
    <n v="2394.25"/>
    <x v="16"/>
    <s v="Mantenimiento de la cubierta vegetal del mercado El Campillo&quot;&quot; Proyecto URBAN GreenUP- 1 semestre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614"/>
    <s v="AD"/>
    <d v="2022-01-01T00:00:00"/>
    <n v="22022000220"/>
    <s v="2022 11 1361 22103"/>
    <n v="25000"/>
    <x v="17"/>
    <s v="Acuerdo de la Junra de Gobierno,aprobación expte. PR-SE 38_2020 contratación suministro gasóleo automoción;SEISYPC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19000132"/>
    <s v="AD"/>
    <d v="2022-01-01T00:00:00"/>
    <n v="22022000381"/>
    <s v="2022 09 3341 22799"/>
    <n v="1405.9"/>
    <x v="16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20012766"/>
    <s v="AD/"/>
    <d v="2022-03-24T00:00:00"/>
    <n v="22022000208"/>
    <s v="2022 11 1621 22103"/>
    <n v="-140000"/>
    <x v="17"/>
    <s v="MINORACIÓN CRÉDITO CONTRATO SUMINISTRO GASÓLEO PARA VEHICULOS DEL SERVICIO DE LIMPIEZA PARA LOS EJERCICIO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530"/>
    <s v="AD"/>
    <d v="2022-01-01T00:00:00"/>
    <n v="22022000077"/>
    <s v="2022 04 9204 216"/>
    <n v="3296.62"/>
    <x v="283"/>
    <s v="MANTENIMIENTO SOFTWARE DE PRESUPUESTOS, MEDICIONES Y CONTROL DE COSTES PARA EDIFICACIÓN Y OBRA CIVIL: PRESTO, LOTE 6"/>
    <s v="220"/>
    <s v="LLANERA"/>
    <s v="OVIEDO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0067024"/>
    <s v="AD"/>
    <d v="2022-03-11T00:00:00"/>
    <n v="22021006449"/>
    <s v="2022 11 1361 633"/>
    <n v="16077.38"/>
    <x v="238"/>
    <s v="SEGUNDA PRÓRROGA EXPTE: 23/2018;LOTE 1;MANTENIMIENTO PREVENTIVO DE EQUIPOS DE RESPIRACIÓN AUTÓNOMA Y ACCESORIOS; SEISYPC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19000844"/>
    <s v="AD"/>
    <d v="2022-01-01T00:00:00"/>
    <n v="22022002211"/>
    <s v="2022 11 1361 633"/>
    <n v="5000"/>
    <x v="238"/>
    <s v="EXPTE:23/2018;SEGUNDA PRÓRROGA; LOTE 1; MANTENIMIENTO CORRECTIVO DE EQUIPOS DE RESPIRACIÓN AUTÓNOMA Y ACCESORIOS;SEISYPC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09000405"/>
    <s v="AD"/>
    <d v="2022-03-11T00:00:00"/>
    <n v="22021000291"/>
    <s v="2022 11 1361 633"/>
    <n v="809.51"/>
    <x v="238"/>
    <s v="MANTENIMIENTO CORRECTIVO DE EQUIPOS DE RESPIRACIÓN AUTÓNOMA Y ACCESORIOS.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20005775"/>
    <s v="AD"/>
    <d v="2022-02-23T00:00:00"/>
    <n v="22022002324"/>
    <s v="2022 06 3232 212"/>
    <n v="500"/>
    <x v="241"/>
    <s v="SUMINISTRO DE CONTENEDORES, ÁRIDOS Y RETIRADA DE ESCOMBROS DEL LAS OBRAS EN LOS COLEGIOS PÚBLICOS. PLAZO 3 MESES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793"/>
    <s v="AD"/>
    <d v="2022-02-23T00:00:00"/>
    <n v="22022002382"/>
    <s v="2022 07 1721 22199"/>
    <n v="7260"/>
    <x v="284"/>
    <s v="SUMINISTRO MATERIAL EMPRESA VIDRA FOC PARA EL LABORATORIO. SERVICIO MEDIO AMBIENTE"/>
    <s v="220"/>
    <s v="BARCELONA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09000479"/>
    <s v="AD"/>
    <d v="2022-01-01T00:00:00"/>
    <n v="22022000202"/>
    <s v="2022 07 1701 22799"/>
    <n v="6553.33"/>
    <x v="285"/>
    <s v="REAJUSTE ANUALIDADES  CONTRATO PROGRAMAS EDUCACION AMBIENTAL. LOTE 2. COORD. Y DES. RED HUERTOS ESCOLARES V.25/2019"/>
    <s v="220"/>
    <s v="PALENCIA"/>
    <s v="PALENCIA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189000209"/>
    <s v="AD"/>
    <d v="2022-01-01T00:00:00"/>
    <n v="22022000151"/>
    <s v="2022 07 1701 22102"/>
    <n v="21049.67"/>
    <x v="286"/>
    <s v="CONSUMO BIOMASA 2018 A 2026.-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2"/>
  </r>
  <r>
    <n v="220220000121"/>
    <s v="AD"/>
    <d v="2022-01-21T00:00:00"/>
    <n v="22022001197"/>
    <s v="2022 01 9205 22199"/>
    <n v="4844.84"/>
    <x v="287"/>
    <s v="ADJUDICA SUMINISTRO PAPEL Y SOBRES DIVERSOS TIPOS Y FORMATOS PARA TRABAJOS IMPRENTA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3451"/>
    <s v="AD"/>
    <d v="2022-02-11T00:00:00"/>
    <n v="22022002129"/>
    <s v="2022 11 1321 22699"/>
    <n v="2500"/>
    <x v="287"/>
    <s v="ADQUISICIÓN DE PAPEL PARA LA ELABORACIÓN DE IMPRESOS PARA POLICÍA POR PARTE DE LA IMPRENT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8273"/>
    <s v="AD"/>
    <d v="2022-03-10T00:00:00"/>
    <n v="22022002630"/>
    <s v="2022 07 1711 213"/>
    <n v="2000"/>
    <x v="288"/>
    <s v="MANTENIMIENTO DE MAQUINARIA DE NUEVA ADQUISICIÓN."/>
    <s v="220"/>
    <s v="LA BAÑEZA"/>
    <s v="LEON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01708"/>
    <s v="AD"/>
    <d v="2022-01-27T00:00:00"/>
    <n v="22022001535"/>
    <s v="2022 10 2311 22699"/>
    <n v="505.78"/>
    <x v="287"/>
    <s v="Suministro de carpetas amarillas para &quot;&quot;Historial Social&quot;&quot; en Ceas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5812"/>
    <s v="AD"/>
    <d v="2022-02-23T00:00:00"/>
    <n v="22022002427"/>
    <s v="2022 06 2315 22611"/>
    <n v="2673"/>
    <x v="289"/>
    <s v="ACTUACIÓN &quot;&quot;OLVIDADAS&quot;&quot; en el Museo de la Ciencia"/>
    <s v="220"/>
    <s v="SIMANCAS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307"/>
    <s v="AD"/>
    <d v="2022-01-01T00:00:00"/>
    <n v="22022000183"/>
    <s v="2022 11 1621 214"/>
    <n v="38889.4"/>
    <x v="290"/>
    <s v="REAJUSTE ANUALIDADES CONTRATO SUMINISTRO NEUMÁTICOS (LOTE 1) VEHÍCULOS SERVICIO LIMPIEZA DEL 1-7-2020 AL 30-6-2022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4"/>
  </r>
  <r>
    <n v="220209000309"/>
    <s v="AD"/>
    <d v="2022-01-01T00:00:00"/>
    <n v="22022000184"/>
    <s v="2022 11 1631 214"/>
    <n v="3025"/>
    <x v="290"/>
    <s v="REAJUSTE ANUALIDADES CONTRATO SUMINISTRO NEUMATICOS VEHICULOS (LOTE 2) VEHICULOS LIMPIEZA VIARAI DEL 1-7-2020 AL 30-6-20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1"/>
    <s v="214"/>
  </r>
  <r>
    <n v="220220010328"/>
    <s v="AD"/>
    <d v="2022-03-21T00:00:00"/>
    <n v="22022002905"/>
    <s v="2022 03 9241 22609"/>
    <n v="984.5"/>
    <x v="289"/>
    <s v="Actuaciones de Libera Teatro en CIC Conde Ansúrez el día 03/04/2022 y en CC Delicias el día 15/05/2022. MFS"/>
    <s v="220"/>
    <s v="SIMANC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193"/>
    <s v="AD"/>
    <d v="2022-03-18T00:00:00"/>
    <n v="22022002945"/>
    <s v="2022 11 1621 22199"/>
    <n v="301.47000000000003"/>
    <x v="287"/>
    <s v="SUMINISTRO RESMAS DE PAPEL PARA LA REALIZACIÓN DE TALONARIOS &quot;&quot;SOLICITUD PERMISO&quot;&quot; PERSONAL Sº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2420"/>
    <s v="D"/>
    <d v="2022-02-02T00:00:00"/>
    <n v="22022001172"/>
    <s v="2022 10 2412 22199"/>
    <n v="20.03"/>
    <x v="291"/>
    <s v="SUMINISTRO DE  CINTA VULCANIZABLE / CORONA PULVERIZADOR // Nº 47/0002/2021 FOYEM PARQUES Y JARDINESIII -DUR 1 DIA- A.M.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48"/>
    <s v="D"/>
    <d v="2022-02-02T00:00:00"/>
    <n v="22022001172"/>
    <s v="2022 10 2412 22199"/>
    <n v="68.930000000000007"/>
    <x v="291"/>
    <s v="SUMINISTRO DE PULVERIZADOR ELECTR.,SEÑALES EVACUACIÓN,PILA AA, GRAPADORA MANUAL,CURSO  PARQUES Y JARDINES III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50"/>
    <s v="D"/>
    <d v="2022-02-02T00:00:00"/>
    <n v="22022001170"/>
    <s v="2022 10 2412 213"/>
    <n v="9.98"/>
    <x v="291"/>
    <s v="A.MARCO  REPARACION DE CORTASETOS MARCA STIHL - MODELO HS45 NS (M.O.) // FORMACIÓN: PARQUES Y JARDINES III-DUR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2452"/>
    <s v="D"/>
    <d v="2022-02-02T00:00:00"/>
    <n v="22022001170"/>
    <s v="2022 10 2412 213"/>
    <n v="37.200000000000003"/>
    <x v="291"/>
    <s v="REPARACIÓN DE CORTACESPED MARCA HUSQVARNA - MODELO 122HD6 (M.O.+ MAT.) // FORMACIÓN: PQUES Y JARDINES III-DUR 1 DIA-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2454"/>
    <s v="D"/>
    <d v="2022-02-02T00:00:00"/>
    <n v="22022001172"/>
    <s v="2022 10 2412 22199"/>
    <n v="5.64"/>
    <x v="291"/>
    <s v="SUMINISTRO DE CINTA VULCANIZABLE TAPAFUGAS BLISTER // FORMACIÓN: PARQUES Y JARDINES III-DURACION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502"/>
    <s v="D"/>
    <d v="2022-02-02T00:00:00"/>
    <n v="22022001626"/>
    <s v="2022 03 9241 212"/>
    <n v="9.26"/>
    <x v="291"/>
    <s v="ALB 22-200210: RED.MARSELLA LATON // CC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558"/>
    <s v="D"/>
    <d v="2022-02-15T00:00:00"/>
    <n v="22022001640"/>
    <s v="2022 06 3231 212"/>
    <n v="11.46"/>
    <x v="291"/>
    <s v="ALB: 22-201646 / MANGUITO UNION PE TUBO-TUBO 40-40 (39 ///  DESTINO:  E CABALLITO BLANCO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3560"/>
    <s v="D"/>
    <d v="2022-02-15T00:00:00"/>
    <n v="22022001640"/>
    <s v="2022 06 3231 212"/>
    <n v="581.53"/>
    <x v="291"/>
    <s v="ALB 22-201482: BOTE HILO/ CODO 90º/ TUERCA/ ENLACE ROSCA MACHO/ BARRA POLIETILENO/ SIERRA (E.I.M. CABALLITO BLANCO). ENE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3739"/>
    <s v="D"/>
    <d v="2022-02-16T00:00:00"/>
    <n v="22022001172"/>
    <s v="2022 10 2412 22199"/>
    <n v="43.75"/>
    <x v="291"/>
    <s v="SUMINISTRO DE  ARQUETA POLYPRO NEGRA (1) ///  CURSO: P. MIXTO 47/0002/2021 , CURSO PARQUES Y JARDINES III 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742"/>
    <s v="D"/>
    <d v="2022-02-16T00:00:00"/>
    <n v="22022001172"/>
    <s v="2022 10 2412 22199"/>
    <n v="12.26"/>
    <x v="291"/>
    <s v="SUMINISTRO DE  BOLSA 100 UD.ETIQ. PLASTICO // CURSO: P. MIXTO 47/0002/2021PARQUES Y JARDINES III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834"/>
    <s v="D"/>
    <d v="2022-02-16T00:00:00"/>
    <n v="22022001641"/>
    <s v="2022 06 3232 212"/>
    <n v="211.15"/>
    <x v="291"/>
    <s v="ALB: 22-201578 ///  P.SERV. DESHUMIFICADOR INDUSTRIAL DH (5 UNIDADES) //// DESTINO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836"/>
    <s v="D"/>
    <d v="2022-02-16T00:00:00"/>
    <n v="22022001641"/>
    <s v="2022 06 3232 212"/>
    <n v="42.23"/>
    <x v="291"/>
    <s v="ALB: 22-200963 /// P.SERV. DESHUMIFICADOR INDUSTRIAL (1 UD.) ////  UBICACION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838"/>
    <s v="D"/>
    <d v="2022-02-16T00:00:00"/>
    <n v="22022001641"/>
    <s v="2022 06 3232 212"/>
    <n v="211.15"/>
    <x v="291"/>
    <s v="ALB: 22-202156 /// P.SERV. DESHUMIFICADOR INDUSTRIAL DH (5) // DESTINO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4092"/>
    <s v="D"/>
    <d v="2022-02-18T00:00:00"/>
    <n v="22022001172"/>
    <s v="2022 10 2412 22199"/>
    <n v="175.7"/>
    <x v="291"/>
    <s v="SUMINISTRO DE ROLLO GOTEO MARRÓN/ BOLSA 25 UDS/ MICRO A NEBULIZADOR/ MICRO A VÁLVULA /FORMAC.: PARQUES Y JARDINES III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4141"/>
    <s v="D"/>
    <d v="2022-02-18T00:00:00"/>
    <n v="22022000042"/>
    <s v="2022 11 1631 214"/>
    <n v="173.71"/>
    <x v="291"/>
    <s v="AC MARCO EXP V36-2017: REPUESTOS PARA VEHÍCULOS DEL S. D E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175"/>
    <s v="D"/>
    <d v="2022-02-18T00:00:00"/>
    <n v="22022001650"/>
    <s v="2022 11 3111 22199"/>
    <n v="33.700000000000003"/>
    <x v="291"/>
    <s v="A.M. V.36/2017: ALB: 22-201141 /// MANGUITO UNION LATON M-NYLON T-T 32 / ML POLIETILENO BARRA // DESTINO: CASA DEL B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4235"/>
    <s v="D"/>
    <d v="2022-02-18T00:00:00"/>
    <n v="22022000045"/>
    <s v="2022 11 1631 22199"/>
    <n v="1.5"/>
    <x v="291"/>
    <s v="AC MARCO EXP V36/2017: ALBARAN 22-201826: TACO ANCLAJE METALICO PLADUR 6x46 (6) //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5552"/>
    <s v="D"/>
    <d v="2022-02-22T00:00:00"/>
    <n v="22022001456"/>
    <s v="2022 11 1321 22199"/>
    <n v="13.75"/>
    <x v="291"/>
    <s v="ACUERDO MARCO. SUMINISTRO DE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6895"/>
    <s v="D"/>
    <d v="2022-03-02T00:00:00"/>
    <n v="22022001456"/>
    <s v="2022 11 1321 22199"/>
    <n v="14.67"/>
    <x v="291"/>
    <s v="ACUERDO MARCO-SUMINISTRO DE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7053"/>
    <s v="D"/>
    <d v="2022-03-03T00:00:00"/>
    <n v="22022001170"/>
    <s v="2022 10 2412 213"/>
    <n v="32.61"/>
    <x v="291"/>
    <s v="SUMINISTROS PARA LAREPARACIÓN DE CORTACESPED MARCA STIHL - MODELO HS45 NS (CENTRO FORM.JACINTO BENAVENTE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7055"/>
    <s v="D"/>
    <d v="2022-03-03T00:00:00"/>
    <n v="22022001172"/>
    <s v="2022 10 2412 22199"/>
    <n v="205.63"/>
    <x v="291"/>
    <s v="SUMINISTRO DE MATERIAL // PROGRAMA MIXTO PARQUES Y JARDINES III DEL CENTRO DE FORMACION PARA EL EMPLEO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7057"/>
    <s v="D"/>
    <d v="2022-03-03T00:00:00"/>
    <n v="22022001172"/>
    <s v="2022 10 2412 22199"/>
    <n v="311.58999999999997"/>
    <x v="291"/>
    <s v="SUMINISTRO DE  PROGRAMADOR WPX BOLSA MANGUITO UNIÓN, BOLSA ESTACA PARA TUBERÍA -CURSO PARQUES Y JARDINES III-D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7084"/>
    <s v="D"/>
    <d v="2022-03-03T00:00:00"/>
    <n v="22022000045"/>
    <s v="2022 11 1631 22199"/>
    <n v="84.47"/>
    <x v="291"/>
    <s v="ALB: 22-202564 / ALB:22-202724 / AM EXP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7241"/>
    <s v="D"/>
    <d v="2022-03-03T00:00:00"/>
    <n v="22022001641"/>
    <s v="2022 06 3232 212"/>
    <n v="163.56"/>
    <x v="291"/>
    <s v="ALB: 22-203779 ///  REGISTRO ALUMINIO ESTANCO NORMAL KN25 40x40 /// DESTINO: COLEGIO ENTRE RIO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426"/>
    <s v="D"/>
    <d v="2022-03-11T00:00:00"/>
    <n v="22022001552"/>
    <s v="2022 08 1532 210"/>
    <n v="501.07"/>
    <x v="291"/>
    <s v="ALB: 22-203169 (PARQUE) // SUMINISTRO DE MATE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577"/>
    <s v="D"/>
    <d v="2022-03-11T00:00:00"/>
    <n v="22022001641"/>
    <s v="2022 06 3232 212"/>
    <n v="126.69"/>
    <x v="291"/>
    <s v="ALB: 22-203535 /// DESHUMIFICADOR INDUSTRIAL DH (3 UNID.) /// UBICACION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694"/>
    <s v="D"/>
    <d v="2022-03-14T00:00:00"/>
    <n v="22022001456"/>
    <s v="2022 11 1321 22199"/>
    <n v="70.17"/>
    <x v="291"/>
    <s v="ACUERDO MARCO. SUMINISTRO DE MATERIAL DE MANTENIMIENTO PARA DEPENDENCIAS  DISTRITO I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398"/>
    <s v="D"/>
    <d v="2022-03-16T00:00:00"/>
    <n v="22022001623"/>
    <s v="2022 11 1361 22199"/>
    <n v="54.81"/>
    <x v="291"/>
    <s v="ALB: 22-205043 /// MANGUERA - SOPORTE- LANZA- ENCHUFE -RACOR-  ABRAZADERA ////// ALB.: 22-205057 // PISTOLA LANZA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495"/>
    <s v="D"/>
    <d v="2022-03-16T00:00:00"/>
    <n v="22022001449"/>
    <s v="2022 02 9332 212"/>
    <n v="7.02"/>
    <x v="291"/>
    <s v="ALB: 22-200520 /// SACO CANTO RODADO AMARILLO 25-40 MM 20 KG (1 UD.) ////  DESTINO: SAN BENI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0096"/>
    <s v="D"/>
    <d v="2022-03-18T00:00:00"/>
    <n v="22022001641"/>
    <s v="2022 06 3232 212"/>
    <n v="415.7"/>
    <x v="291"/>
    <s v="REGISTRO ALUMINIO ESTANCO NORMAL KN20 60x60 // CEIP ENTRE RÍ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2635"/>
    <s v="D"/>
    <d v="2022-03-24T00:00:00"/>
    <n v="22022001170"/>
    <s v="2022 10 2412 213"/>
    <n v="11.48"/>
    <x v="291"/>
    <s v="(CENTRO JACINTO BENAVENTE): REPARACIÓN DE ARRANQUE -MARCA: OUTIS (MANO DE OBRA) / CUERDA DE ARRANQUE- DURACION 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12710"/>
    <s v="D"/>
    <d v="2022-03-24T00:00:00"/>
    <n v="22022001641"/>
    <s v="2022 06 3232 212"/>
    <n v="26.32"/>
    <x v="291"/>
    <s v="ALB 22-205609 (CP FRAY LUIS DE LEÓN): ARMAR.P 30 X 45 AISLADO VACI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104"/>
    <s v="D"/>
    <d v="2022-03-29T00:00:00"/>
    <n v="22022001178"/>
    <s v="2022 10 2311 212"/>
    <n v="17.11"/>
    <x v="291"/>
    <s v="F-3079. FLUME S.L. VIVIENDA EN C/ GUARDERIA.  RED.MARSELLA LATON/V.SALIDA ESCUADRA TRIPLE FUNCION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147"/>
    <s v="D"/>
    <d v="2022-03-29T00:00:00"/>
    <n v="22022002585"/>
    <s v="2022 07 1711 619"/>
    <n v="1843.02"/>
    <x v="291"/>
    <s v="MATERIAL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13233"/>
    <s v="D"/>
    <d v="2022-03-30T00:00:00"/>
    <n v="22022000045"/>
    <s v="2022 11 1631 22199"/>
    <n v="488.67"/>
    <x v="291"/>
    <s v="AC MARCO EXP V36/2017: SUMINISTROS VARIOS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6702"/>
    <s v="AD"/>
    <d v="2022-02-25T00:00:00"/>
    <n v="22022002507"/>
    <s v="2022 08 1532 213"/>
    <n v="1210"/>
    <x v="291"/>
    <s v="Reparación de pequeña maquinaria (martillos eléctricos, cortadoras, tronzadoras, etc).-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20006757"/>
    <s v="D"/>
    <d v="2022-03-02T00:00:00"/>
    <n v="22022001623"/>
    <s v="2022 11 1361 22199"/>
    <n v="66.31"/>
    <x v="291"/>
    <s v="ALB 22-201640: SPRAY IMPRIMACIÓN ANTIOXIDANTE/ CINTA ESLINGA TRINQUETE /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36"/>
    <s v="D"/>
    <d v="2022-03-11T00:00:00"/>
    <n v="22022001623"/>
    <s v="2022 11 1361 22199"/>
    <n v="397.98"/>
    <x v="291"/>
    <s v="ALB 22-202654 -2956 -3523 -3828 -4118 // SUMINISTRO DE MATERIAL //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354"/>
    <s v="AD"/>
    <d v="2022-03-16T00:00:00"/>
    <n v="22022002769"/>
    <s v="2022 06 3231 22699"/>
    <n v="200"/>
    <x v="287"/>
    <s v="SUMINISTRO DE PAPEL A LA IMPRENTA MUNICIPAL PARA LA ELABORACIÓN DE CARTELES Y DÍPTICOS INFORMATIVOS EIM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09000033"/>
    <s v="AD"/>
    <d v="2022-01-01T00:00:00"/>
    <n v="22022000169"/>
    <s v="2022 10 2312 22799"/>
    <n v="35310"/>
    <x v="292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0344"/>
    <s v="AD"/>
    <d v="2022-01-24T00:00:00"/>
    <n v="22022001252"/>
    <s v="2022 10 2311 22699"/>
    <n v="349"/>
    <x v="293"/>
    <s v="COMPRA DE SECADORA PARA CENTRO INTEGRADO. ENERO 2022. COVID-19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10084920"/>
    <s v="AD"/>
    <d v="2022-03-11T00:00:00"/>
    <n v="22021007131"/>
    <s v="2022 07 1711 619"/>
    <n v="87835.55"/>
    <x v="141"/>
    <s v="OBRAS PARA ACTUALIZACION Y MEJORA DE LAS ZONAS INFANTILES DE PARQUESOL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5439"/>
    <s v="AD"/>
    <d v="2022-03-11T00:00:00"/>
    <n v="22021006471"/>
    <s v="2022 07 1711 619"/>
    <n v="69838.42"/>
    <x v="141"/>
    <s v="INSTALACION DE JUEGOS INFANTILES EN EL CAMPO GRANDE, JUNTO A ACERA DE RECOLETOS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686"/>
    <s v="AD"/>
    <d v="2022-01-01T00:00:00"/>
    <n v="22022000088"/>
    <s v="2022 11 1321 22104"/>
    <n v="24835.25"/>
    <x v="249"/>
    <s v="SUMINISTRO DE ROPA TÉRMICA UNIFORMIDAD POLICÍA. EJERCICIO 2022. EXP. SPSC -02/2021. LOTE Nº 4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03847"/>
    <s v="AD"/>
    <d v="2022-02-16T00:00:00"/>
    <n v="22022002204"/>
    <s v="2022 06 2315 22611"/>
    <n v="3872"/>
    <x v="294"/>
    <s v="DIA INTERNACIONAL DE LA MUJER 8M: ESPECTÁCULO &quot;&quot;MYTHOS&quot;&quot; EN EL CENTRO CÍVICO CANAL DE CASTILLA EL 26 DE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684"/>
    <s v="AD"/>
    <d v="2022-01-01T00:00:00"/>
    <n v="22022000086"/>
    <s v="2022 11 1321 22104"/>
    <n v="19753.25"/>
    <x v="249"/>
    <s v="SUMINISTRO DE UNIFORMES DE GALA Y GORRA COPY PARA POLICÍA. EJERCICIO 2022. EXP. SPSC - 02/2021. LOTE Nº 1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06705"/>
    <s v="AD"/>
    <d v="2022-02-25T00:00:00"/>
    <n v="22022002518"/>
    <s v="2022 11 1621 22700"/>
    <n v="2500"/>
    <x v="143"/>
    <s v="DESARENADO DE LA FOSA DE LA NAVE DE VEHÍCULOS DEL SERVICIO DE LIMPIEZA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20001613"/>
    <s v="AD"/>
    <d v="2022-01-26T00:00:00"/>
    <n v="22022001550"/>
    <s v="2022 10 2312 22617"/>
    <n v="931.5"/>
    <x v="295"/>
    <s v="SERV. DE INTÉRPRETES DE LENGUA DE SIGNOS PARA EL 28,29 Y 30 DE ENERO DE 2022 EN EL V FORO DE LA CULTURA-   ACCESIBIL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19000690"/>
    <s v="AD"/>
    <d v="2022-01-01T00:00:00"/>
    <n v="22022000092"/>
    <s v="2022 11 1321 22104"/>
    <n v="18376.88"/>
    <x v="249"/>
    <s v="SUMINISTRO DE CALZADO PARA UNIFORME DE POLICÍA MUNICIPAL. EJERCICIO 2022. EXP. SPSC -02/2021. LOTE Nº 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10082257"/>
    <s v="AD"/>
    <d v="2022-03-11T00:00:00"/>
    <n v="22021007138"/>
    <s v="2022 07 1711 619"/>
    <n v="66935.13"/>
    <x v="141"/>
    <s v="ACONDICIONAMIENTO PLAZA C/ JARDINES DE LA GRANJA DE S. ILDEFONSO (P.P. LOS VIVEROS)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7297"/>
    <s v="AD"/>
    <d v="2022-03-11T00:00:00"/>
    <n v="22021004891"/>
    <s v="2022 07 1711 619"/>
    <n v="23129.97"/>
    <x v="141"/>
    <s v="REMODELACIÓN FUENTE EN PARQUE CALLE ALCAPARRA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3547"/>
    <s v="D"/>
    <d v="2022-02-15T00:00:00"/>
    <n v="22022001626"/>
    <s v="2022 03 9241 212"/>
    <n v="460.41"/>
    <x v="296"/>
    <s v="SUMINISTRO DE MATERIAL DE FERRETERIA  ///  DESTINOS: CC CONDE ANSÚREZ - CIC SEGUNDO MONTES- CC ESGUEVA - CV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255"/>
    <s v="D"/>
    <d v="2022-02-09T00:00:00"/>
    <n v="22022001593"/>
    <s v="2022 07 1711 22199"/>
    <n v="390.72"/>
    <x v="296"/>
    <s v="ACUERDO MARCO 2017/36, MATERIAL DE CERRAJ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8584"/>
    <s v="D"/>
    <d v="2022-03-11T00:00:00"/>
    <n v="22022001641"/>
    <s v="2022 06 3232 212"/>
    <n v="378.37"/>
    <x v="296"/>
    <s v="MATERIAL FERRETERIA /// C.P. ISABEL LA CATÓLICA / SAN PED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4233"/>
    <s v="D"/>
    <d v="2022-02-18T00:00:00"/>
    <n v="22022000045"/>
    <s v="2022 11 1631 22199"/>
    <n v="308.88"/>
    <x v="296"/>
    <s v="AC MARCO EXP V36/2017: MATERIAL DE CERRAJERIA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499"/>
    <s v="D"/>
    <d v="2022-03-16T00:00:00"/>
    <n v="22022001449"/>
    <s v="2022 02 9332 212"/>
    <n v="210.83"/>
    <x v="296"/>
    <s v="CLAVO TORTAJ.-CRUZ  NEGRO CRUZ / TUBO FLEX METAL / HEMBRILLA/ ARANDELA / TUERCA DIN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560"/>
    <s v="D"/>
    <d v="2022-02-22T00:00:00"/>
    <n v="22022001456"/>
    <s v="2022 11 1321 22199"/>
    <n v="209.33"/>
    <x v="296"/>
    <s v="ACUERDO MARCO. SUMINISTRO DE MATERIAL DE FERRETERIA PARA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12690"/>
    <s v="D"/>
    <d v="2022-03-24T00:00:00"/>
    <n v="22022001626"/>
    <s v="2022 03 9241 212"/>
    <n v="153.47999999999999"/>
    <x v="296"/>
    <s v="SUMINISTRO DE MATERIAL DIVERSO ///  DESTINO: C.I.C CONDE ANSU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757"/>
    <s v="D"/>
    <d v="2022-03-24T00:00:00"/>
    <n v="22022001626"/>
    <s v="2022 03 9241 212"/>
    <n v="143.49"/>
    <x v="296"/>
    <s v="TATAY ESCOBILLA WC STANDARD BLANCA (30) / ACEITE WD-40 500ML DOB ACC FLEXIBLE // CIC CONDE ANSÚREZ Y CC ESGUE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7015"/>
    <s v="D"/>
    <d v="2022-03-03T00:00:00"/>
    <n v="22022001643"/>
    <s v="2022 06 3321 212"/>
    <n v="133.41"/>
    <x v="296"/>
    <s v="CONVECTOR TURB E354 2000W (2) / POMO REI 223-030 30MM (10) / PASADOR AMIG / CERRADUR / ANGULO (21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3187"/>
    <s v="D"/>
    <d v="2022-02-09T00:00:00"/>
    <n v="22022001641"/>
    <s v="2022 06 3232 212"/>
    <n v="121.56"/>
    <x v="296"/>
    <s v="VALVULA ESCUAD. S/TCA / TORNILLO DIN / TACO / ADAPT. / DISCO ////  DESTINO.: MARIA DE MOLINA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132"/>
    <s v="D"/>
    <d v="2022-03-29T00:00:00"/>
    <n v="22022001179"/>
    <s v="2022 10 2311 212"/>
    <n v="119.58"/>
    <x v="296"/>
    <s v="F-2985. FERRETERIA ORTIZ. SUMINISTRO DE MATERIAL PARA CENTRO INTEGRADO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3789"/>
    <s v="D"/>
    <d v="2022-02-16T00:00:00"/>
    <n v="22022001643"/>
    <s v="2022 06 3321 212"/>
    <n v="116.89"/>
    <x v="296"/>
    <s v="ANGULO / POMO REI 30MM / SILICONA NE/ SIFON FLEX / ALMOHADILLA / MONTACK / TORNILLO DI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2738"/>
    <s v="D"/>
    <d v="2022-03-24T00:00:00"/>
    <n v="22022001449"/>
    <s v="2022 02 9332 212"/>
    <n v="103.46"/>
    <x v="296"/>
    <s v="TORNI. DIN / TUERCA DIN  934 ZINC M- / ARANDELA // DESTINOS: SAN BENITO- SECRET. EJE. MOVILIDAD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8397"/>
    <s v="D"/>
    <d v="2022-03-11T00:00:00"/>
    <n v="22022001643"/>
    <s v="2022 06 3321 212"/>
    <n v="103.18"/>
    <x v="296"/>
    <s v="ÁNGULO / TORNI. DIN / PORTAESTANTE / BROCA DIN-338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6749"/>
    <s v="D"/>
    <d v="2022-03-02T00:00:00"/>
    <n v="22022001623"/>
    <s v="2022 11 1361 22199"/>
    <n v="76.53"/>
    <x v="296"/>
    <s v="SARTEN PIEDRA COSMOS 26 CM/ SARTEN PIEDRA COSMOS 28 CM/ RESBALON AMIG 12 LTDO. BARNIZ 45MM //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2626"/>
    <s v="D"/>
    <d v="2022-03-24T00:00:00"/>
    <n v="22022000045"/>
    <s v="2022 11 1631 22199"/>
    <n v="62.99"/>
    <x v="296"/>
    <s v="COPIA LLAVE NORMAL(37)/ANILLA INDUS LLAVERO AC. NIQUELADO 35MM/DESTINO: CAPATAZ RONDILLA/ AM EXP 36-2017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6812"/>
    <s v="D"/>
    <d v="2022-03-02T00:00:00"/>
    <n v="22022001626"/>
    <s v="2022 03 9241 212"/>
    <n v="61.98"/>
    <x v="296"/>
    <s v="ALICATE KNIPEX UNIVERSAL / CADENA GENOVESA ZINC // CIC CONDE ANSÚ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311"/>
    <s v="D"/>
    <d v="2022-03-30T00:00:00"/>
    <n v="22022001643"/>
    <s v="2022 06 3321 212"/>
    <n v="59.24"/>
    <x v="296"/>
    <s v="CUCHILLA CEPILLO FESTOOL / HEMBRILLA TORREMAT CER. MAD / ANGULO AC BI 60X50 // BIBLIOTECAS PÚ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3842"/>
    <s v="AD"/>
    <d v="2022-02-16T00:00:00"/>
    <n v="22022002237"/>
    <s v="2022 06 2315 22699"/>
    <n v="56.95"/>
    <x v="296"/>
    <s v="ESCALERA PARA EL CENTRO MUNICIPAL DE LA IGUALDAD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99"/>
  </r>
  <r>
    <n v="220220013083"/>
    <s v="D"/>
    <d v="2022-03-29T00:00:00"/>
    <n v="22022001184"/>
    <s v="2022 10 2312 212"/>
    <n v="54.69"/>
    <x v="296"/>
    <s v="SUMINISTRO, COPIA LLAVE SEG.TESA INCOPIABLE PARA CPM DELICIAS  / ANGULO AC BI MOD 300 CPM FRAY LUIS DE LEON- DURA-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692"/>
    <s v="D"/>
    <d v="2022-03-24T00:00:00"/>
    <n v="22022001626"/>
    <s v="2022 03 9241 212"/>
    <n v="52.1"/>
    <x v="296"/>
    <s v="SUMINISTRO DE MATERIAL ////  DESTINO: CC JOSE LUIS MOSQUERA- CC ESGUEVA- CC LUENGO- 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248"/>
    <s v="D"/>
    <d v="2022-03-30T00:00:00"/>
    <n v="22022002364"/>
    <s v="2022 07 1721 22199"/>
    <n v="48.21"/>
    <x v="296"/>
    <s v="AURICULAR NACON COMUNICATOR H 6 / AURICULAR WOXTER GAMER BUD //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99"/>
  </r>
  <r>
    <n v="220220010114"/>
    <s v="D"/>
    <d v="2022-03-18T00:00:00"/>
    <n v="22022001641"/>
    <s v="2022 06 3232 212"/>
    <n v="47.07"/>
    <x v="296"/>
    <s v="MASILLA (11) // REMACHEW (500) /// DESTINOS: CEIP CRISTOBAL COLON- COLEGI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679"/>
    <s v="D"/>
    <d v="2022-03-16T00:00:00"/>
    <n v="22022001449"/>
    <s v="2022 02 9332 212"/>
    <n v="44.81"/>
    <x v="296"/>
    <s v="PIE NIVELADOR NEGRO/ LLAVERO PORTAETIQUETAS/ MULTI PUNTAS // SAN BENITO-URBANISMO / CARPINTERÍ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3094"/>
    <s v="D"/>
    <d v="2022-03-29T00:00:00"/>
    <n v="22022001177"/>
    <s v="2022 10 2311 212"/>
    <n v="43.55"/>
    <x v="296"/>
    <s v="F-2983. FERRETERIA ORTIZ. SUMINISTRO DE MATERIAL. DESTINO: COMEDOR SOCIAL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136"/>
    <s v="D"/>
    <d v="2022-03-29T00:00:00"/>
    <n v="22022001179"/>
    <s v="2022 10 2311 212"/>
    <n v="38.72"/>
    <x v="296"/>
    <s v="F-2987. FERRETERIA ORTIZ. MATERIAL DE FERRETERIA PARA  CENTRO INTEGRADO. COVID-19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308"/>
    <s v="D"/>
    <d v="2022-03-11T00:00:00"/>
    <n v="22022001178"/>
    <s v="2022 10 2311 212"/>
    <n v="33.67"/>
    <x v="296"/>
    <s v="F-1611. FERRETERIA ORTIZ VALLADOLID, S.L. REPOSAPIES FELLOWES AJUSTABLE ERGO. CEAS LA VICTORI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521"/>
    <s v="D"/>
    <d v="2022-03-16T00:00:00"/>
    <n v="22022001449"/>
    <s v="2022 02 9332 212"/>
    <n v="33.28"/>
    <x v="296"/>
    <s v="PISTOLA INDEX / PLACA UNION PROF. 120X50MM / DISCO FLEXOVIT / ANGULO //  DESTINO: SAN BENITO PUERTA 38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039"/>
    <s v="D"/>
    <d v="2022-03-03T00:00:00"/>
    <n v="22022001184"/>
    <s v="2022 10 2312 212"/>
    <n v="31.75"/>
    <x v="296"/>
    <s v="MANT. SUMINISTRO DCERRADURA AGA ARMARIO REF. 362  20MM / UMBRAL RUF. 11101 ADH ROBLE 30X2.50 / CPM ZONA ESTE-D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1602"/>
    <s v="AD"/>
    <d v="2022-01-26T00:00:00"/>
    <n v="22022001364"/>
    <s v="2022 10 2412 22100"/>
    <n v="1788.59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8656"/>
    <s v="D"/>
    <d v="2022-03-14T00:00:00"/>
    <n v="22022001456"/>
    <s v="2022 11 1321 22199"/>
    <n v="21.95"/>
    <x v="296"/>
    <s v="ACUERDO MARCO. SUMINISTRO MONTACK CEYS DOBLE CARA X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370"/>
    <s v="D"/>
    <d v="2022-03-16T00:00:00"/>
    <n v="22022001178"/>
    <s v="2022 10 2311 212"/>
    <n v="20.85"/>
    <x v="296"/>
    <s v="F-2013. F.ORTIZ. BROCA MULTICONSTRUCTION 6MM.RATIO/BROCA BOSCH/REJILLA ABERTURAS BLANCO. CEAS BARRIO ESPAÑA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090"/>
    <s v="D"/>
    <d v="2022-03-29T00:00:00"/>
    <n v="22022001178"/>
    <s v="2022 10 2311 212"/>
    <n v="20.82"/>
    <x v="296"/>
    <s v="F-2981. FERRETERIA ORTIZ. SUMINISTRO DE DIFERENTE MATERIAL. DESTINO: CEAS EN C/ PAT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208"/>
    <s v="D"/>
    <d v="2022-03-30T00:00:00"/>
    <n v="22022002690"/>
    <s v="2022 09 3341 213"/>
    <n v="20.03"/>
    <x v="296"/>
    <s v="COPIAS LLAVE NORMAL, LLAVERO PORTAETIQUETAS PLASTICO PARA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10"/>
    <s v="3341"/>
    <s v="3341. Coordinación de políticas culturales"/>
    <s v="21"/>
    <s v="213"/>
  </r>
  <r>
    <n v="220220013134"/>
    <s v="D"/>
    <d v="2022-03-29T00:00:00"/>
    <n v="22022001179"/>
    <s v="2022 10 2311 212"/>
    <n v="18.97"/>
    <x v="296"/>
    <s v="F-2986. FERRETERIA ORTIZ. COPIA LLAVE NORMAL (10)  CENTRO INTEGRADO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1602"/>
    <s v="AD"/>
    <d v="2022-01-26T00:00:00"/>
    <n v="22022000121"/>
    <s v="2022 10 2412 22100"/>
    <n v="1725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9900"/>
    <s v="D"/>
    <d v="2022-03-18T00:00:00"/>
    <n v="22022001184"/>
    <s v="2022 10 2312 212"/>
    <n v="16.38"/>
    <x v="296"/>
    <s v="SUMINISTRO COPIA LLAVE, LLAVERO PORTAETIQUETAS PLASTICO,ANILLA LLAVERO NIQUELADO/ CINTA 2 CARAS (CPM FRAY LUIS DE LEÓN)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3083"/>
    <s v="D"/>
    <d v="2022-03-29T00:00:00"/>
    <n v="22022001183"/>
    <s v="2022 10 2312 212"/>
    <n v="13"/>
    <x v="296"/>
    <s v="SUMINISTRO, COPIA LLAVE SEG.TESA INCOPIABLE PARA CPM DELICIAS  / ANGULO AC BI MOD 300 CPM FRAY LUIS DE LEON- DURA-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3160"/>
    <s v="D"/>
    <d v="2022-02-09T00:00:00"/>
    <n v="22022001640"/>
    <s v="2022 06 3231 212"/>
    <n v="12.5"/>
    <x v="296"/>
    <s v="TACO FISCHER / FISCHER ESCARPIA 19X50 // E.I.M. CAMPANILLA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8523"/>
    <s v="D"/>
    <d v="2022-03-11T00:00:00"/>
    <n v="22022001626"/>
    <s v="2022 03 9241 212"/>
    <n v="11.56"/>
    <x v="296"/>
    <s v="COLA D4 CEYS POLIURETANO MADERA 250G // CC ARTURO EYRI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092"/>
    <s v="D"/>
    <d v="2022-03-29T00:00:00"/>
    <n v="22022001178"/>
    <s v="2022 10 2311 212"/>
    <n v="1.9"/>
    <x v="296"/>
    <s v="F-2982. FERRETERIA ORTIZ. COPIA LLAVE NORMAL. DESTINO: VIVIENDA - C/GUARDERI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272"/>
    <s v="AD"/>
    <d v="2022-03-10T00:00:00"/>
    <n v="22022002594"/>
    <s v="2022 11 1361 22199"/>
    <n v="50"/>
    <x v="297"/>
    <s v="Ramo de flores para ofrenda en la misa del Patrón de bomber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0074323"/>
    <s v="AD"/>
    <d v="2022-02-28T00:00:00"/>
    <n v="22021007319"/>
    <s v="2022 03 9241 632"/>
    <n v="8232.84"/>
    <x v="298"/>
    <s v="REPARACIÓN FILTRACIONES DE AGUA C.C. JOSÉ MARÍA LUELMO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19000892"/>
    <s v="AD"/>
    <d v="2022-01-01T00:00:00"/>
    <n v="22022000615"/>
    <s v="2022 07 1721 22799"/>
    <n v="5989.5"/>
    <x v="257"/>
    <s v="MANTENIMIENTO PREVENTIVO Y CORRECTIVO DE INSTALACIONES FOTOVOLTAICAS.- EXPTE VS 19/18.- LOTE 1: CON INYECCIÓN A RED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19000893"/>
    <s v="AD"/>
    <d v="2022-01-01T00:00:00"/>
    <n v="22022000616"/>
    <s v="2022 07 1721 22799"/>
    <n v="2904"/>
    <x v="257"/>
    <s v="MANTENIMIENTO PREVENTIVO Y CORRECTIVO DE INSTALACIONES FOTOVOLTAICAS .- EXPTE VS 19/18.- LOTE 2: DE AUTCONSUMO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199000724"/>
    <s v="AD"/>
    <d v="2022-01-01T00:00:00"/>
    <n v="22022000161"/>
    <s v="2022 07 1721 22799"/>
    <n v="379.8"/>
    <x v="258"/>
    <s v="MANTENIMIENTO PREVENTIVO Y CORRECTIVO DE INSTALACIONES FOTOVOLTAICAS.- EXPTE .VS 19/18.- LOTE 1: CON INYECCIÓN A RED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199000725"/>
    <s v="AD"/>
    <d v="2022-01-01T00:00:00"/>
    <n v="22022000162"/>
    <s v="2022 07 1721 22799"/>
    <n v="262.77999999999997"/>
    <x v="258"/>
    <s v="MANTENIMIENTO PREVENTIVO Y CORRECTIVO DE INSTALACIONES FOTOVOLTAICAS.- EXP. VS 19/18. LOTE 2: DE AUTOCONSUMO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0010330"/>
    <s v="AD"/>
    <d v="2022-03-21T00:00:00"/>
    <n v="22022002907"/>
    <s v="2022 03 9241 22609"/>
    <n v="1197.9000000000001"/>
    <x v="299"/>
    <s v="Espectáculos de magia en el CC Zona Sur el día 24/04/2022 y en el CM La Overuela el día 07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47"/>
    <s v="AD"/>
    <d v="2022-01-24T00:00:00"/>
    <n v="22022001258"/>
    <s v="2022 10 2311 22699"/>
    <n v="629.79999999999995"/>
    <x v="300"/>
    <s v="Campaña contra la ola de frío 2022: Compra de sacos de dormir para personas sin hogar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5777"/>
    <s v="AD"/>
    <d v="2022-02-23T00:00:00"/>
    <n v="22022002331"/>
    <s v="2022 07 1721 22706"/>
    <n v="6344.33"/>
    <x v="301"/>
    <s v="ASISTENCIA TÉCNICA PARA LA ELABORACIÓN DEL MAPA DEL RUIDO. PLAZO HASTA 1 ABRIL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2263"/>
    <s v="AD"/>
    <d v="2022-01-31T00:00:00"/>
    <n v="22022001695"/>
    <s v="2022 10 2311 213"/>
    <n v="459.8"/>
    <x v="302"/>
    <s v="ENERO 2022: Reparación de anomalías detectadas en la Instalación del Gas de la vivienda munic. en C/ Moradas, 11, Bajo B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54"/>
    <s v="AD"/>
    <d v="2022-01-24T00:00:00"/>
    <n v="22022001445"/>
    <s v="2022 10 2311 22199"/>
    <n v="170.4"/>
    <x v="303"/>
    <s v="Placas PC. Compacto incoloro protegido UV. para pantallas protectoras de oficina. CEAS BARRIO ESPAÑA. COVID-196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199"/>
  </r>
  <r>
    <n v="220209000670"/>
    <s v="AD"/>
    <d v="2022-03-11T00:00:00"/>
    <n v="22021000527"/>
    <s v="2022 07 1711 619"/>
    <n v="0.05"/>
    <x v="141"/>
    <s v="ACUERDO MARCO V6/2020, ACTUACIONES EN DIFERENTES BOMBEOS DE LA CIUDAD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09000669"/>
    <s v="AD"/>
    <d v="2022-01-01T00:00:00"/>
    <n v="22022000230"/>
    <s v="2022 11 1361 22700"/>
    <n v="62149.84"/>
    <x v="304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700"/>
  </r>
  <r>
    <n v="220209000696"/>
    <s v="AD"/>
    <d v="2022-01-01T00:00:00"/>
    <n v="22022000247"/>
    <s v="2022 04 9204 22700"/>
    <n v="7510.47"/>
    <x v="304"/>
    <s v="LIMPIEZA DEL CENTRO DE DIFUSIÓN TECNOLÓGICA, (CDIT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00"/>
  </r>
  <r>
    <n v="220220005802"/>
    <s v="AD"/>
    <d v="2022-02-23T00:00:00"/>
    <n v="22022002393"/>
    <s v="2022 07 1721 22706"/>
    <n v="7260"/>
    <x v="305"/>
    <s v="PAGO CERTIFICACIÓN Y AUDITORÍAS DE LA RED DE CONTROL DE CALIDAD DEL AIRE A ENAC. SERVICIO MEDIO AMBIENTE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3495"/>
    <s v="AD"/>
    <d v="2022-02-14T00:00:00"/>
    <n v="22022002137"/>
    <s v="2022 10 2312 22617"/>
    <n v="300"/>
    <x v="306"/>
    <s v="FORMACION  PRACTICA DE LA REFORMA DEL CODIGO CIVIL EN MATERIA DE REPRESENTACION LEGAL A PERSONAS CONDISCAPAC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19000593"/>
    <s v="AD"/>
    <d v="2022-01-01T00:00:00"/>
    <n v="22022002001"/>
    <s v="2022 08 1651 619"/>
    <n v="57596"/>
    <x v="7"/>
    <s v="LOTE 2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0680"/>
    <s v="D"/>
    <d v="2022-03-22T00:00:00"/>
    <n v="22021003437"/>
    <s v="2022 08 1651 619"/>
    <n v="30554.92"/>
    <x v="7"/>
    <s v="Adjudicación obras remodelación del Alumbrado Público en varias zonas del Barrio Pajarillos, Lote 1 (exp. 19/2021)"/>
    <s v="300"/>
    <s v="VALLADOLID"/>
    <s v="VALLADOLID"/>
    <x v="1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10048393"/>
    <s v="AD"/>
    <d v="2022-02-28T00:00:00"/>
    <n v="22021003195"/>
    <s v="2022 08 1651 619"/>
    <n v="64.09"/>
    <x v="7"/>
    <s v="LOTE 1 CONSERVACIÓN, REPARACIÓN Y REFORMA INSTALACIONES ALUMBRADO EXTERIOR. PRES. PARTICIP. EXP: SEMEU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3428"/>
    <s v="AD"/>
    <d v="2022-03-31T00:00:00"/>
    <n v="22022003065"/>
    <s v="2022 11 1321 22699"/>
    <n v="1161.5999999999999"/>
    <x v="307"/>
    <s v="PRUEBAS DE CONFIRMACIÓN DE DROGA EN LABORATORIO ACREDITADO."/>
    <s v="220"/>
    <s v="SANTIAGO DE COMPOSTELA"/>
    <s v="LA CORUÑ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9360"/>
    <s v="AD"/>
    <d v="2022-03-16T00:00:00"/>
    <n v="22022002797"/>
    <s v="2022 11 1361 22199"/>
    <n v="3623.95"/>
    <x v="308"/>
    <s v="Mangueras contraincendios de 38 mm.diámetro, 20 tramos de 20 m. de longitud para bajas presiones; SEISYPC."/>
    <s v="220"/>
    <s v="SEVILLA"/>
    <s v="SEVILL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0957"/>
    <s v="AD"/>
    <d v="2022-01-01T00:00:00"/>
    <n v="22022000618"/>
    <s v="2022 06 2315 22706"/>
    <n v="9545"/>
    <x v="309"/>
    <s v="CONTRATACIÓN DE ESTUDIO SOBRE VIOLENCIA VICARIA PARA LOS AÑOS 2021-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06"/>
  </r>
  <r>
    <n v="220220008285"/>
    <s v="AD"/>
    <d v="2022-03-10T00:00:00"/>
    <n v="22022002719"/>
    <s v="2022 05 4331 22799"/>
    <n v="7199.5"/>
    <x v="309"/>
    <s v="CONTRATO MENOR DE SERVICIOS PARA EL APOYO Y SOPORTE AL PRIMER CICLO DE &quot;&quot;MENTORIZACIÓN&quot;&quot; DEL PROYECTO EUROPEO PROSPECT+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10084916"/>
    <s v="AD"/>
    <d v="2022-03-11T00:00:00"/>
    <n v="22021008486"/>
    <s v="2022 11 1361 623"/>
    <n v="0.01"/>
    <x v="310"/>
    <s v="Adquisición de 47 equipos de protección individual craneal ligeros; SEISYPC"/>
    <s v="220"/>
    <s v="VITORIA"/>
    <s v="ALAVA"/>
    <x v="3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10082254"/>
    <s v="AD"/>
    <d v="2022-02-28T00:00:00"/>
    <n v="22021006199"/>
    <s v="2022 05 4331 629"/>
    <n v="73047.72"/>
    <x v="311"/>
    <s v="Compra quipamiento para ampliación del edificio municipal de Calle Vega Sicilia, 2 - Agencia de Innovación. LOTE Nº 2."/>
    <s v="220"/>
    <s v="ZARATAN"/>
    <s v="VALLADOLID"/>
    <x v="0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9"/>
  </r>
  <r>
    <n v="220220006330"/>
    <s v="ADO"/>
    <d v="2022-02-25T00:00:00"/>
    <n v="22022002381"/>
    <s v="2022 04 9202 22607"/>
    <n v="1568"/>
    <x v="312"/>
    <s v="USO DE ESPACIOS F. ECON. (PERSONAL + LIMPIEZA) / AULARIO ESGUEVA / EXAMEN 2 TC. AUX. BIBLIO. / DIA: 05-02-2022."/>
    <s v="24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5931"/>
    <s v="AD"/>
    <d v="2022-02-24T00:00:00"/>
    <n v="22022002402"/>
    <s v="2022 07 1721 22799"/>
    <n v="242"/>
    <x v="312"/>
    <s v="CALIBRACIÓN DEL TERMOHIGROMETRO DE CALOR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6688"/>
    <s v="AD"/>
    <d v="2022-02-25T00:00:00"/>
    <n v="22022001546"/>
    <s v="2022 07 1721 22799"/>
    <n v="145.19999999999999"/>
    <x v="312"/>
    <s v="CALIBRACIÓN DEL TERMÓMETRO DIGITAL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6908"/>
    <s v="AD"/>
    <d v="2022-03-02T00:00:00"/>
    <n v="22022002520"/>
    <s v="2022 07 1721 22799"/>
    <n v="145.19999999999999"/>
    <x v="312"/>
    <s v="CALIBRACIÓN DE LA BALANZA DEL LABORATORIO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3491"/>
    <s v="AD"/>
    <d v="2022-02-14T00:00:00"/>
    <n v="22022002057"/>
    <s v="2022 06 3261 22699"/>
    <n v="1324.95"/>
    <x v="313"/>
    <s v="SUMINISTRO 60 PARKAS BORDADAS CON ESCUDO PARA LA BANDA DE LA ESCUELA MUNICIPAL DE MUSICA DEL AYUNTAMIENTO DE VALLADOLID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3503"/>
    <s v="AD"/>
    <d v="2022-02-14T00:00:00"/>
    <n v="22022002246"/>
    <s v="2022 11 1621 22104"/>
    <n v="248.05"/>
    <x v="314"/>
    <s v="SUMINISTRO PRENDAS TÉRMICAS PARA EL PERSONAL QUE TRABAJA EN LA NAVE DE LAVADO VEHÍCULOS Sº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20000314"/>
    <s v="ADO"/>
    <d v="2022-01-21T00:00:00"/>
    <n v="22022001277"/>
    <s v="2022 03 9241 22701"/>
    <n v="22728.86"/>
    <x v="108"/>
    <s v="SERVICIO DE CELADURÍA CENTROS CÍVICOS/ CENTROS MPALES Y CENTROS DE INIC. CIUDADANAS,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5733"/>
    <s v="ADO"/>
    <d v="2022-02-22T00:00:00"/>
    <n v="22022002437"/>
    <s v="2022 03 9241 22701"/>
    <n v="19084.009999999998"/>
    <x v="108"/>
    <s v="SERVICIO DE CELADURÍA EN CENTROS CÍVICOS, CENTROS MPALES Y CENTROS DE INICIATIVAS CIUDADANAS // MES NOVIEMBRE 21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8399"/>
    <s v="ADO"/>
    <d v="2022-03-11T00:00:00"/>
    <n v="22022002610"/>
    <s v="2022 03 9241 22701"/>
    <n v="51.79"/>
    <x v="108"/>
    <s v="CELADURIA: 4,5 HORAS ENCARGADAS EN CIC EMPECINADO EL MES DE SEPTIEMBRE DE 2021 NO CONTEMPLADAS EN LA FRA. DE SEPT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19001275"/>
    <s v="AD"/>
    <d v="2022-01-01T00:00:00"/>
    <n v="22022001803"/>
    <s v="2022 04 9204 22799"/>
    <n v="19965"/>
    <x v="315"/>
    <s v="OFICINA TÉCNICA DE PROYECTOS, LOTE 3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99"/>
  </r>
  <r>
    <n v="220220003851"/>
    <s v="AD"/>
    <d v="2022-02-16T00:00:00"/>
    <n v="22022002134"/>
    <s v="2022 04 9321 22799"/>
    <n v="1185.5999999999999"/>
    <x v="316"/>
    <s v="IMPRESIÓN Y ENCUADERNACIÓN DE LAS ORDENANZAS FISCALES-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10178"/>
    <s v="AD"/>
    <d v="2022-03-18T00:00:00"/>
    <n v="22022002276"/>
    <s v="2022 04 9321 641"/>
    <n v="74750.55"/>
    <x v="145"/>
    <s v="Prórroga contrato mantenimiento aplicaciones informáticas GTWIN para Gestión de Ingresos-Gestión Recaudatoria 2022"/>
    <s v="220"/>
    <s v="BARCELONA"/>
    <s v="BARCELONA"/>
    <x v="0"/>
    <s v="PrAbier - Procedimiento Abierto"/>
    <s v="MultiC - MultiCriterio"/>
    <x v="0"/>
    <x v="0"/>
    <s v="6"/>
    <s v="6. Inversiones reales"/>
    <s v="04"/>
    <x v="5"/>
    <s v="9321"/>
    <s v="9321. Gestión de ingresos e inspección"/>
    <s v="64"/>
    <s v="641"/>
  </r>
  <r>
    <n v="220220009693"/>
    <s v="AD"/>
    <d v="2022-03-17T00:00:00"/>
    <n v="22022002575"/>
    <s v="2022 04 9321 641"/>
    <n v="13939.2"/>
    <x v="145"/>
    <s v="Servicio de migración de la &quot;&quot;Carpeta del contribuyente&quot;&quot; a la versión 2.0"/>
    <s v="220"/>
    <s v="BARCELONA"/>
    <s v="BARCELONA"/>
    <x v="0"/>
    <s v="AdDirec - Adjudicación Directa"/>
    <s v="SinC - Sin Criterio"/>
    <x v="2"/>
    <x v="0"/>
    <s v="6"/>
    <s v="6. Inversiones reales"/>
    <s v="04"/>
    <x v="5"/>
    <s v="9321"/>
    <s v="9321. Gestión de ingresos e inspección"/>
    <s v="64"/>
    <s v="641"/>
  </r>
  <r>
    <n v="220220002536"/>
    <s v="AD"/>
    <d v="2022-02-03T00:00:00"/>
    <n v="22022001846"/>
    <s v="2022 11 1631 22700"/>
    <n v="580.79999999999995"/>
    <x v="317"/>
    <s v="TRABAJOS DE DESRATIZACIÓN EN LAS INSTALACIONES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700"/>
  </r>
  <r>
    <n v="220209000719"/>
    <s v="AD"/>
    <d v="2022-01-01T00:00:00"/>
    <n v="22022000256"/>
    <s v="2022 10 2312 22799"/>
    <n v="117922.75"/>
    <x v="318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10337"/>
    <s v="AD"/>
    <d v="2022-03-21T00:00:00"/>
    <n v="22022002915"/>
    <s v="2022 03 9241 22609"/>
    <n v="495"/>
    <x v="319"/>
    <s v="Actuación en el CC José Mª Luelmo el día 21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6728"/>
    <s v="AD"/>
    <d v="2022-03-01T00:00:00"/>
    <n v="22022001544"/>
    <s v="2022 07 1721 223"/>
    <n v="1000"/>
    <x v="320"/>
    <s v="TRANSPORTE DE MATERIAL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3"/>
  </r>
  <r>
    <n v="220209000682"/>
    <s v="AD"/>
    <d v="2022-01-01T00:00:00"/>
    <n v="22022000236"/>
    <s v="2022 06 3231 213"/>
    <n v="18344.28"/>
    <x v="16"/>
    <s v="CONTRATO DE MANTENIMIENTO DE ESCUELAS INFANTILES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03452"/>
    <s v="AD"/>
    <d v="2022-02-11T00:00:00"/>
    <n v="22022002130"/>
    <s v="2022 11 1321 223"/>
    <n v="500"/>
    <x v="320"/>
    <s v="GASTOS DE ENVIO PARA CERTIFICADOS DE VERIFICACIÓN Y REMISIÓN DE MUESTRAS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3"/>
  </r>
  <r>
    <n v="220209000683"/>
    <s v="AD"/>
    <d v="2022-01-01T00:00:00"/>
    <n v="22022000237"/>
    <s v="2022 06 2314 213"/>
    <n v="6171.08"/>
    <x v="16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0217"/>
    <s v="AD"/>
    <d v="2022-01-01T00:00:00"/>
    <n v="22022000050"/>
    <s v="2022 03 9241 213"/>
    <n v="5277.54"/>
    <x v="16"/>
    <s v="LOTE 4: MANTENIMIENTO EXTINTORES Y SISTEMAS CONTRA INCENDIOS EDIFICIOS DEPENDIENTES SERV.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09000684"/>
    <s v="AD"/>
    <d v="2022-01-01T00:00:00"/>
    <n v="22022000238"/>
    <s v="2022 06 2315 213"/>
    <n v="1542.77"/>
    <x v="16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09000680"/>
    <s v="AD"/>
    <d v="2022-01-01T00:00:00"/>
    <n v="22022000234"/>
    <s v="2022 06 3261 213"/>
    <n v="771.38"/>
    <x v="16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12894"/>
    <s v="AD"/>
    <d v="2022-03-28T00:00:00"/>
    <n v="22022002974"/>
    <s v="2022 06 3231 212"/>
    <n v="340.38"/>
    <x v="321"/>
    <s v="REPARACIÓN FUGA DE TUBERÍAS EN EL SOTONO EN LA EIM MAFALDA Y GUILLE. PLAZO EJECU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1723"/>
    <s v="ADO"/>
    <d v="2022-01-27T00:00:00"/>
    <n v="22022001495"/>
    <s v="2022 06 2314 213"/>
    <n v="514.26"/>
    <x v="16"/>
    <s v="MNTO ESPACIO JOVEN /// EXPTE: SE EIJI 11/20 - LOTE 2 /// MES DE DICIEMBRE D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0204"/>
    <s v="AD"/>
    <d v="2022-01-01T00:00:00"/>
    <n v="22022000405"/>
    <s v="2022 05 4312 22102"/>
    <n v="1700"/>
    <x v="23"/>
    <s v="GAS NATURAL OMIC 1-1-2022 AL 30-9-2022"/>
    <s v="220"/>
    <s v="BARCELONA"/>
    <s v="BARCELONA"/>
    <x v="3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102"/>
  </r>
  <r>
    <n v="220220003207"/>
    <s v="ADO"/>
    <d v="2022-02-09T00:00:00"/>
    <n v="22022001951"/>
    <s v="2022 06 2315 213"/>
    <n v="128.56"/>
    <x v="16"/>
    <s v="MANTENIMIENTO CENTRO MPAL DE IGUALDAD // EXPTE. SE EIJI 11/20 - LOTE 2 // MES DICIEMBRE D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20005594"/>
    <s v="D"/>
    <d v="2022-02-22T00:00:00"/>
    <n v="22022001552"/>
    <s v="2022 08 1532 210"/>
    <n v="3697.15"/>
    <x v="321"/>
    <s v="Autorización de gastos en el Acuerdo Marco  de Homologación de Proveedores para el SUMINISTRO DE MATERIALES.-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637"/>
    <s v="AD"/>
    <d v="2022-03-11T00:00:00"/>
    <n v="22022002761"/>
    <s v="2022 11 1621 22104"/>
    <n v="3000"/>
    <x v="322"/>
    <s v="SUMINISTRO PRENDAS TÉRMICAS PERSONAL LAVADERO Y TALLER. SERVICIO DE LIMPIEZA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19000121"/>
    <s v="AD"/>
    <d v="2022-01-01T00:00:00"/>
    <n v="22022000035"/>
    <s v="2022 04 9202 16205"/>
    <n v="147609.39000000001"/>
    <x v="323"/>
    <s v="CONTRATACIÓN LOTE 6, SUSCRIPCIÓN PÓLIZA SEGURO VIDA Y ACCIDENTES EMPLEADOS Y MIEMBROS CORPORACIÓN.  AÑO 2022."/>
    <s v="220"/>
    <s v="MADRID"/>
    <s v="MADRID"/>
    <x v="0"/>
    <s v="PrAbier - Procedimiento Abierto"/>
    <s v="MultiC - MultiCriterio"/>
    <x v="1"/>
    <x v="0"/>
    <s v="1"/>
    <s v="1. Gastos de personal"/>
    <s v="04"/>
    <x v="5"/>
    <s v="9202"/>
    <s v="9202. Gestión de recursos humanos"/>
    <s v="16"/>
    <s v="16205"/>
  </r>
  <r>
    <n v="220220000135"/>
    <s v="AD"/>
    <d v="2022-01-21T00:00:00"/>
    <n v="22022001499"/>
    <s v="2022 11 1621 214"/>
    <n v="2500"/>
    <x v="324"/>
    <s v="SUMINISTRO DE REPUESTOS PARA REPARACIONES DE CAJAS DE CAMBIOS AUTOMÁTICAS DE VEHÍCULOS DEL Sº DE LIMPIEZA"/>
    <s v="220"/>
    <s v="COSLADA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7933"/>
    <s v="AD"/>
    <d v="2022-03-07T00:00:00"/>
    <n v="22022002616"/>
    <s v="2022 09 3341 22609"/>
    <n v="5311.9"/>
    <x v="325"/>
    <s v="SERVICIO TRADUCCION SIMULTANEA EN PRESENTACIONES EN OTRO IDIOMA EN FERIA DEL LIBRO DE VA. DEL 3 AL 12 DE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09"/>
  </r>
  <r>
    <n v="220220009690"/>
    <s v="AD"/>
    <d v="2022-03-16T00:00:00"/>
    <n v="22022002736"/>
    <s v="2022 08 1532 619"/>
    <n v="109914.98"/>
    <x v="70"/>
    <s v="Contrato de obras urbanización y carril bici en Carretera de Rueda. (Exp. 7/2021)  REMANENTE INCORPORADO AD 220210063445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466"/>
    <s v="AD"/>
    <d v="2022-01-01T00:00:00"/>
    <n v="22022000198"/>
    <s v="2022 06 3231 22799"/>
    <n v="123080.85"/>
    <x v="115"/>
    <s v="EXPTE. SE-EIJI 10/2020. CTTO GESTION EIM EL GLOBO - LOTE 9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09000467"/>
    <s v="AD"/>
    <d v="2022-01-01T00:00:00"/>
    <n v="22022000199"/>
    <s v="2022 06 3231 22799"/>
    <n v="116326.2"/>
    <x v="115"/>
    <s v="EXPTE. SE-EIJI 10/2020. CTTO GESTION EIM CABALLITO BLANCO LOTE 10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6698"/>
    <s v="AD"/>
    <d v="2022-02-25T00:00:00"/>
    <n v="22022002528"/>
    <s v="2022 11 1321 212"/>
    <n v="2843.5"/>
    <x v="326"/>
    <s v="LIMPIEZA DE SANEAMIENTO Y ARQUETA EN DEPENDENCIAS DEPÓSITO DE VEHÍCULOS EL PER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20000115"/>
    <s v="AD"/>
    <d v="2022-01-20T00:00:00"/>
    <n v="22022001075"/>
    <s v="2022 01 9207 22001"/>
    <n v="89"/>
    <x v="327"/>
    <s v="ADJUDICA RENOVACIÓN SUSCRIPCIÓN PERIÓDICO DIGITAL EL CONFIDENCIAL.COM - AÑO 2022 - GOBIERNO Y RELACIONES"/>
    <s v="220"/>
    <s v="POZUELO DE ALARCON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3527"/>
    <s v="AD"/>
    <d v="2022-02-14T00:00:00"/>
    <n v="22022002117"/>
    <s v="2022 04 3121 22799"/>
    <n v="3500"/>
    <x v="328"/>
    <s v="LIMPIEZA BATAS, PIJAMAS Y SABANAS USO SANITARIO. DPTO. PREVENCION Y SALUD LABORAL"/>
    <s v="220"/>
    <s v="LAGUNA DE DUERO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0275"/>
    <s v="ADO"/>
    <d v="2022-01-21T00:00:00"/>
    <n v="22022000899"/>
    <s v="2022 04 3121 22799"/>
    <n v="104.67"/>
    <x v="328"/>
    <s v="BATAS (19) /// TOALLAS (15) / PORTES (4) /PERIODO: DEL 10-12-2021 AL 30-12-2021. SALUD LABORAL"/>
    <s v="240"/>
    <s v="LAGUNA DE DUERO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7949"/>
    <s v="AD"/>
    <d v="2022-03-08T00:00:00"/>
    <n v="22022002658"/>
    <s v="2022 11 1631 204"/>
    <n v="2000"/>
    <x v="329"/>
    <s v="SERVICIOS DE GRÚAS PARA TRASLADO DE BARREDORAS AVERIADAS DE LIMPIEZA VIARIA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0"/>
    <s v="204"/>
  </r>
  <r>
    <n v="220220010318"/>
    <s v="AD"/>
    <d v="2022-03-21T00:00:00"/>
    <n v="22022002892"/>
    <s v="2022 03 9241 22609"/>
    <n v="484"/>
    <x v="330"/>
    <s v="Espectáculo &quot;&quot;Mimo Rafaelo&quot;&quot; en el CC Casa Cuna, el día 19/03/2021. MFS"/>
    <s v="220"/>
    <s v="ARROYO DE LA ENCOMIEND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0063807"/>
    <s v="AD"/>
    <d v="2022-03-11T00:00:00"/>
    <n v="22021003535"/>
    <s v="2022 07 1711 623"/>
    <n v="0.01"/>
    <x v="288"/>
    <s v="DOS MÁQUINAS DE SIEGA CON RECOGIDA Y GIRO CERO Y  MÁQUINA DE SIEGA DE RECICLAJE (MULCHING) Y GIRO CERO. LOTE 1. V.8-2021"/>
    <s v="220"/>
    <s v="LA BAÑEZA"/>
    <s v="LEON"/>
    <x v="3"/>
    <s v="PrAbier - Procedimiento Abierto"/>
    <s v="UniC - Único Criterio"/>
    <x v="0"/>
    <x v="0"/>
    <s v="6"/>
    <s v="6. Inversiones reales"/>
    <s v="07"/>
    <x v="4"/>
    <s v="1711"/>
    <s v="1711. Parques y jardines"/>
    <s v="62"/>
    <s v="623"/>
  </r>
  <r>
    <n v="220220003729"/>
    <s v="ADO"/>
    <d v="2022-02-16T00:00:00"/>
    <n v="22022002025"/>
    <s v="2022 04 9204 626"/>
    <n v="1732.72"/>
    <x v="62"/>
    <s v="SUMINISTRO DE 160 MALETINES PARA PORTÁTILES CON DESTINO EL AYUNTAMIENTO DE VALLADOLID"/>
    <s v="240"/>
    <s v="MADRID"/>
    <s v="MADR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2"/>
    <s v="626"/>
  </r>
  <r>
    <n v="220219001097"/>
    <s v="AD"/>
    <d v="2022-01-01T00:00:00"/>
    <n v="22022000521"/>
    <s v="2022 04 9204 22200"/>
    <n v="2055.2600000000002"/>
    <x v="331"/>
    <s v="SERVICIO DE ACCESO A INTERNET SIMÉTRICO Y GARANTIZADO DEL EXCMO. AYUNTAMIENTO DE VALLADOLID"/>
    <s v="220"/>
    <s v="TOLEDO"/>
    <s v="TOLEDO"/>
    <x v="0"/>
    <s v="AdDirec - Adjudicación Directa"/>
    <s v="SinC - Sin Criterio"/>
    <x v="2"/>
    <x v="0"/>
    <s v="2"/>
    <s v="2. Gastos corrientes en bienes y servicios"/>
    <s v="04"/>
    <x v="5"/>
    <s v="9204"/>
    <s v="9204. Tecnologías de la información y comunicación"/>
    <s v="22"/>
    <s v="22200"/>
  </r>
  <r>
    <n v="220220005932"/>
    <s v="AD"/>
    <d v="2022-02-24T00:00:00"/>
    <n v="22022002403"/>
    <s v="2022 07 1721 22112"/>
    <n v="902"/>
    <x v="332"/>
    <s v="FILTROS PARA ELIMINAR HIDROCARBUROS DE LAS BOTELLAS DE ALIMENTACIÓN DE LOS EQUIPOS DEL LABORATORIO DE LA RCCVA"/>
    <s v="220"/>
    <s v="SAN CUGAT DEL VALLES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0077"/>
    <s v="AD"/>
    <d v="2022-01-19T00:00:00"/>
    <n v="22022001152"/>
    <s v="2022 04 9321 22799"/>
    <n v="1230.93"/>
    <x v="333"/>
    <s v="MANTENIMIENTO 2022/Sistema de gestión de espera QSYSTEM  instalado en Pz Santa Ana, 6 bj"/>
    <s v="220"/>
    <s v="MADRID"/>
    <s v="MADR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06696"/>
    <s v="AD"/>
    <d v="2022-02-25T00:00:00"/>
    <n v="22022002455"/>
    <s v="2022 11 3111 213"/>
    <n v="1386"/>
    <x v="334"/>
    <s v="REVISION Y MANTENIMIENTO DEL HORNO CREMATORIO DEL CMPA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19000252"/>
    <s v="AD"/>
    <d v="2022-01-01T00:00:00"/>
    <n v="22022000055"/>
    <s v="2022 10 2312 22799"/>
    <n v="1800"/>
    <x v="335"/>
    <s v="ADJUDICACION lote 1-TALLER SENSIBILIZACION LOTE 1 ACCESIBILIDAD-32 E/H-enero a agosto 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2193"/>
    <s v="AD"/>
    <d v="2022-01-31T00:00:00"/>
    <n v="22022001718"/>
    <s v="2022 11 1321 213"/>
    <n v="3095.18"/>
    <x v="336"/>
    <s v="SERVICIO  MANTENIMIENTO Y ACT. SEMESTRALES DE SEGURIDAD  RADIOLÓGICA   ESCÁNER CASA CONSISTORIAL. EJERCICIO 2022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2363"/>
    <s v="AD"/>
    <d v="2022-03-23T00:00:00"/>
    <n v="22022002899"/>
    <s v="2022 03 9241 22609"/>
    <n v="1082.95"/>
    <x v="337"/>
    <s v="Espectáculo de magia en CC Pilarica el día 26/03/2022 y en CC Canal de Castilla el día 13/05/2022. MFS"/>
    <s v="220"/>
    <s v="SIMANC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88"/>
    <s v="AD"/>
    <d v="2022-02-01T00:00:00"/>
    <n v="22022001790"/>
    <s v="2022 11 1361 22199"/>
    <n v="964.45"/>
    <x v="146"/>
    <s v="Soportes estructura (baterías,depósitos combustible y adblue,etc.) origen fabricante, para instalar en vehículo; SEISYPC"/>
    <s v="220"/>
    <s v="PARACUELLOS DE JARAMA (MADRID)"/>
    <s v="MADR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0136"/>
    <s v="AD"/>
    <d v="2022-01-21T00:00:00"/>
    <n v="22022001515"/>
    <s v="2022 11 1621 214"/>
    <n v="3000"/>
    <x v="338"/>
    <s v="TRABAJOS DE MECANIZADO DE PIEZAS PARA REPARACIÓNES DE RECOLECTORES DE VEHÍCULOS Y BARREDORAS DEL Sº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332"/>
    <s v="AD"/>
    <d v="2022-01-01T00:00:00"/>
    <n v="22022000070"/>
    <s v="2022 04 3121 22706"/>
    <n v="30000"/>
    <x v="339"/>
    <s v="PRESTACION SERVICIOS LABORATORIO ANALISIS CLINICOS PARA EL DEPARTAMENTO DE PREVENCION Y SALUD LABORAL"/>
    <s v="220"/>
    <s v="ESPLUGUES DE LLOBREGAT"/>
    <s v="BARCELONA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20002197"/>
    <s v="AD"/>
    <d v="2022-01-31T00:00:00"/>
    <n v="22022001273"/>
    <s v="2022 04 9321 22799"/>
    <n v="11998.36"/>
    <x v="340"/>
    <s v="Contratación de la impresion y presentación en Coreos de los recibos de Padrón del IVTM y del IBI,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00072"/>
    <s v="AD"/>
    <d v="2022-01-19T00:00:00"/>
    <n v="22022000893"/>
    <s v="2022 04 9231 22705"/>
    <n v="2142.08"/>
    <x v="340"/>
    <s v="NOTIFICACION MIEMBROS MESAS ELECTORALES - ELECCIONES AUTONOMICA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05"/>
  </r>
  <r>
    <n v="220220002440"/>
    <s v="D"/>
    <d v="2022-02-02T00:00:00"/>
    <n v="22022001171"/>
    <s v="2022 10 2412 214"/>
    <n v="230.26"/>
    <x v="341"/>
    <s v="SUMINIS. : COMPROBAR ALTERNADOR SUSTITUIR BATERÍA, SUST. LÁMPARA FUNDIDA DEL C.DE F. PARA EL EMPLEO- VEHÍCULO 6817GJG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4"/>
  </r>
  <r>
    <n v="220220004083"/>
    <s v="D"/>
    <d v="2022-02-18T00:00:00"/>
    <n v="22022000901"/>
    <s v="2022 11 1621 214"/>
    <n v="325.57"/>
    <x v="341"/>
    <s v="AC MARCO EXP SPSC 23/2020: REPARACIONES VEHCULOS Sº LIMPU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45"/>
    <s v="D"/>
    <d v="2022-02-18T00:00:00"/>
    <n v="22022000902"/>
    <s v="2022 11 1631 214"/>
    <n v="1534.87"/>
    <x v="341"/>
    <s v="AC. MARCO EXP V36-2017: REPARACIÓN VEHÍCULO 9067JCH DEL S. DE LIMPIEZA VIARI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180"/>
    <s v="D"/>
    <d v="2022-02-18T00:00:00"/>
    <n v="22022000901"/>
    <s v="2022 11 1621 214"/>
    <n v="4674.17"/>
    <x v="341"/>
    <s v="AC MARCO EXP SPSC 23/2020: REPARACION FRENOS VEHÍCULO 1508DZM DEL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84"/>
    <s v="D"/>
    <d v="2022-02-18T00:00:00"/>
    <n v="22022000901"/>
    <s v="2022 11 1621 214"/>
    <n v="1137.04"/>
    <x v="341"/>
    <s v="AC MARCO EXP SPSC 23/2020: REPARACION EMBRAGUE VEHICULO: 0044-GJV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6"/>
    <s v="D"/>
    <d v="2022-02-18T00:00:00"/>
    <n v="22022000901"/>
    <s v="2022 11 1621 214"/>
    <n v="1229.3699999999999"/>
    <x v="341"/>
    <s v="AC MARCO EXP SPSC 23/2020: REPUESTOS REPARACIONES VEHÍCULOS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700"/>
    <s v="D"/>
    <d v="2022-03-14T00:00:00"/>
    <n v="22022000902"/>
    <s v="2022 11 1631 214"/>
    <n v="1588.11"/>
    <x v="341"/>
    <s v="PIEZAS PARA VEHÍCULOS (4459KLP/0120GJY/4223JDZ/1224LPS/2941CBL) / ALBARANES FEBRERO / AM SPSC 23/2020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9599"/>
    <s v="D"/>
    <d v="2022-03-16T00:00:00"/>
    <n v="22022000902"/>
    <s v="2022 11 1631 214"/>
    <n v="2676.28"/>
    <x v="341"/>
    <s v="REPARACIÓN VEHICULO + MATERIALES + M.O. ////  VEHICULO IVECO - MATRICULA: 1211-DPF // SERVICIO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19000254"/>
    <s v="AD"/>
    <d v="2022-01-01T00:00:00"/>
    <n v="22022000058"/>
    <s v="2022 10 2312 22799"/>
    <n v="3511"/>
    <x v="114"/>
    <s v="ADJUDICACION lote 3-TALLER EDUCATIVO PREVENCION USO INADECUADO TIC-.-29,50 E/H-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253"/>
    <s v="AD"/>
    <d v="2022-01-01T00:00:00"/>
    <n v="22022000056"/>
    <s v="2022 10 2312 22799"/>
    <n v="1947"/>
    <x v="114"/>
    <s v="ADJUDICACION lote 2-TALLER EDUCATIVO SOBRE COMERCIO JUSTO-PLAN COOP.-29,50 E/H-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0131"/>
    <s v="AD"/>
    <d v="2022-01-21T00:00:00"/>
    <n v="22022001360"/>
    <s v="2022 11 1631 214"/>
    <n v="7000"/>
    <x v="342"/>
    <s v="SUMINSITRO DE REPUESTOS PARA REPARACIONES HIDRÁULICAS DE VEHICULOS DE LIMPIEZA VIARI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06697"/>
    <s v="AD"/>
    <d v="2022-02-25T00:00:00"/>
    <n v="22022002504"/>
    <s v="2022 11 1361 22199"/>
    <n v="1321.11"/>
    <x v="343"/>
    <s v="Materiales de acero inoxidable para uso en MMPP; Servicio de Extinción de Incendios, Salvamento y Protección Civi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692"/>
    <s v="AD"/>
    <d v="2022-02-25T00:00:00"/>
    <n v="22022002351"/>
    <s v="2022 11 1361 22199"/>
    <n v="469.2"/>
    <x v="343"/>
    <s v="Cajas de plástico para diversos usos; Servicio de Extinción de Incendios, Salvamento y Protección Civi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09000480"/>
    <s v="AD"/>
    <d v="2022-01-01T00:00:00"/>
    <n v="22022000203"/>
    <s v="2022 07 1701 22799"/>
    <n v="7285"/>
    <x v="344"/>
    <s v="REAJUSTE ANUALIDADES CONTRATO DESARROLLO PROGRAMAS DE EDUCACION AMBIENTAL. LOTE 3. ACCIONES EDUCATIVAS. V.25/2019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0000106"/>
    <s v="AD"/>
    <d v="2022-01-20T00:00:00"/>
    <n v="22022001194"/>
    <s v="2022 01 9205 22199"/>
    <n v="6322.25"/>
    <x v="345"/>
    <s v="ADJUDICA SUMINISTRO TÓNER, TINTAS Y OTRO MATERIAL TÉCNICO PARA TRABAJOS IMPRESIÓN EN LA IMPRENTA -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0192"/>
    <s v="AD"/>
    <d v="2022-03-18T00:00:00"/>
    <n v="22022002943"/>
    <s v="2022 11 1621 22199"/>
    <n v="2090.88"/>
    <x v="346"/>
    <s v="SUMINISTRO CONTENEDORES PARA LA RECOGIDA SELECTIVA DE PILAS POR EL Sº DE LIMPIEZA"/>
    <s v="220"/>
    <s v="ALDEAMAYOR DE SAN MARTÍ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3281"/>
    <s v="AD"/>
    <d v="2022-02-10T00:00:00"/>
    <n v="22022002114"/>
    <s v="2022 04 3121 22199"/>
    <n v="1425"/>
    <x v="346"/>
    <s v="Suministro de contenedores para tratamiento de residuos biologicos (agujas y jeringas). DEPTO. PREVENCION Y SALUD LABORA"/>
    <s v="220"/>
    <s v="ALDEAMAYOR DE SAN MARTÍN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99"/>
  </r>
  <r>
    <n v="220219000205"/>
    <s v="AD"/>
    <d v="2022-01-01T00:00:00"/>
    <n v="22022000406"/>
    <s v="2022 02 9332 22102"/>
    <n v="75000"/>
    <x v="23"/>
    <s v="PRÓRROGA CONTRATO SUMINISTRO GAS NATURAL EDIF.MUNICIPALES (EXPTE.10/2019) DEL 1.01. AL 30.09.2022"/>
    <s v="220"/>
    <s v="BARCELONA"/>
    <s v="BARCELONA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2"/>
  </r>
  <r>
    <n v="220219000202"/>
    <s v="AD"/>
    <d v="2022-01-01T00:00:00"/>
    <n v="22022000403"/>
    <s v="2022 11 1321 22102"/>
    <n v="55000"/>
    <x v="23"/>
    <s v="SUMINISTRO DE GAS A POLICÍA DEL 1 DE ENERO AL 30 DE 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2"/>
  </r>
  <r>
    <n v="220219000200"/>
    <s v="AD"/>
    <d v="2022-01-01T00:00:00"/>
    <n v="22022000401"/>
    <s v="2022 06 3231 22102"/>
    <n v="53680"/>
    <x v="23"/>
    <s v="PR-SE 10/2021.(PS 3 EXPTE SE 10/2019). PRORROGA SUMINISTRO DE GAS EN ESCUELAS INFANTILE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19000197"/>
    <s v="AD"/>
    <d v="2022-01-01T00:00:00"/>
    <n v="22022000398"/>
    <s v="2022 10 2312 22102"/>
    <n v="42000"/>
    <x v="23"/>
    <s v="SUMINISTRO DE GAS EN CENTROS DE PERSONAS  MAYORES TRANSFERIDOS DEL 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312"/>
    <s v="2312. Iniciativas sociales"/>
    <s v="22"/>
    <s v="22102"/>
  </r>
  <r>
    <n v="220219000196"/>
    <s v="AD"/>
    <d v="2022-01-01T00:00:00"/>
    <n v="22022000397"/>
    <s v="2022 10 2312 22102"/>
    <n v="32000"/>
    <x v="23"/>
    <s v="SUMINISTRO GAS EN CENTROS DE PERSONAS MAYORES NO TRANSFERIDOS DEL   1/1 A 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312"/>
    <s v="2312. Iniciativas sociales"/>
    <s v="22"/>
    <s v="22102"/>
  </r>
  <r>
    <n v="220219000203"/>
    <s v="AD"/>
    <d v="2022-01-01T00:00:00"/>
    <n v="22022000404"/>
    <s v="2022 11 1361 22102"/>
    <n v="30000"/>
    <x v="23"/>
    <s v="Contrato suministro gas natural desde el 01/01/2022 al 30/09/2022; Expte.: PR_SE 10_ 2021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19000192"/>
    <s v="AD"/>
    <d v="2022-01-01T00:00:00"/>
    <n v="22022000393"/>
    <s v="2022 11 1621 22102"/>
    <n v="23000"/>
    <x v="23"/>
    <s v="PRORROGA CONTRATO SUMINISTRO GAS NATURAL SERVICIO LIMPIEZA DEL 1-1 AL 30-9-2022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2"/>
  </r>
  <r>
    <n v="220219000195"/>
    <s v="AD"/>
    <d v="2022-01-01T00:00:00"/>
    <n v="22022000396"/>
    <s v="2022 10 2311 22102"/>
    <n v="13000"/>
    <x v="23"/>
    <s v="SUMINISTRO DE GAS EN CEAS DESDE 1-ENERO A 30-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19000198"/>
    <s v="AD"/>
    <d v="2022-01-01T00:00:00"/>
    <n v="22022000399"/>
    <s v="2022 10 2412 22102"/>
    <n v="10000"/>
    <x v="23"/>
    <s v="prorroga contrato suministro de gas en Centro Formación Jacinto Benavente  de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19000193"/>
    <s v="AD"/>
    <d v="2022-01-01T00:00:00"/>
    <n v="22022000394"/>
    <s v="2022 10 2311 22102"/>
    <n v="8000"/>
    <x v="23"/>
    <s v="SUMINISTRO DE GAS EN CENTRO INTEGRADO DESDE 1-ENERO A 30-SEPTIEMBRE-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19000201"/>
    <s v="AD"/>
    <d v="2022-01-01T00:00:00"/>
    <n v="22022000402"/>
    <s v="2022 06 3321 22102"/>
    <n v="7225"/>
    <x v="23"/>
    <s v="PR-SE 10/2021.(PS 3 EXPTE SE 10/2019). PRORROGA SUMINISTRO DE GAS EN BIBLIOTECAS PUBLICA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2"/>
  </r>
  <r>
    <n v="220219000194"/>
    <s v="AD"/>
    <d v="2022-01-01T00:00:00"/>
    <n v="22022000395"/>
    <s v="2022 10 2311 22102"/>
    <n v="5000"/>
    <x v="23"/>
    <s v="SUMINISTRO DE GAS EN COMEDOR SOCIAL DESDE 1-ENERO A 30-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20000346"/>
    <s v="AD"/>
    <d v="2022-01-24T00:00:00"/>
    <n v="22022001254"/>
    <s v="2022 10 2412 22102"/>
    <n v="4336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19000206"/>
    <s v="AD"/>
    <d v="2022-01-01T00:00:00"/>
    <n v="22022000407"/>
    <s v="2022 06 2315 22102"/>
    <n v="4000"/>
    <x v="23"/>
    <s v="PR-SE 10/2021.(PS 3 EXPTE SE 10/2019). PRORROGA SUMINISTRO DE GAS CENTRO MUNICIPAL DE LA IGUALDAD. 01/01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2"/>
  </r>
  <r>
    <n v="220220005202"/>
    <s v="AD"/>
    <d v="2022-02-22T00:00:00"/>
    <n v="22022002180"/>
    <s v="2022 01 9206 22799"/>
    <n v="1584"/>
    <x v="34"/>
    <s v="DESTRUCCIÓN CERTIFICADA DE DOCUMENTACIÓN. ARCHIVO MUNICIPAL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0346"/>
    <s v="AD"/>
    <d v="2022-01-24T00:00:00"/>
    <n v="22022001255"/>
    <s v="2022 10 2412 22102"/>
    <n v="3097.18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8626"/>
    <s v="AD"/>
    <d v="2022-03-11T00:00:00"/>
    <n v="22022002653"/>
    <s v="2022 06 3231 22799"/>
    <n v="805.04"/>
    <x v="34"/>
    <s v="SUMINISTRO Y EXTENDIDO DE TIERRA CON MANTILLO PARA LAS EIM PRINCIPITO Y CABALLITO BLANCO. 1 DÍA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799"/>
  </r>
  <r>
    <n v="220220006381"/>
    <s v="AD"/>
    <d v="2022-02-25T00:00:00"/>
    <n v="22022002499"/>
    <s v="2022 07 1701 22699"/>
    <n v="561.44000000000005"/>
    <x v="34"/>
    <s v="CONTRATACIÓN DEL RECICLADO DE PAPEL EN CASA DEL BARCO Y EDIFICIO ANEXO.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699"/>
  </r>
  <r>
    <n v="220220003850"/>
    <s v="AD"/>
    <d v="2022-02-16T00:00:00"/>
    <n v="22022002109"/>
    <s v="2022 04 3121 22799"/>
    <n v="550"/>
    <x v="34"/>
    <s v="CONTRATO RECOGIDA Y DESTRUCCION PAPEL Y CARTON. DEPARTAMENTO DE PREVENCION Y SALUD LABORAL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3854"/>
    <s v="AD"/>
    <d v="2022-02-16T00:00:00"/>
    <n v="22022002259"/>
    <s v="2022 10 2312 22700"/>
    <n v="157.08000000000001"/>
    <x v="34"/>
    <s v="LIMPIEZA ESPECIAL  POR LAS OBRAS DE LA CUBIERTA DEL CPM LA VICTORIA- DURACION 1 D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0"/>
  </r>
  <r>
    <n v="220220013170"/>
    <s v="AD"/>
    <d v="2022-03-29T00:00:00"/>
    <n v="22022002653"/>
    <s v="2022 06 3231 22799"/>
    <n v="33.64"/>
    <x v="34"/>
    <s v="AMPLIACION SUMINISTRO SACOS TIERRA CON MANTILLO Y ABONO PARA EIM CABALLITO BLANCO. PLAZO: 1 DÍ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799"/>
  </r>
  <r>
    <n v="220220000346"/>
    <s v="AD"/>
    <d v="2022-01-24T00:00:00"/>
    <n v="22022001253"/>
    <s v="2022 10 2412 22102"/>
    <n v="2566.8200000000002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2608"/>
    <s v="AD"/>
    <d v="2022-02-07T00:00:00"/>
    <n v="22022001883"/>
    <s v="2022 05 4331 22799"/>
    <n v="626.29999999999995"/>
    <x v="347"/>
    <s v="SERVICIOS DE TRADUCCIÓN. RESUMEN DE PLANES PARA PARTICIPAR EN LA MISIÓN CIUDADES INTELIGENTES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2365"/>
    <s v="AD"/>
    <d v="2022-03-23T00:00:00"/>
    <n v="22022002985"/>
    <s v="2022 11 1321 22199"/>
    <n v="1627.52"/>
    <x v="348"/>
    <s v="SUMINISTRO DE 35 MÁSTILES DE SEÑALIZACIÓN PARA POLICÍA MUNICIPAL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370"/>
    <s v="AD"/>
    <d v="2022-01-24T00:00:00"/>
    <n v="22022001540"/>
    <s v="2022 11 1321 212"/>
    <n v="1587.68"/>
    <x v="348"/>
    <s v="INSTALACIÓN DE BARANDILLA DE PROTECCIÓN DE ANTENA EN DEPENDENCIAS DE LA POLICÍA MUNICIPAL (JEFATURA)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19000006"/>
    <s v="AD"/>
    <d v="2022-01-01T00:00:00"/>
    <n v="22022000319"/>
    <s v="2022 11 1621 22799"/>
    <n v="4546.4399999999996"/>
    <x v="48"/>
    <s v="PRORROGA CONTRATO EXPLOTACIÓN PUNTO LIMPIO C/ VALLE DE ARÁN (1-1 AL 22-1-2022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0000345"/>
    <s v="AD/"/>
    <d v="2022-01-24T00:00:00"/>
    <n v="22022000399"/>
    <s v="2022 10 2412 22102"/>
    <n v="-10000"/>
    <x v="23"/>
    <s v="prorroga contrato suministro de gas en Centro Formación Jacinto Benavente  de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7950"/>
    <s v="AD"/>
    <d v="2022-03-08T00:00:00"/>
    <n v="22022002679"/>
    <s v="2022 11 1321 213"/>
    <n v="500"/>
    <x v="348"/>
    <s v="REPARACIÓN DE VALLAS  DE PROTECCIÓN MÓVILES PARA LA POLICÍA MUNICIPAL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5217"/>
    <s v="AD"/>
    <d v="2022-02-22T00:00:00"/>
    <n v="22022002305"/>
    <s v="2022 02 1511 641"/>
    <n v="1597.2"/>
    <x v="349"/>
    <s v="ACTUALIZACIÓN Y MANTENIMIENTO SOLIBRI OFFICE AÑO 2022"/>
    <s v="220"/>
    <s v="HELSINKI"/>
    <s v="FINLANDIA"/>
    <x v="0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4"/>
    <s v="641"/>
  </r>
  <r>
    <n v="220220003498"/>
    <s v="AD"/>
    <d v="2022-02-14T00:00:00"/>
    <n v="22022002147"/>
    <s v="2022 06 3261 22699"/>
    <n v="508.2"/>
    <x v="350"/>
    <s v="VISITAS GUIADAS CIUDAD VALLADOLID (RUTA 1 Y 2)  DIRIGIDAS A ESCOLARES EN COLABORACION CONCEJ.CULTURA-TURISMO ENER-JUN 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9692"/>
    <s v="D"/>
    <d v="2022-03-17T00:00:00"/>
    <n v="22022001941"/>
    <s v="2022 04 9204 641"/>
    <n v="105734.96"/>
    <x v="351"/>
    <s v="OFICINA DE PROYECTO PARA LA PRESTACIÓN DE SERV DE COORDINACIÓN.... DEL LOTE 1, LOTE 2  (68/2020)"/>
    <s v="30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415"/>
    <s v="AD"/>
    <d v="2022-01-01T00:00:00"/>
    <n v="22022000551"/>
    <s v="2022 04 9231 22200"/>
    <n v="98471.16"/>
    <x v="14"/>
    <s v="PRORROGA CONTRATO SERVICIOS POSTALES - EN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0"/>
  </r>
  <r>
    <n v="220220000134"/>
    <s v="AD"/>
    <d v="2022-01-21T00:00:00"/>
    <n v="22022001497"/>
    <s v="2022 11 1621 22700"/>
    <n v="2500"/>
    <x v="48"/>
    <s v="SERVICIOS DE LIMPIEZA DE FOSA SEPTICA DE VESTUARIO &quot;&quot;LA MORERAS&quot;&quot; DEL Sº DE LIMPIEZA,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20001724"/>
    <s v="ADO"/>
    <d v="2022-01-27T00:00:00"/>
    <n v="22022001516"/>
    <s v="2022 06 2314 22799"/>
    <n v="1882.04"/>
    <x v="352"/>
    <s v="Actuaciones Formativas y Difusión de Prog. Divulg. por Medios y Redes- Publicidad - Curso (1os Auxilios) / MES DIC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1069"/>
    <s v="AD"/>
    <d v="2022-01-01T00:00:00"/>
    <n v="22022000491"/>
    <s v="2022 08 1651 213"/>
    <n v="37682.230000000003"/>
    <x v="353"/>
    <s v="Adjudicación  Suministro de material fungible para instalaciones de Alumbrado Público. LOTE 1 SEMEU 28/2021.-"/>
    <s v="220"/>
    <s v="BARCELONA"/>
    <s v="BARCELONA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1"/>
    <s v="213"/>
  </r>
  <r>
    <n v="220220000104"/>
    <s v="AD"/>
    <d v="2022-01-20T00:00:00"/>
    <n v="22022001192"/>
    <s v="2022 03 9241 22699"/>
    <n v="7260"/>
    <x v="354"/>
    <s v="PROVISIÓN DE CONTENIDOS PARA PANTALLAS INFORMATIVAS INSTALADAS EN CENTROS CIVICOS (PICC)"/>
    <s v="220"/>
    <s v="LAGUNA DE DUER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0130"/>
    <s v="AD"/>
    <d v="2022-01-21T00:00:00"/>
    <n v="22022001359"/>
    <s v="2022 11 1631 214"/>
    <n v="7000"/>
    <x v="355"/>
    <s v="SUMINISTRO DE RPEUESTOS PARA REPARACION DE BARREDORAS RAVO, ELIN Y MATHIEU DE LIMPIEZA VIARIA (SERVICIO OFICIAL)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12360"/>
    <s v="AD"/>
    <d v="2022-03-23T00:00:00"/>
    <n v="22022002944"/>
    <s v="2022 02 9332 22699"/>
    <n v="1990.45"/>
    <x v="356"/>
    <s v="POSTES PARA PLACAS IDENTIFICATIVAS FABRICADAS EN TUBO SOLDADO GALVANIZADO"/>
    <s v="220"/>
    <s v="SANTOVENIA DE PISUERGA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699"/>
  </r>
  <r>
    <n v="220220000419"/>
    <s v="AD"/>
    <d v="2022-01-25T00:00:00"/>
    <n v="22022001613"/>
    <s v="2022 08 1341 22699"/>
    <n v="383.57"/>
    <x v="357"/>
    <s v="Autoadhesivos de vinilo blanco con numeración de las tarifas de taxis para 2022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341"/>
    <s v="1341. Movilidad"/>
    <s v="22"/>
    <s v="22699"/>
  </r>
  <r>
    <n v="220219000835"/>
    <s v="AD"/>
    <d v="2022-01-01T00:00:00"/>
    <n v="22022000602"/>
    <s v="2022 09 3341 22799"/>
    <n v="4384.66"/>
    <x v="358"/>
    <s v="SERVICIO DE CELADURIA DEL CENTRO GALERIAS VALLADOLID"/>
    <s v="220"/>
    <s v="EL PINAR DE ANTEQUERA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19000581"/>
    <s v="AD"/>
    <d v="2022-01-01T00:00:00"/>
    <n v="22022000570"/>
    <s v="2022 03 9241 22799"/>
    <n v="109843.22"/>
    <x v="359"/>
    <s v="PRORROGA CONTRATO ASISTENCIA EQUIPOS AUDIOVISUALES (DEL 01/01/2022 AL 03/10/2022)"/>
    <s v="220"/>
    <s v="MADRID"/>
    <s v="MADR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19000187"/>
    <s v="AD"/>
    <d v="2022-01-01T00:00:00"/>
    <n v="22022000390"/>
    <s v="2022 07 1711 22799"/>
    <n v="100885.53"/>
    <x v="24"/>
    <s v="CONTRATO MANTENIMIENTO JARDINES ZONA NORTE, HASTA 31/5/2022.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20003487"/>
    <s v="AD"/>
    <d v="2022-02-14T00:00:00"/>
    <n v="22022001970"/>
    <s v="2022 10 2311 22700"/>
    <n v="1082.95"/>
    <x v="360"/>
    <s v="5 Limpiezas del tejadillo interior del Centro integrado (actual albergue) 2022"/>
    <s v="220"/>
    <s v="LA CISTERNIGA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00"/>
  </r>
  <r>
    <n v="220220003493"/>
    <s v="AD"/>
    <d v="2022-02-14T00:00:00"/>
    <n v="22022002135"/>
    <s v="2022 06 3232 22799"/>
    <n v="4568.96"/>
    <x v="361"/>
    <s v="CTTO DE SERVICIOS POR LA REVISIÓN PERIODICA (OCA) DE LAS INSTALACIONES TÉRMICAS DE LOS COLEGIOS PÚBLICOS. AÑO 2022."/>
    <s v="220"/>
    <s v="LA CISTERNIGA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0071"/>
    <s v="AD"/>
    <d v="2022-01-19T00:00:00"/>
    <n v="22022000892"/>
    <s v="2022 09 4321 22799"/>
    <n v="847"/>
    <x v="362"/>
    <s v="LIMPIEZA NAVES PARCELA ANTIGUA HIPICA MILITAR POR REALIZACION DE OBRAS DE ADAPTACION EN LAS NAVES. 13 DE ENER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4321"/>
    <s v="4321. Turismo"/>
    <s v="22"/>
    <s v="22799"/>
  </r>
  <r>
    <n v="220220003846"/>
    <s v="AD"/>
    <d v="2022-02-16T00:00:00"/>
    <n v="22022002310"/>
    <s v="2022 06 2315 22614"/>
    <n v="151.25"/>
    <x v="362"/>
    <s v="Servicio de reparto de materiales &quot;&quot;Mochila viajera&quot;&quot; Día Internacional Derechos de la Infancia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4"/>
  </r>
  <r>
    <n v="220220002265"/>
    <s v="AD"/>
    <d v="2022-01-31T00:00:00"/>
    <n v="22022001747"/>
    <s v="2022 11 3111 213"/>
    <n v="500"/>
    <x v="363"/>
    <s v="MANTENIMIENTO CALDERA BIOMASA CENTRO MUNICIPAL PROTECCION ANIMAL"/>
    <s v="220"/>
    <s v="ZARATAN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5198"/>
    <s v="AD"/>
    <d v="2022-02-22T00:00:00"/>
    <n v="22022002068"/>
    <s v="2022 05 4331 22706"/>
    <n v="6763.9"/>
    <x v="364"/>
    <s v="CONTRATO DE SERVICIOS DE TERMINACIÓN DE PROYECTO &quot;&quot;Sistemas de drenaje urbano sostenibles (SUDs)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20000078"/>
    <s v="AD"/>
    <d v="2022-01-19T00:00:00"/>
    <n v="22022001154"/>
    <s v="2022 11 1621 22199"/>
    <n v="3000"/>
    <x v="365"/>
    <s v="SUMINISTRO DE MATERIAL DE PINTURA UTILIZADOS POR EL EQUIPO DE ELIMANCIÓN DE PINTADAS DEL Sº DE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1796"/>
    <s v="AD"/>
    <d v="2022-01-28T00:00:00"/>
    <n v="22022001653"/>
    <s v="2022 06 3231 212"/>
    <n v="2000"/>
    <x v="365"/>
    <s v="SUMINISTRO DE PINTURA PARA REPARACIONES EN LAS ESCUELAS INFANTILES MUNICIPALES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9696"/>
    <s v="AD"/>
    <d v="2022-03-17T00:00:00"/>
    <n v="22022002687"/>
    <s v="2022 10 2312 212"/>
    <n v="1700"/>
    <x v="365"/>
    <s v="SUMINISTRO DE MATERIALES DE  PINTURA PARA REPARACIONES EN LOS CPM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09000215"/>
    <s v="AD"/>
    <d v="2022-01-01T00:00:00"/>
    <n v="22022000178"/>
    <s v="2022 06 3232 22799"/>
    <n v="61014.31"/>
    <x v="34"/>
    <s v="SE 10/2020. LOTE 1. CONSERVACION Y MANTENIMIENTO ZONAS VERDES Y ARBOLADO. COLEGIOS PUBLICOS.2021 Y 01 ENE A 22 SEPT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19000316"/>
    <s v="AD"/>
    <d v="2022-01-01T00:00:00"/>
    <n v="22022000068"/>
    <s v="2022 06 3232 22799"/>
    <n v="26821.67"/>
    <x v="34"/>
    <s v="CONTRATO CENTRALIZADO. ADJUDICACION CELADURIA COLEGIOS PÚBLICOS. AÑO 2021 Y DEL 01 DE ENERO A 31 DE JULIO D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09000716"/>
    <s v="AD"/>
    <d v="2022-01-01T00:00:00"/>
    <n v="22022000253"/>
    <s v="2022 10 2412 22700"/>
    <n v="25193.72"/>
    <x v="3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09349"/>
    <s v="AD"/>
    <d v="2022-03-16T00:00:00"/>
    <n v="22022002726"/>
    <s v="2022 06 2314 213"/>
    <n v="300"/>
    <x v="365"/>
    <s v="MANTENIMIENTO Y REPARACIÓN PINTURA ESPACIO JOVEN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1"/>
    <s v="213"/>
  </r>
  <r>
    <n v="220220009696"/>
    <s v="AD"/>
    <d v="2022-03-17T00:00:00"/>
    <n v="22022002688"/>
    <s v="2022 10 2312 212"/>
    <n v="300"/>
    <x v="365"/>
    <s v="SUMINISTRO DE MATERIALES DE  PINTURA PARA REPARACIONES EN LOS CPM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0219"/>
    <s v="AD"/>
    <d v="2022-01-01T00:00:00"/>
    <n v="22022000052"/>
    <s v="2022 03 9241 22700"/>
    <n v="15121.07"/>
    <x v="34"/>
    <s v="LOTE 5: MANTENIMIENTO ZONAS VERDES EDIFICIOS DEPENDIENTES SERVICIO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00"/>
  </r>
  <r>
    <n v="220220001600"/>
    <s v="AD"/>
    <d v="2022-01-26T00:00:00"/>
    <n v="22022001362"/>
    <s v="2022 10 2412 22700"/>
    <n v="13167.06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10307"/>
    <s v="AD"/>
    <d v="2022-03-21T00:00:00"/>
    <n v="22022002866"/>
    <s v="2022 03 9241 212"/>
    <n v="147.13999999999999"/>
    <x v="365"/>
    <s v="MATERIALES PARA TRABAJOS DE PINTURA EN CC DELICIA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199000358"/>
    <s v="AD"/>
    <d v="2022-02-28T00:00:00"/>
    <n v="22021000703"/>
    <s v="2022 08 1341 619"/>
    <n v="2514.38"/>
    <x v="30"/>
    <s v="CONTROL DE CALIDAD CONTRATO DE SEÑALIZACION VIAL LOTE 1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199000359"/>
    <s v="AD"/>
    <d v="2022-02-28T00:00:00"/>
    <n v="22021000704"/>
    <s v="2022 08 1341 619"/>
    <n v="6914.52"/>
    <x v="30"/>
    <s v="CONTROL DE CALIDAD CONTRATO SEÑALIZACION VIAL LOTE 2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10008412"/>
    <s v="AD"/>
    <d v="2022-02-28T00:00:00"/>
    <n v="22021003273"/>
    <s v="2022 08 1341 619"/>
    <n v="3766.29"/>
    <x v="30"/>
    <s v="TRABAJOS DE CONTROL DE CALIDAD EN CONTRATOS DE MOVILIDAD URBANA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10016150"/>
    <s v="AD"/>
    <d v="2022-02-28T00:00:00"/>
    <n v="22021003527"/>
    <s v="2022 02 1511 609"/>
    <n v="7047.23"/>
    <x v="30"/>
    <s v="CONTROL CALIDAD OBRAS REHABILITACIÓN CUATRO BLOQUES EN CALLE VILLABAÑEZ,12,14,16 Y 18(29 OCTUBRE FASE II).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10024830"/>
    <s v="AD"/>
    <d v="2022-03-11T00:00:00"/>
    <n v="22021004357"/>
    <s v="2022 07 1711 619"/>
    <n v="12.39"/>
    <x v="30"/>
    <s v="CONTROL DE CALIDAD, REMODELACION PARQUE ALAMEDA COMO ESPACIO VERDE MULTIFUNCIONAL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3437"/>
    <s v="AD"/>
    <d v="2022-02-11T00:00:00"/>
    <n v="22022002018"/>
    <s v="2022 03 9241 212"/>
    <n v="109.56"/>
    <x v="365"/>
    <s v="MATERIALES PARA TRABAJOS DE PINTURA EN CIC CONDE ANSÚREZ Y CC BAILARÍN VICENTE ESCUDER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0037286"/>
    <s v="AD"/>
    <d v="2022-02-28T00:00:00"/>
    <n v="22021002658"/>
    <s v="2022 08 1532 619"/>
    <n v="4052.68"/>
    <x v="30"/>
    <s v="LOTE B: Control Calidad en ejecución, asistencia técnica, inspecciones y vigilancia de obras Contrato Conserv.Vias Públi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2534"/>
    <s v="AD"/>
    <d v="2022-02-03T00:00:00"/>
    <n v="22022001821"/>
    <s v="2022 03 9241 22706"/>
    <n v="6025.8"/>
    <x v="30"/>
    <s v="ASISTENCIA TÉCNICA PARA EL CONTROL DE LOS SERVICIOS DE MANTENIMIENTO (ENERO-ABRIL 2022)"/>
    <s v="220"/>
    <s v="ZARATAN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00016733"/>
    <s v="AD"/>
    <d v="2022-02-28T00:00:00"/>
    <n v="22020002100"/>
    <s v="2022 02 1511 609"/>
    <n v="5027"/>
    <x v="30"/>
    <s v="ADJUDICAR CONTROL CALIDAD LOTE II DEL  ARU 29 DE OCTUBRE FASE II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00044943"/>
    <s v="AD"/>
    <d v="2022-02-28T00:00:00"/>
    <n v="22020003694"/>
    <s v="2022 06 3321 622"/>
    <n v="96.75"/>
    <x v="30"/>
    <s v="EXPTE. 10S-SS-55/20. CONTROL DE CALIDAD. OBRA NUEVA. BIBLIOTECA EN PARCELA 143-F DE PARQUESOL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09000232"/>
    <s v="AD"/>
    <d v="2022-01-01T00:00:00"/>
    <n v="22022002089"/>
    <s v="2022 06 3321 622"/>
    <n v="7435.01"/>
    <x v="30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09000235"/>
    <s v="AD"/>
    <d v="2022-01-01T00:00:00"/>
    <n v="22022002091"/>
    <s v="2022 10 2312 622"/>
    <n v="9733.1"/>
    <x v="3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9000317"/>
    <s v="AD"/>
    <d v="2022-01-01T00:00:00"/>
    <n v="22022000069"/>
    <s v="2022 06 2315 22799"/>
    <n v="12705"/>
    <x v="34"/>
    <s v="CONTRATO CENTRALIZADO. ADJUDICACIÓN CELADURÍA CENTRO MUNICIPAL DE LA IGUALDAD. AÑO 2021 Y DEL 01/01 AL 31/07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10036308"/>
    <s v="AD"/>
    <d v="2022-03-11T00:00:00"/>
    <n v="22021005107"/>
    <s v="2022 07 1711 619"/>
    <n v="6.14"/>
    <x v="30"/>
    <s v="CONTROL DE CALIDAD ADECUACION CAMINOS EN VILLA DEL PRADO Y HUERTA DEL REY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36840"/>
    <s v="AD"/>
    <d v="2022-03-11T00:00:00"/>
    <n v="22021004558"/>
    <s v="2022 07 1711 619"/>
    <n v="2.74"/>
    <x v="30"/>
    <s v="CONTROL DE CALIDAD, AJARDINAMIENTO LATERAL CALLE LUGANO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56347"/>
    <s v="AD"/>
    <d v="2022-03-11T00:00:00"/>
    <n v="22021006361"/>
    <s v="2022 07 1711 619"/>
    <n v="7.04"/>
    <x v="30"/>
    <s v="CONTROL DE CALIDAD  ACTUACIONES EN LOS BOMBEOS DE LA CIUDAD DE VALLADOLID FASE II. V.6/2020 LOTE 1 PS21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66696"/>
    <s v="AD"/>
    <d v="2022-02-28T00:00:00"/>
    <n v="22021004428"/>
    <s v="2022 05 4331 609"/>
    <n v="193.68"/>
    <x v="30"/>
    <s v="Modificado del contrato de obras de infraestructura verde singular JARDIN BIO-FILTRO URBANO URBAN GreenUP (G.A.730426)"/>
    <s v="220"/>
    <s v="ZARATAN"/>
    <s v="VALLADOLID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68401"/>
    <s v="AD"/>
    <d v="2022-02-28T00:00:00"/>
    <n v="22021007326"/>
    <s v="2022 08 1532 619"/>
    <n v="1227.7"/>
    <x v="30"/>
    <s v="A.T. CONTROL CALIDAD.LOTE 2 Obra C/ Nueva del Carmen, entre Pza.Rafael Cano y Pza. Gómez del Barco.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25551"/>
    <s v="AD"/>
    <d v="2022-02-28T00:00:00"/>
    <n v="22021002980"/>
    <s v="2022 02 9332 632"/>
    <n v="61.98"/>
    <x v="30"/>
    <s v="CONTROL CALIDAD DESPRENDIMIENTO QUE SUSTENTA TERRAZA PÓRTICO ENTRADA CASA CONSISTORIAL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19000249"/>
    <s v="AD"/>
    <d v="2022-01-01T00:00:00"/>
    <n v="22022002187"/>
    <s v="2022 10 2312 622"/>
    <n v="2401.2600000000002"/>
    <x v="30"/>
    <s v="control calidad de obra proy.modificado CPM Parquesol debido a cimentación del terreno-2022"/>
    <s v="220"/>
    <s v="ZARATAN"/>
    <s v="VALLADOLID"/>
    <x v="1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9000319"/>
    <s v="AD"/>
    <d v="2022-01-01T00:00:00"/>
    <n v="22022002152"/>
    <s v="2022 06 3321 622"/>
    <n v="1834.3"/>
    <x v="30"/>
    <s v="CONTROL CALIDAD DE OBRA PROY.MODIFICADO BIBLIOTECA PARQUESOL DEBIDO A CIMENTACIÓN DEL TERRENO-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19000442"/>
    <s v="AD"/>
    <d v="2022-01-01T00:00:00"/>
    <n v="22022000072"/>
    <s v="2022 09 3301 22799"/>
    <n v="59532"/>
    <x v="30"/>
    <s v="SERVICIO INGENIERIA ASISTENCIA TECNICA AREA CULTURA Y TURISMO EN MATERIA SEGURIDAD CIUDADANA ESPECTACULOS PUBLICOS 22/23"/>
    <s v="220"/>
    <s v="ZARATAN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19000678"/>
    <s v="AD"/>
    <d v="2022-01-01T00:00:00"/>
    <n v="22022002216"/>
    <s v="2022 02 1511 609"/>
    <n v="52286"/>
    <x v="30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19000851"/>
    <s v="AD"/>
    <d v="2022-01-01T00:00:00"/>
    <n v="22022000610"/>
    <s v="2022 08 1532 619"/>
    <n v="8776.39"/>
    <x v="30"/>
    <s v="A.T. CONTROL CALIDAD.LOTE 2 en Obra C/ Nueva del Carmen, entre Pza. Rafael Cano y Pza. Gomez del Barco.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5"/>
    <s v="AD"/>
    <d v="2022-02-17T00:00:00"/>
    <n v="22022002071"/>
    <s v="2022 08 1651 619"/>
    <n v="16469.54"/>
    <x v="30"/>
    <s v="AT.CONTROL CALIDAD (3 Lotes) SEMEU 8/2021  para obras Conserv.reparación y reforma de instalaciones Alumbrado Público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20003946"/>
    <s v="AD"/>
    <d v="2022-02-17T00:00:00"/>
    <n v="22022002095"/>
    <s v="2022 08 1532 619"/>
    <n v="12375.73"/>
    <x v="30"/>
    <s v="SEGUNDA PRÓRROGA CALIDAD LOTE 2 CONSERVACIÓN. EXP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7"/>
    <s v="AD"/>
    <d v="2022-02-17T00:00:00"/>
    <n v="22022002106"/>
    <s v="2022 08 1532 619"/>
    <n v="24584.69"/>
    <x v="30"/>
    <s v="SEGUNDA PRÓRROGA CONTROL DE CALIDAD LOTE 1 CONSERVACIÓN. PRESUPUESTO ORDINARIO. EXPTE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8"/>
    <s v="AD"/>
    <d v="2022-02-17T00:00:00"/>
    <n v="22022002111"/>
    <s v="2022 08 1532 619"/>
    <n v="10652.08"/>
    <x v="30"/>
    <s v="AT.CONTROL DE CALIDAD LOTE 1. SEGUNDA PRÓRROGA. CONSERVACIÓN. PRESUPUESTOS PARTICIPATIVOS. EXPTE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51"/>
    <s v="AD"/>
    <d v="2022-02-17T00:00:00"/>
    <n v="22022002255"/>
    <s v="2022 08 1532 622"/>
    <n v="9168.82"/>
    <x v="30"/>
    <s v="A.T. en CONTROL CALIDAD LOTE 1, EDIFICACION obra Traslado de Instalciones del SEPI, Expte 30/2021 SEMEU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2"/>
    <s v="622"/>
  </r>
  <r>
    <n v="220220003952"/>
    <s v="AD"/>
    <d v="2022-02-17T00:00:00"/>
    <n v="22022002257"/>
    <s v="2022 08 1532 609"/>
    <n v="6382.8"/>
    <x v="30"/>
    <s v="A.T. CONTROL CALIDAD LOTE 2, URBANIZACIÓN EXTERIOR obra Traslado de Instalaciones del SEPI, Expte. 30/2021 SEMEU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0"/>
    <s v="609"/>
  </r>
  <r>
    <n v="220220006721"/>
    <s v="AD"/>
    <d v="2022-02-28T00:00:00"/>
    <n v="22021000728"/>
    <s v="2022 10 2312 622"/>
    <n v="9107.5"/>
    <x v="3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0032809"/>
    <s v="AD"/>
    <d v="2022-02-28T00:00:00"/>
    <n v="22021002932"/>
    <s v="2022 10 2312 632"/>
    <n v="1227.3900000000001"/>
    <x v="30"/>
    <s v="servicio de control de calidad de las obras: CUBIERTA CPM LA VICTORIA."/>
    <s v="220"/>
    <s v="ZARATAN"/>
    <s v="VALLADOLID"/>
    <x v="1"/>
    <s v="PrAbier - Procedimiento Abierto"/>
    <s v="MultiC - MultiCriterio"/>
    <x v="1"/>
    <x v="0"/>
    <s v="6"/>
    <s v="6. Inversiones reales"/>
    <s v="10"/>
    <x v="0"/>
    <s v="2312"/>
    <s v="2312. Iniciativas sociales"/>
    <s v="63"/>
    <s v="632"/>
  </r>
  <r>
    <n v="220220006719"/>
    <s v="AD"/>
    <d v="2022-02-28T00:00:00"/>
    <n v="22021000725"/>
    <s v="2022 06 3321 622"/>
    <n v="6968.14"/>
    <x v="30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20006726"/>
    <s v="AD"/>
    <d v="2022-01-01T00:00:00"/>
    <n v="22021000704"/>
    <s v="2022 08 1341 619"/>
    <n v="6914.52"/>
    <x v="30"/>
    <s v="CONTROL DE CALIDAD CONTRATO SEÑALIZACION VIAL LOTE 2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20006742"/>
    <s v="AD/"/>
    <d v="2022-03-01T00:00:00"/>
    <n v="22021000704"/>
    <s v="2022 08 1341 619"/>
    <n v="-6914.52"/>
    <x v="30"/>
    <s v="CONTROL DE CALIDAD CONTRATO SEÑALIZACION VIAL LOTE 2. 2020 Y 2021 ANULACION POR DUPLICIDAD OPERACION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20007935"/>
    <s v="AD"/>
    <d v="2022-03-07T00:00:00"/>
    <n v="22022002631"/>
    <s v="2022 08 1532 619"/>
    <n v="6231.5"/>
    <x v="30"/>
    <s v="Realización de ensayos de deflexiones con difractómetro de impacto en la calle Manuel Jiménez Alfaro.-"/>
    <s v="220"/>
    <s v="ZARATAN"/>
    <s v="VALLADOLID"/>
    <x v="0"/>
    <s v="AdDirec - Adjudicación Directa"/>
    <s v="SinC - Sin Criterio"/>
    <x v="2"/>
    <x v="0"/>
    <s v="6"/>
    <s v="6. Inversiones reales"/>
    <s v="08"/>
    <x v="1"/>
    <s v="1532"/>
    <s v="1532. Pavimentación vias públicas y otros servicios urbanísticos"/>
    <s v="61"/>
    <s v="619"/>
  </r>
  <r>
    <n v="220209000227"/>
    <s v="AD"/>
    <d v="2022-01-01T00:00:00"/>
    <n v="22022000179"/>
    <s v="2022 06 3231 22799"/>
    <n v="11966.81"/>
    <x v="34"/>
    <s v="SE 10/2020. LOTE 2. CONSERVACION Y MANTENIMIENTO ZONAS VERDES Y ARBOLADO.EIM.AÑO 2021 Y 01 DE ENERO A 22 DE SEPT DE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19000312"/>
    <s v="AD"/>
    <d v="2022-01-01T00:00:00"/>
    <n v="22022000497"/>
    <s v="2022 09 3341 22799"/>
    <n v="7666.56"/>
    <x v="34"/>
    <s v="PRÓ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09000698"/>
    <s v="AD"/>
    <d v="2022-01-01T00:00:00"/>
    <n v="22022000248"/>
    <s v="2022 08 1532 22700"/>
    <n v="6161.09"/>
    <x v="34"/>
    <s v="Limpieza de las  dependencias del Parque de Vías Públicas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700"/>
  </r>
  <r>
    <n v="220209000539"/>
    <s v="AD"/>
    <d v="2022-01-01T00:00:00"/>
    <n v="22022002097"/>
    <s v="2022 04 9204 641"/>
    <n v="6473.98"/>
    <x v="237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20001600"/>
    <s v="AD"/>
    <d v="2022-01-26T00:00:00"/>
    <n v="22022001363"/>
    <s v="2022 10 2412 22700"/>
    <n v="5469.61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212"/>
    <s v="AD"/>
    <d v="2022-01-01T00:00:00"/>
    <n v="22022000177"/>
    <s v="2022 06 2315 22799"/>
    <n v="4072.32"/>
    <x v="34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0001600"/>
    <s v="AD"/>
    <d v="2022-01-26T00:00:00"/>
    <n v="22022001361"/>
    <s v="2022 10 2412 22700"/>
    <n v="3337.88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01600"/>
    <s v="AD"/>
    <d v="2022-01-26T00:00:00"/>
    <n v="22022000253"/>
    <s v="2022 10 2412 22700"/>
    <n v="3219.17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651"/>
    <s v="AD"/>
    <d v="2022-01-01T00:00:00"/>
    <n v="22022000224"/>
    <s v="2022 08 1651 22700"/>
    <n v="1087.25"/>
    <x v="34"/>
    <s v="Limpieza de las dependencias del Centro de Alumbrado Público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2"/>
    <s v="22700"/>
  </r>
  <r>
    <n v="220220001599"/>
    <s v="AD/"/>
    <d v="2022-01-26T00:00:00"/>
    <n v="22022000253"/>
    <s v="2022 10 2412 22700"/>
    <n v="-25193.72"/>
    <x v="3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854"/>
    <s v="AD"/>
    <d v="2022-02-28T00:00:00"/>
    <n v="22021001893"/>
    <s v="2022 08 1532 619"/>
    <n v="5047.0600000000004"/>
    <x v="366"/>
    <s v="Coordinación Seguridad y Salud Lote 1 contrato conservación (presupuestos participativos)"/>
    <s v="220"/>
    <s v="MADRID"/>
    <s v="MADR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8633"/>
    <s v="AD"/>
    <d v="2022-03-11T00:00:00"/>
    <n v="22022002733"/>
    <s v="2022 11 1321 22699"/>
    <n v="100.34"/>
    <x v="365"/>
    <s v="SUMINISTRO DE PINTURA PARA PEQUEÑA REPARACIÓN EN FACHADA DEL EDIFICIO DE JEFATURA EN C/ VICTORIA S/N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3485"/>
    <s v="AD"/>
    <d v="2022-02-14T00:00:00"/>
    <n v="22022001968"/>
    <s v="2022 10 2311 212"/>
    <n v="98.19"/>
    <x v="365"/>
    <s v="Compra de material para pintar la vivienda municipal, sita en c/ Gutierre de Cetina nº 2, bajo D.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0124"/>
    <s v="AD"/>
    <d v="2022-01-21T00:00:00"/>
    <n v="22022001266"/>
    <s v="2022 03 9241 212"/>
    <n v="74.400000000000006"/>
    <x v="365"/>
    <s v="SUMINISTRO DE MATERIALES DE PINTURA PARA LOCAL AVDA. REYES CATÓLICOS (AV RIBERA DE CURTIDORES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3486"/>
    <s v="AD"/>
    <d v="2022-02-14T00:00:00"/>
    <n v="22022001969"/>
    <s v="2022 10 2311 212"/>
    <n v="52.37"/>
    <x v="365"/>
    <s v="Compra de material de pintura para CEAS San Agustín,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8288"/>
    <s v="AD"/>
    <d v="2022-03-10T00:00:00"/>
    <n v="22022002737"/>
    <s v="2022 11 3111 22199"/>
    <n v="44.24"/>
    <x v="365"/>
    <s v="PINTURA PARA BORDES Y ESCALERAS. REPARACION FUGA AGUA CASA BARCO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20006703"/>
    <s v="AD"/>
    <d v="2022-02-25T00:00:00"/>
    <n v="22022002508"/>
    <s v="2022 08 1532 210"/>
    <n v="1210"/>
    <x v="367"/>
    <s v="Recarga periódica de las botellas de O2 y de Ar/CO2 para los equipos de oxicorte.-"/>
    <s v="220"/>
    <s v="BARCELONA"/>
    <s v="BARCELON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0066"/>
    <s v="AD"/>
    <d v="2022-01-19T00:00:00"/>
    <n v="22022000729"/>
    <s v="2022 11 1361 22199"/>
    <n v="605"/>
    <x v="367"/>
    <s v="RECARGA DE BOTELLAS DE OXIGENO MEDICINAL//SERVICIO DE EXTINCION DE INCENDIOS, SALVAMENTO Y PROTECCION CIVIL"/>
    <s v="220"/>
    <s v="BARCELONA"/>
    <s v="BARCELON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281"/>
    <s v="AD"/>
    <d v="2022-02-01T00:00:00"/>
    <n v="22022001784"/>
    <s v="2022 11 1321 22699"/>
    <n v="230.17"/>
    <x v="367"/>
    <s v="SUMINISTRO ANUA DE GAS PARA PISTOLAS DE LA GALERIA DE TIRO VIRTUAL."/>
    <s v="220"/>
    <s v="BARCELONA"/>
    <s v="BARCELONA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5795"/>
    <s v="AD"/>
    <d v="2022-02-23T00:00:00"/>
    <n v="22022002384"/>
    <s v="2022 07 1721 22199"/>
    <n v="5000"/>
    <x v="368"/>
    <s v="SUMINISTRO DE MATERIAL PARA EL LABORATORIO DE LA RED A LA EMPRESA SCHARLB, S.L. SERVICIO MEDIO AMBIENTE."/>
    <s v="220"/>
    <s v="SENTMENAT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09000718"/>
    <s v="AD"/>
    <d v="2022-01-01T00:00:00"/>
    <n v="22022000255"/>
    <s v="2022 10 2312 22799"/>
    <n v="100421"/>
    <x v="318"/>
    <s v="SERVICIO DE CELADURIA DE LOS CPM TRANSFERIDOS DEL 1 DE ENERO DE 2021 AL 31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3441"/>
    <s v="AD"/>
    <d v="2022-02-28T00:00:00"/>
    <n v="22021006198"/>
    <s v="2022 05 4331 625"/>
    <n v="97243.83"/>
    <x v="369"/>
    <s v="Adjudicación Compra de mobiliario para ampliación del edificio municipal de Calle Vega Sicilia, 2 -Agencia de Innovación"/>
    <s v="220"/>
    <s v="VALLADOLID"/>
    <s v="VALLADOLID"/>
    <x v="3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5"/>
  </r>
  <r>
    <n v="220210085338"/>
    <s v="AD"/>
    <d v="2022-02-28T00:00:00"/>
    <n v="22021005525"/>
    <s v="2022 02 9332 624"/>
    <n v="84651.6"/>
    <x v="370"/>
    <s v="ADJ.EXPTE. CAMIÓN DE 7200 KG.P.M.A. CON PLUMA Y CAJA BASCULANTE CON DESTINO AL C. DE MANTENIMIENTO"/>
    <s v="220"/>
    <s v="RAFELBUÑOL"/>
    <s v="VALENCIA"/>
    <x v="3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2"/>
    <s v="624"/>
  </r>
  <r>
    <n v="220220002256"/>
    <s v="AD"/>
    <d v="2022-01-31T00:00:00"/>
    <n v="22022001629"/>
    <s v="2022 06 2315 22619"/>
    <n v="3400"/>
    <x v="371"/>
    <s v="TALLERES DE COCINA DIRIGIDOS A LA POBLACIÓN INFANTIL EN EL CENTRO MUNICIPAL DE LA IGUALDAD 2022"/>
    <s v="220"/>
    <s v="FUENSALDAÑA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9"/>
  </r>
  <r>
    <n v="220210050361"/>
    <s v="AD"/>
    <d v="2022-02-28T00:00:00"/>
    <n v="22021003738"/>
    <s v="2022 03 9241 632"/>
    <n v="47294.1"/>
    <x v="22"/>
    <s v="CC PILARICA: ARREGLO INTEGRAL DEL TEJADO. LOTE 1"/>
    <s v="220"/>
    <s v="MEDINA DEL CAMPO"/>
    <s v="VALLADOLID"/>
    <x v="1"/>
    <s v="PrAbier - Procedimiento Abierto"/>
    <s v="UniC - Único Criterio"/>
    <x v="0"/>
    <x v="0"/>
    <s v="6"/>
    <s v="6. Inversiones reales"/>
    <s v="03"/>
    <x v="8"/>
    <s v="9241"/>
    <s v="9241. Participación ciudadana"/>
    <s v="63"/>
    <s v="632"/>
  </r>
  <r>
    <n v="220200016732"/>
    <s v="AD"/>
    <d v="2022-02-28T00:00:00"/>
    <n v="22020002100"/>
    <s v="2022 02 1511 609"/>
    <n v="43804.3"/>
    <x v="22"/>
    <s v="ADJUDICACIÓN OBRAS  LOTE II DEL ARU 29 DE OCTUBRE FASE II"/>
    <s v="220"/>
    <s v="MEDINA DEL CAMPO"/>
    <s v="VALLADOLID"/>
    <x v="1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0085339"/>
    <s v="AD"/>
    <d v="2022-02-28T00:00:00"/>
    <n v="22021008912"/>
    <s v="2022 02 9332 632"/>
    <n v="16933.95"/>
    <x v="30"/>
    <s v="ESTUDIO PATOLOGÍAS Y ANÁLISIS ESTRUCTURAL EN AZUCARERA SANTA VICTORIA"/>
    <s v="220"/>
    <s v="ZARATAN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0073"/>
    <s v="AD"/>
    <d v="2022-01-19T00:00:00"/>
    <n v="22022000896"/>
    <s v="2022 11 1621 22199"/>
    <n v="440.44"/>
    <x v="372"/>
    <s v="SUMINISTRO CARTELES EN PLCAS DE COMPOSITE &quot;&quot;rROHIBIDO EL PASO A VEHÍCULOS DE GAS&quot;&quot; ACCESOS TALLER Sº DE LIMPIEZA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2604"/>
    <s v="AD"/>
    <d v="2022-02-07T00:00:00"/>
    <n v="22022001864"/>
    <s v="2022 11 1621 22199"/>
    <n v="165.77"/>
    <x v="372"/>
    <s v="SUMINISTRO ADHESIVO, CON DISEÑO, AVISO &quot;&quot;NO DEPOSITAR RESIDUOS&quot;&quot; EN C/ LOS MOLINOS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8282"/>
    <s v="AD"/>
    <d v="2022-03-10T00:00:00"/>
    <n v="22022002695"/>
    <s v="2022 11 1321 22699"/>
    <n v="5899"/>
    <x v="373"/>
    <s v="SUMINISTRO DE OBJETOS DIVULGATIVOS CON DESTINO A LA CAMPAÑA DE EDUCACIÓN VIAL  CURSO 2022-2023."/>
    <s v="220"/>
    <s v="VIZCAYA"/>
    <s v="BILBAO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7109"/>
    <s v="AD"/>
    <d v="2022-03-03T00:00:00"/>
    <n v="22022002569"/>
    <s v="2022 06 2315 22611"/>
    <n v="4000"/>
    <x v="374"/>
    <s v="PROPUESTA DE CAMPAÑA ARTÍSTICA Y DE COMUNICACIÓN DEL DIA INTERNACIONAL DE LA MUJER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0127"/>
    <s v="AD"/>
    <d v="2022-01-21T00:00:00"/>
    <n v="22022001267"/>
    <s v="2022 11 1621 213"/>
    <n v="1490"/>
    <x v="375"/>
    <s v="SERVICIO MANTENIMIENTO MÁQUINA DE LAVAR PIEZAS VEHÍCULOS, TALLER DEL SERVICIO DE LIMPIEZA"/>
    <s v="220"/>
    <s v="COSLADA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3496"/>
    <s v="AD"/>
    <d v="2022-02-14T00:00:00"/>
    <n v="22022002138"/>
    <s v="2022 06 3232 22799"/>
    <n v="595.53"/>
    <x v="376"/>
    <s v="CTTO SERVICIOS REVISIÓN DE LÍNEAS DE VIDA UBICADAS EN LOS COLEGIOS EDUCACIÓN ESPECIAL Nº1 Y MACIAS PICAVEA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6708"/>
    <s v="AD"/>
    <d v="2022-02-25T00:00:00"/>
    <n v="22022002138"/>
    <s v="2022 06 3232 22799"/>
    <n v="1"/>
    <x v="376"/>
    <s v="DIFERENCIA DE 1 ¿ ENTRE LA PROPUESTA DE GASTO REVISIÓN LINEAS DE VIDA COLEGIOS Y EL AD Nº 920220001876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0105"/>
    <s v="AD"/>
    <d v="2022-01-20T00:00:00"/>
    <n v="22022001193"/>
    <s v="2022 01 9205 22199"/>
    <n v="6981.7"/>
    <x v="377"/>
    <s v="ADJUDICA SUMINISTRO A IMPRENTA DIVERSO MATERIAL CARTONAJE, TRABAJOS MANIPULACIÓN, ENCUADERNAR Y ARTES GRÁFICAS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3453"/>
    <s v="AD"/>
    <d v="2022-02-11T00:00:00"/>
    <n v="22022001788"/>
    <s v="2022 10 2412 22799"/>
    <n v="35280"/>
    <x v="378"/>
    <s v="PRORROGA LOTE 1- curso at.sociosanit.en instit.soc 15.120 y en domicilio 20.160-IBECON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1115"/>
    <s v="AD"/>
    <d v="2022-01-01T00:00:00"/>
    <n v="22022000524"/>
    <s v="2022 10 2412 22799"/>
    <n v="5863.19"/>
    <x v="378"/>
    <s v="adjudicación lote 3-curso de operaciones auxiliares de almacen-anualidad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329"/>
    <s v="AD"/>
    <d v="2022-03-21T00:00:00"/>
    <n v="22022002906"/>
    <s v="2022 03 9241 22609"/>
    <n v="800"/>
    <x v="379"/>
    <s v="Actuación de Los Persas Teatro en CC Canal de Castilla día 13/03/2022 y en CC José María Luelmo el día 02/04/2022. MFS"/>
    <s v="220"/>
    <s v="VILLANUBL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1787"/>
    <s v="AD"/>
    <d v="2022-01-28T00:00:00"/>
    <n v="22022001519"/>
    <s v="2022 01 9207 22001"/>
    <n v="1818"/>
    <x v="380"/>
    <s v="ADJUDICA SUMINISTRO DIARIO PRENSA ESCRITA AÑO 2022 PARA ALCALDÍA Y GOBIERNO Y RELACIONES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852"/>
    <s v="AD"/>
    <d v="2022-01-01T00:00:00"/>
    <n v="22022000097"/>
    <s v="2022 11 1631 22110"/>
    <n v="48400"/>
    <x v="381"/>
    <s v="CONTRATO SUMINISTRO FUNDENTES VIALIDAD INVERNAL EN VIAS PUBLICAS LOTES 1 Y 2, Sº LIMPIEZA AYUNTAMIENTO DE VALLADOLID"/>
    <s v="220"/>
    <s v="REMOLINOS"/>
    <s v="ZARAGOZ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10"/>
  </r>
  <r>
    <n v="220220012376"/>
    <s v="AD"/>
    <d v="2022-03-23T00:00:00"/>
    <n v="22022002930"/>
    <s v="2022 10 2316 22799"/>
    <n v="1419"/>
    <x v="382"/>
    <s v="IMPARTICIÓN DE TALLERES DE ZUMBA-FLAMENCO PARA MUJERES EN CEAS BARRIO ESPAÑA DE MARZO A MAYO 2022.PLAN CONV.INTERCULT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9341"/>
    <s v="AD"/>
    <d v="2022-03-16T00:00:00"/>
    <n v="22022002629"/>
    <s v="2022 01 9207 22699"/>
    <n v="272.25"/>
    <x v="383"/>
    <s v="ADJUDICA IMAGEN Y DISEÑO FOLLETO Y CARTEL ORPHEO III (desarrollo personal/profesional alumnos bachilleratro)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20003102"/>
    <s v="AD"/>
    <d v="2022-02-09T00:00:00"/>
    <n v="22022001843"/>
    <s v="2022 11 1361 214"/>
    <n v="3729.28"/>
    <x v="384"/>
    <s v="Mto prev, revisión, engrases,sustitución elem seg y escalera del vehículo auoescala automática METZ VA42345VE;SEISYPC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0070"/>
    <s v="AD"/>
    <d v="2022-01-19T00:00:00"/>
    <n v="22022000891"/>
    <s v="2022 11 1621 214"/>
    <n v="7000"/>
    <x v="385"/>
    <s v="SUMINISTRO REPUESTOS PARA LA REPARACIÓN DE RECOLECTORES VEHÍCULOS DEL SERVCIO DE LIMPIEZA"/>
    <s v="220"/>
    <s v="TARREGA"/>
    <s v="LERIDA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189"/>
    <s v="AD"/>
    <d v="2022-01-01T00:00:00"/>
    <n v="22022000391"/>
    <s v="2022 07 1711 22799"/>
    <n v="83675.56"/>
    <x v="16"/>
    <s v="CONTRATO MANTENIMIENTO JARDINES ZONA CENTRO, HASTA 13/5/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19000658"/>
    <s v="AD"/>
    <d v="2022-01-01T00:00:00"/>
    <n v="22022000574"/>
    <s v="2022 10 2311 22799"/>
    <n v="76377.66"/>
    <x v="21"/>
    <s v="AMPLIACION CON SERV.CELADURIA EL CONT.GESTION CENTRO INTEGRADO PARA PERS.SIN HOGAR DE 1 SEP 2021 A MARZO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73418"/>
    <s v="AD"/>
    <d v="2022-03-11T00:00:00"/>
    <n v="22021003352"/>
    <s v="2022 11 1361 632"/>
    <n v="74090.03"/>
    <x v="386"/>
    <s v="EXPTE.: SPSC 013_2021 Ejecución de la obra; Segunda fase reforma del Parque de Bomberos de Canterac; SEISYPC.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2"/>
  </r>
  <r>
    <n v="220219000525"/>
    <s v="AD"/>
    <d v="2022-01-01T00:00:00"/>
    <n v="22022002191"/>
    <s v="2022 04 9204 641"/>
    <n v="73852.47"/>
    <x v="387"/>
    <s v="MTO.  Y ASISTENCIA TÉCNICA   ADMON.ELECTRÓNICA DEL AYTO.VALL. BASADAS AMARA SUITE. (2ª PRÓRROGA), DEL 1/1 AL 11/9/2022"/>
    <s v="220"/>
    <s v="ALCOBENDAS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1167"/>
    <s v="AD"/>
    <d v="2022-01-01T00:00:00"/>
    <n v="22022000530"/>
    <s v="2022 11 1621 22799"/>
    <n v="72329.7"/>
    <x v="48"/>
    <s v="PRORROGA CONTRATO EXPLOTACIÓN PUNTO LIMPIO SITO EN C/ VALLE DE ARÁN (23-1-2022 AL 22-1-2023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19001213"/>
    <s v="AD"/>
    <d v="2022-01-01T00:00:00"/>
    <n v="22022001830"/>
    <s v="2022 11 1631 22700"/>
    <n v="66620.3"/>
    <x v="92"/>
    <s v="REAJUSTE ANUALIDAES CONTRATO SERVICIOS LIMPIEZA INSTALACIONES LIMPIEZA VIARIA 1-1-2022 AL 31-8-2023 (EXP PR-S.E. 31/2020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19000639"/>
    <s v="AD"/>
    <d v="2022-01-01T00:00:00"/>
    <n v="22022000085"/>
    <s v="2022 06 2315 22619"/>
    <n v="62617.279999999999"/>
    <x v="388"/>
    <s v="CONTRATO DE SERVICIOS DE GESTION Y DESARROLLO DE LAS ACTIVIDADES INFANTILES EN EP. DE VACACIONES ESCOLARES | 2022 Y 2023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19"/>
  </r>
  <r>
    <n v="220219000152"/>
    <s v="AD"/>
    <d v="2022-01-01T00:00:00"/>
    <n v="22022002184"/>
    <s v="2022 04 9204 641"/>
    <n v="59533.75"/>
    <x v="389"/>
    <s v="MTO. Y ASIST. TÉCNICA DEL SISTEMA DE GESTIÓN DE PERSONAL Y NÓMINA, BASADO EN META4 E-MIND, PRIMERA PRÓRROGA"/>
    <s v="220"/>
    <s v="SEVILL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660"/>
    <s v="AD"/>
    <d v="2022-01-01T00:00:00"/>
    <n v="22022000228"/>
    <s v="2022 09 3341 22799"/>
    <n v="53699.8"/>
    <x v="390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971"/>
    <s v="AD"/>
    <d v="2022-01-01T00:00:00"/>
    <n v="22022000620"/>
    <s v="2022 06 3232 22700"/>
    <n v="85184"/>
    <x v="6"/>
    <s v="AMPLIACIÓN CONTRATO LIMPIEZA LOTE 6 COLEGIOS PUBLICOS CON MOTIVO DE LA COVID-19. PERIODO 1-ENERO AL 23 DE JUNIO DE 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09000702"/>
    <s v="AD"/>
    <d v="2022-01-01T00:00:00"/>
    <n v="22022000250"/>
    <s v="2022 10 2311 22799"/>
    <n v="52047.25"/>
    <x v="391"/>
    <s v="Servicio celaduría en CEAS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69698"/>
    <s v="AD"/>
    <d v="2022-02-28T00:00:00"/>
    <n v="22021005812"/>
    <s v="2022 10 2311 632"/>
    <n v="47190.15"/>
    <x v="392"/>
    <s v="REFORMA E IMPERMEAB.ASEOS CENTRO INTEGRADO PERS.SIN HOGAR-OBRA. COVID-19"/>
    <s v="22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19001214"/>
    <s v="AD"/>
    <d v="2022-01-01T00:00:00"/>
    <n v="22022002193"/>
    <s v="2022 04 9204 641"/>
    <n v="45828.75"/>
    <x v="393"/>
    <s v="SUMINISTRO DE LICENCIAS Y SOPORTE TÉCNICO DE LOS PRODUCTOS ArcGIS, DE MARZO DE 2022 AL MARZO 20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594"/>
    <s v="AD"/>
    <d v="2022-01-01T00:00:00"/>
    <n v="22022002002"/>
    <s v="2022 08 1651 619"/>
    <n v="100793"/>
    <x v="117"/>
    <s v="LOTE 3 conservación, reparación y reforma de instalaciones de alumbrado exterior del municipio de Valladolid EXP: 8/2021"/>
    <s v="220"/>
    <s v="MADRID"/>
    <s v="MADR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0685"/>
    <s v="AD"/>
    <d v="2022-03-22T00:00:00"/>
    <n v="22022002847"/>
    <s v="2022 06 3261 632"/>
    <n v="44199.23"/>
    <x v="394"/>
    <s v="SE 16-22. CTTO OBRAS ADAPTACIÓN SALA USOS MÚLTIPLES PARA ESCUELA MUSICA EN ANTIGUO COLEGIO MARIA DE MOLINA. PZ EJ: 40 D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61"/>
    <s v="3261. Servicios complementarios de educación"/>
    <s v="63"/>
    <s v="632"/>
  </r>
  <r>
    <n v="220209000720"/>
    <s v="AD"/>
    <d v="2022-01-01T00:00:00"/>
    <n v="22022000257"/>
    <s v="2022 05 4331 22700"/>
    <n v="43297.08"/>
    <x v="318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00"/>
  </r>
  <r>
    <n v="220209000686"/>
    <s v="AD"/>
    <d v="2022-01-01T00:00:00"/>
    <n v="22022000240"/>
    <s v="2022 03 9241 22799"/>
    <n v="40277.06"/>
    <x v="395"/>
    <s v="ESCUELA DE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09000559"/>
    <s v="AD"/>
    <d v="2022-01-01T00:00:00"/>
    <n v="22022000217"/>
    <s v="2022 04 9204 216"/>
    <n v="40090.35"/>
    <x v="396"/>
    <s v="MANTENIMIENTO DE LA RED DE VOZ Y DATOS DEL AYUNTAMIENTO DE VALLADOLID"/>
    <s v="220"/>
    <s v="ALDEAMAYOR DE SAN MARTIN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12884"/>
    <s v="AD"/>
    <d v="2022-03-25T00:00:00"/>
    <n v="22022002955"/>
    <s v="2022 02 1511 609"/>
    <n v="37684.49"/>
    <x v="397"/>
    <s v="OBRA CIVIL PARA LA CONSTRUC.DE NUEVA RED DE ENERGÍA BAJA TENSIÓN FASE II ARU 29 OCTUBRE CALLES VILLABAÑEZ Y ZORZAL"/>
    <s v="220"/>
    <s v="CASTRONUEVO DE ESGUEVA"/>
    <s v="VALLADOLID"/>
    <x v="1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0"/>
    <s v="609"/>
  </r>
  <r>
    <n v="220220006731"/>
    <s v="AD"/>
    <d v="2022-03-01T00:00:00"/>
    <n v="22022002072"/>
    <s v="2022 04 9204 641"/>
    <n v="34165.43"/>
    <x v="398"/>
    <s v="LICENCIAS, MTO. Y ASISTENCIA TÉCNICA DEL GESTOR DOCUMENTAL ALFRESCO, PRIMERA PRÓRROGA 1/6/22 AL 31/5/23 (94/20 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616"/>
    <s v="AD"/>
    <d v="2022-01-01T00:00:00"/>
    <n v="22022000221"/>
    <s v="2022 04 9204 22701"/>
    <n v="33880"/>
    <x v="399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701"/>
  </r>
  <r>
    <n v="220219000134"/>
    <s v="AD"/>
    <d v="2022-01-01T00:00:00"/>
    <n v="22022000383"/>
    <s v="2022 11 3111 22706"/>
    <n v="31653.08"/>
    <x v="400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19001211"/>
    <s v="AD"/>
    <d v="2022-01-01T00:00:00"/>
    <n v="22022001828"/>
    <s v="2022 11 1621 22700"/>
    <n v="30179.7"/>
    <x v="92"/>
    <s v="REAJUSTE ANUALIDADES CONTRATO SERVICIOS LIMPIEZA INSTALACIONES Sº LIMPIEZA 1-1-2022 AL 31-8-2023 (EXP PR-S.E. 31/2020)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19000399"/>
    <s v="AD"/>
    <d v="2022-01-01T00:00:00"/>
    <n v="22022000515"/>
    <s v="2022 11 1321 22103"/>
    <n v="30000"/>
    <x v="401"/>
    <s v="SUMINISTRO DE GASOLINA PARA VEHÍCULOS DE POLICÍA MUNICIPAL DEL DEL DE ENERO AL 31 DE DICIEMBRE DE 2022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19000400"/>
    <s v="AD"/>
    <d v="2022-01-01T00:00:00"/>
    <n v="22022000516"/>
    <s v="2022 07 1711 22103"/>
    <n v="30000"/>
    <x v="401"/>
    <s v="PRÓRROGA CONTRATO SUMINISTRO GASOLINA,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9000590"/>
    <s v="AD"/>
    <d v="2022-01-01T00:00:00"/>
    <n v="22022000571"/>
    <s v="2022 05 4331 22799"/>
    <n v="30000"/>
    <x v="16"/>
    <s v="SEGUNDA PRORROGA DEL CONTRATO DEL 010 (ATENCIÓN PRESENCIAL Y TELEFÓNICA EN LA AGENCIA DE INNOVACIÓN)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09000654"/>
    <s v="AD"/>
    <d v="2022-01-01T00:00:00"/>
    <n v="22022000225"/>
    <s v="2022 01 9201 22799"/>
    <n v="29403"/>
    <x v="311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2"/>
    <s v="22799"/>
  </r>
  <r>
    <n v="220210033081"/>
    <s v="AD"/>
    <d v="2022-02-28T00:00:00"/>
    <n v="22021001178"/>
    <s v="2022 08 1532 619"/>
    <n v="13825.49"/>
    <x v="402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35428"/>
    <s v="AD"/>
    <d v="2022-03-11T00:00:00"/>
    <n v="22021004838"/>
    <s v="2022 07 1711 619"/>
    <n v="344.09"/>
    <x v="402"/>
    <s v="COORDINACION SEGURIDAD Y SALUD, MEJORA DE INSTALACIONES EN PARQUE DE LAS NORIA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5430"/>
    <s v="AD"/>
    <d v="2022-03-11T00:00:00"/>
    <n v="22021004778"/>
    <s v="2022 07 1711 619"/>
    <n v="739.53"/>
    <x v="402"/>
    <s v="COORDINACION SEGURIDAD Y SALUD, ADECUACION CAMINOS EN VILLA DEL PRADO Y HUERTA DEL REY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7298"/>
    <s v="AD"/>
    <d v="2022-03-11T00:00:00"/>
    <n v="22021004893"/>
    <s v="2022 07 1711 619"/>
    <n v="0.01"/>
    <x v="402"/>
    <s v="COORDINACION SEGURIDAD Y SALUD REMODELACION FUENTE EN PARQUE CALLE ALCAPARRA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3855"/>
    <s v="AD"/>
    <d v="2022-03-11T00:00:00"/>
    <n v="22021004897"/>
    <s v="2022 07 1711 619"/>
    <n v="117.35"/>
    <x v="402"/>
    <s v="COORDINACION SEGURIDAD Y SALUD ADECUACION PASARELA PARQUE DE LOS ALMENDRO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3878"/>
    <s v="AD"/>
    <d v="2022-03-11T00:00:00"/>
    <n v="22021005171"/>
    <s v="2022 07 1711 619"/>
    <n v="63.19"/>
    <x v="402"/>
    <s v="COORDINACION SEGURIDADY SALUD CAMINO PAVIMENTADO JUNTO A PARQUE PATRICIA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8516"/>
    <s v="AD"/>
    <d v="2022-02-28T00:00:00"/>
    <n v="22021006118"/>
    <s v="2022 08 1532 619"/>
    <n v="1114.05"/>
    <x v="402"/>
    <s v="Trabajos de Coordinación de Seguridad y Salud para la obra &quot;&quot;Urbanización de la Calle Nueva del Carmen&quot;&quot;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56280"/>
    <s v="AD"/>
    <d v="2022-02-28T00:00:00"/>
    <n v="22021006073"/>
    <s v="2022 08 1341 619"/>
    <n v="430.06"/>
    <x v="402"/>
    <s v="SEGURIDAD Y SALUD CONTRATO SEÑALIZACIÓN VIAL LOTE 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2"/>
    <s v="AD"/>
    <d v="2022-02-28T00:00:00"/>
    <n v="22021006074"/>
    <s v="2022 08 1341 619"/>
    <n v="181.28"/>
    <x v="402"/>
    <s v="SEGURIDAD Y SALUD CONTRATRO SEÑALIZACIÓN VIAL LOTE 1_Vertical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7"/>
    <s v="AD"/>
    <d v="2022-02-28T00:00:00"/>
    <n v="22021005289"/>
    <s v="2022 08 1341 619"/>
    <n v="254.61"/>
    <x v="402"/>
    <s v="PRORROGA LOTE 1 _SEÑALIZACIÓN VERTICAL_SEGURIDAD Y SALUD_Contrato señalización vial Valladolid_Agosto-Dic'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8"/>
    <s v="AD"/>
    <d v="2022-02-28T00:00:00"/>
    <n v="22021005291"/>
    <s v="2022 08 1341 619"/>
    <n v="768.57"/>
    <x v="402"/>
    <s v="PRORROGA LOTE 2_SEÑALIZACIÓN HORIZONTAL_SEGURIDAD Y SALUD_Contrato señalización vial en Valladolid_Agosto-Dic'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346"/>
    <s v="AD"/>
    <d v="2022-03-11T00:00:00"/>
    <n v="22021006360"/>
    <s v="2022 07 1711 619"/>
    <n v="0.03"/>
    <x v="402"/>
    <s v="COORDINACION SEGURIDAD Y SALUD ACTUACIONES EN LOS BOMBEOS DE LA CIUDAD DE VALLADOLID FASE II. V.6/2020 LOTE 1 PS21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56352"/>
    <s v="AD"/>
    <d v="2022-03-11T00:00:00"/>
    <n v="22021006363"/>
    <s v="2022 07 1711 619"/>
    <n v="0.01"/>
    <x v="402"/>
    <s v="COORDINACION SEGURIDAD Y SALUD EJECUCIÓN FIRME DE LOS CAMINOS DEL NUEVO BOSQUE URBANO DE SANTA ANA V.6/2020 LOTE 1 PS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5425"/>
    <s v="AD"/>
    <d v="2022-03-11T00:00:00"/>
    <n v="22021006472"/>
    <s v="2022 07 1711 619"/>
    <n v="268.33999999999997"/>
    <x v="402"/>
    <s v="COORDINACION SEGURIDAD Y SALUD INSTALACION JUEGOS INFANTILES EN CAMPO GRANDE, JUNTO ACERA DE RECOLETO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9585"/>
    <s v="AD"/>
    <d v="2022-02-28T00:00:00"/>
    <n v="22021005678"/>
    <s v="2022 08 1341 609"/>
    <n v="1535.19"/>
    <x v="402"/>
    <s v="SEGURIDAD Y SALUD EN OBRAS DE INSTALACIÓN DE ELEVADORES MECÁNICOS EN LA LADERA NORTE DE PARQUESOL. EXP: 42/2021 SEMEU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0074316"/>
    <s v="AD"/>
    <d v="2022-03-11T00:00:00"/>
    <n v="22021006870"/>
    <s v="2022 07 1711 619"/>
    <n v="582.24"/>
    <x v="402"/>
    <s v="COORDINACION SEGURIDAD Y SALUD SUMINISTRO E INSTALACION JUEGOS INFANTILES EN PLAZA DOCTOR BIOLOGO JOSE ANTONIO VALVERDE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74459"/>
    <s v="AD"/>
    <d v="2022-03-11T00:00:00"/>
    <n v="22021007174"/>
    <s v="2022 07 1711 619"/>
    <n v="432.29"/>
    <x v="402"/>
    <s v="COORDINACION SEGURIDAD Y SALUD, ACTUALIZACION Y MEJORA ZONAS JUEGOS INFANTILES PARQUESOL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2252"/>
    <s v="AD"/>
    <d v="2022-03-11T00:00:00"/>
    <n v="22021007177"/>
    <s v="2022 07 1711 619"/>
    <n v="305.99"/>
    <x v="402"/>
    <s v="COORDINACION SEGURIDAD Y SALUD, ACONDICIONAM. PLAZA C/ JARDINES DE LA GRANJA (P.P. LOS VIVEROS)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4914"/>
    <s v="AD"/>
    <d v="2022-03-11T00:00:00"/>
    <n v="22021007935"/>
    <s v="2022 07 1711 619"/>
    <n v="225.38"/>
    <x v="402"/>
    <s v="COORDINACION SEGURIDAD Y SALUD, EJECUCION ROCKGARDEN EN CERRO DE LAS CONTIENDA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8081"/>
    <s v="AD"/>
    <d v="2022-02-28T00:00:00"/>
    <n v="22021005305"/>
    <s v="2022 08 1532 622"/>
    <n v="1616.77"/>
    <x v="402"/>
    <s v="APROBACION EXPTE.-Control Seguridad y Salud Obra Traslado del Parque Vías Públicas Fase 2. Lote 1. Expte.30/2021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0088082"/>
    <s v="AD"/>
    <d v="2022-02-28T00:00:00"/>
    <n v="22021005309"/>
    <s v="2022 08 1532 609"/>
    <n v="586.01"/>
    <x v="402"/>
    <s v="APROBACION EXPTE.-Control Seg y Salud Obra Urbaniz Traslado Parque Vías Públicas.FASE 2.LOTE 2. Expte 30/2021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19000405"/>
    <s v="AD"/>
    <d v="2022-01-01T00:00:00"/>
    <n v="22022001981"/>
    <s v="2022 08 1532 619"/>
    <n v="10500"/>
    <x v="402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659"/>
    <s v="AD"/>
    <d v="2022-01-01T00:00:00"/>
    <n v="22022002212"/>
    <s v="2022 08 1341 619"/>
    <n v="464.66"/>
    <x v="402"/>
    <s v="PRÓRROGA LOTE 1-SEÑALIZACIÓN VERTICAL-SEGURIDAD Y SALUD-Contrato señalización vial en Valladoild -Ene-Jul 202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661"/>
    <s v="AD"/>
    <d v="2022-01-01T00:00:00"/>
    <n v="22022002214"/>
    <s v="2022 08 1341 619"/>
    <n v="1277.8"/>
    <x v="402"/>
    <s v="PRÓRROGA LOTE 2-SEÑALIZACIÓN HORIZONTAL-SEGURIDAD Y SALUD- Contrato señalización vial Vallaodlid (enero-jul 2022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770"/>
    <s v="AD"/>
    <d v="2022-01-01T00:00:00"/>
    <n v="22022002208"/>
    <s v="2022 08 1651 619"/>
    <n v="3478.2"/>
    <x v="402"/>
    <s v="SEGURIDAD Y SALUD MANTENIMIENTO DE ALUMBRADO.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19000876"/>
    <s v="AD"/>
    <d v="2022-01-01T00:00:00"/>
    <n v="22022002009"/>
    <s v="2022 08 1341 609"/>
    <n v="5322.95"/>
    <x v="402"/>
    <s v="CONTRATO DE OBRAS PARA  ELEVADORES MECÁNICOS EN LA LADERA NORTE DE PARQUESOL. EXP: 42/2021 (SEGURIDAD Y SALUD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0879"/>
    <s v="AD"/>
    <d v="2022-01-01T00:00:00"/>
    <n v="22022002010"/>
    <s v="2022 08 1341 619"/>
    <n v="2869.89"/>
    <x v="402"/>
    <s v="SEGURIDAD Y SALUD CONTRATO GISCCT (2022-2023-1 enero a 31 agosto'2024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226"/>
    <s v="AD"/>
    <d v="2022-01-01T00:00:00"/>
    <n v="22022001988"/>
    <s v="2022 08 1341 609"/>
    <n v="8312.07"/>
    <x v="402"/>
    <s v="Coordinación de PSS contrato obras instalación elevadores urbanos ladera este Parquesol (expediente 50/2021 SEMEU)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1237"/>
    <s v="AD"/>
    <d v="2022-01-01T00:00:00"/>
    <n v="22022001484"/>
    <s v="2022 08 1532 609"/>
    <n v="1252.02"/>
    <x v="402"/>
    <s v="Ejercicio 2022. Seguridad y salud, traslado Parque Vías Públicas (Fase 2. Lote 2). Expte. 30/2021 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19001238"/>
    <s v="AD"/>
    <d v="2022-01-01T00:00:00"/>
    <n v="22022001989"/>
    <s v="2022 08 1532 622"/>
    <n v="673.81"/>
    <x v="402"/>
    <s v="Ejercicio 2022. Seguridad y salud, traslado Parque Vías Públicas (Fase 2. Lote 1). Expte 30/2021  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20003522"/>
    <s v="AD"/>
    <d v="2022-02-14T00:00:00"/>
    <n v="22022001536"/>
    <s v="2022 08 1532 619"/>
    <n v="168.06"/>
    <x v="402"/>
    <s v="Coordinación Seguridad y Salud  obras ensanche plataforma y firme, creación de acera y carril bici en Cañada Real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3523"/>
    <s v="D"/>
    <d v="2022-02-14T00:00:00"/>
    <n v="22022001542"/>
    <s v="2022 08 1532 619"/>
    <n v="575.07000000000005"/>
    <x v="402"/>
    <s v="Aprob.Seguridad y Salud Contrato Obras de Ensanche plataforma y firme, creación acera y carril bici Cañada Real"/>
    <s v="30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7237"/>
    <s v="D"/>
    <d v="2022-03-03T00:00:00"/>
    <n v="22021003437"/>
    <s v="2022 08 1651 619"/>
    <n v="62.8"/>
    <x v="402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8468"/>
    <s v="D/"/>
    <d v="2022-03-11T00:00:00"/>
    <n v="22021003437"/>
    <s v="2022 08 1651 619"/>
    <n v="-62.8"/>
    <x v="402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8891"/>
    <s v="AD"/>
    <d v="2022-03-15T00:00:00"/>
    <n v="22022002491"/>
    <s v="2022 02 1511 609"/>
    <n v="17175.88"/>
    <x v="402"/>
    <s v="ASISTENCIA TÉC. PARA LA COORDINACIÓN DE SEGURIDAD Y SALUD OBRA PASOS INFERIORES PANADEROS/LABRADORES.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09850"/>
    <s v="D"/>
    <d v="2022-03-17T00:00:00"/>
    <n v="22022002562"/>
    <s v="2022 08 1532 619"/>
    <n v="370.41"/>
    <x v="402"/>
    <s v="Seguridad y Salud en contrato obras reparación de estructuras, mobiliario y edificio en Pza. Solidaridad (exp 51/2021)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0683"/>
    <s v="D"/>
    <d v="2022-03-22T00:00:00"/>
    <n v="22021003437"/>
    <s v="2022 08 1651 619"/>
    <n v="301.95"/>
    <x v="402"/>
    <s v="Adjudicación Coord.Seg y Salud  Proy obras Remodelación Alumbrado Público varias zonas Barrio Pajarillos, Lotes 1 y 2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3164"/>
    <s v="AD"/>
    <d v="2022-03-29T00:00:00"/>
    <n v="22022003052"/>
    <s v="2022 02 1511 609"/>
    <n v="132.74"/>
    <x v="402"/>
    <s v="S.SALUD CONST.NUEVA RED DE ENERGÍA ELÉCT.(MEDIA Y B.TESIÓN) EN C/ VILLABAÑEZ Y ZORZAL (ARU 29 OCTUBRE FASE II) C. MENOR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13433"/>
    <s v="AD"/>
    <d v="2022-03-31T00:00:00"/>
    <n v="22022003114"/>
    <s v="2022 08 1532 619"/>
    <n v="185.26"/>
    <x v="402"/>
    <s v="EBSS DEL PROYECTO DE URBANIZACIÓN DE LA C/ SE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3434"/>
    <s v="AD"/>
    <d v="2022-03-31T00:00:00"/>
    <n v="22022003115"/>
    <s v="2022 08 1532 619"/>
    <n v="19.14"/>
    <x v="402"/>
    <s v="EBSS del Proyecto de Urbanización y remate de la Plaza Aviador Gómez del Barc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7947"/>
    <s v="AD"/>
    <d v="2022-03-08T00:00:00"/>
    <n v="22022002556"/>
    <s v="2022 10 2311 22799"/>
    <n v="1210"/>
    <x v="402"/>
    <s v="Trabajos de elaboración de Planes de Emergencias y Autoprotección de albergue y local Plaza las Nieve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8638"/>
    <s v="AD"/>
    <d v="2022-03-11T00:00:00"/>
    <n v="22022002765"/>
    <s v="2022 08 1532 622"/>
    <n v="5.05"/>
    <x v="402"/>
    <s v="Redacción Estudio Básico Seguridad y Salud en construcción marquesina metálica para asfalto en Naves del SEPI,C/ Títulos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20010186"/>
    <s v="AD"/>
    <d v="2022-03-18T00:00:00"/>
    <n v="22022002880"/>
    <s v="2022 11 1621 22706"/>
    <n v="605"/>
    <x v="402"/>
    <s v="IMPLEMENTACIÓN Y ACTUALIZACIÓN DEL PLAN DE EMERGENCIA/AUTOPROTECCIÓN DEL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6"/>
  </r>
  <r>
    <n v="220220012768"/>
    <s v="AD"/>
    <d v="2022-03-24T00:00:00"/>
    <n v="22022002858"/>
    <s v="2022 0550 4312 632"/>
    <n v="28746.59"/>
    <x v="403"/>
    <s v="OBRA DE ADAPTACIÓN DEL PUESTO 29 DEL MERCADO LAS DELICIAS PARA DEPOSITO PILOTO DE PUNTO LIMPIO"/>
    <s v="220"/>
    <s v="VALLADOLID"/>
    <s v="VALLADOLID"/>
    <x v="1"/>
    <s v="AdDirec - Adjudicación Directa"/>
    <s v="SinC - Sin Criterio"/>
    <x v="2"/>
    <x v="0"/>
    <s v="2"/>
    <s v="2. Gastos corrientes en bienes y servicios"/>
    <s v="05"/>
    <x v="3"/>
    <s v="0 43"/>
    <e v="#N/A"/>
    <s v="2 "/>
    <s v="2 632"/>
  </r>
  <r>
    <n v="220219001196"/>
    <s v="AD"/>
    <d v="2022-01-01T00:00:00"/>
    <n v="22022000306"/>
    <s v="2022 10 2312 22606"/>
    <n v="28050"/>
    <x v="404"/>
    <s v="ALOJAMIENTO EN REG.PENSION COMPLETA 75¿/N+IVA PARA ALUMNADO DE CURSOS COOPERACION TECNICA-PASANTIAS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606"/>
  </r>
  <r>
    <n v="220220003098"/>
    <s v="AD"/>
    <d v="2022-02-09T00:00:00"/>
    <n v="22022001475"/>
    <s v="2022 01 9312 22706"/>
    <n v="26194.080000000002"/>
    <x v="405"/>
    <s v="SEGUNDA PRORROGA CONTRATO CALCULO COSTES DE CONTABILIDAD ANALITICA DEL EJERCICIO 2021"/>
    <s v="220"/>
    <s v="MALAGA"/>
    <s v="MALAGA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00016734"/>
    <s v="AD"/>
    <d v="2022-02-28T00:00:00"/>
    <n v="22020002100"/>
    <s v="2022 02 1511 609"/>
    <n v="928.84"/>
    <x v="366"/>
    <s v="ADJUDICAR SEGURIDAD Y SALUD LOTE II DEL ARU 29 DE OCTUBRE FASE II (EXPTE. 5/19)"/>
    <s v="220"/>
    <s v="MADRID"/>
    <s v="MADR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13166"/>
    <s v="AD"/>
    <d v="2022-03-29T00:00:00"/>
    <n v="22022002503"/>
    <s v="2022 08 1532 622"/>
    <n v="25240.52"/>
    <x v="406"/>
    <s v="Obras construcción de marquesina metálica y cubierta de chapa y montaje sobre estructura de hormigón en Parque Vias Públ"/>
    <s v="220"/>
    <s v="RODILANA /MEDINA DEL CAMPO"/>
    <s v="VALLADOLID"/>
    <x v="1"/>
    <s v="AdDirec - Adjudicación Directa"/>
    <s v="SinC - Sin Criterio"/>
    <x v="2"/>
    <x v="0"/>
    <s v="6"/>
    <s v="6. Inversiones reales"/>
    <s v="08"/>
    <x v="1"/>
    <s v="1532"/>
    <s v="1532. Pavimentación vias públicas y otros servicios urbanísticos"/>
    <s v="62"/>
    <s v="622"/>
  </r>
  <r>
    <n v="220220009852"/>
    <s v="D"/>
    <d v="2022-03-17T00:00:00"/>
    <n v="22021007414"/>
    <s v="2022 08 1532 619"/>
    <n v="24805"/>
    <x v="278"/>
    <s v="Contrato de redacción de proyecto de urbanización de la calle Madre de Dios (exp. 39/2021)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213"/>
    <s v="AD"/>
    <d v="2022-01-01T00:00:00"/>
    <n v="22022002088"/>
    <s v="2022 04 9204 641"/>
    <n v="24403.8"/>
    <x v="398"/>
    <s v="SUMINISTRO DE LICENCIAS, MANTENIMIENTO Y ASISTENCIA TÉCNICA DEL GESTOR DOCUMENTAL ALFRESCO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0087903"/>
    <s v="AD"/>
    <d v="2022-03-11T00:00:00"/>
    <n v="22021006485"/>
    <s v="2022 07 1711 619"/>
    <n v="23518.51"/>
    <x v="48"/>
    <s v="CONTRATO MANTENIMIENTO FUENTES PUBLICAS ORNAMENTALES Y CENTROS DE BOMBEO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9353"/>
    <s v="AD"/>
    <d v="2022-03-16T00:00:00"/>
    <n v="22022002748"/>
    <s v="2022 06 3232 22102"/>
    <n v="1500"/>
    <x v="23"/>
    <s v="TRABAJOS DE INSPECCIÓN PERIODICA DE IRC DE LA EMPRESA DISTRIBUIDORA DE GAS NATURAL EN LOS COLEGIOS PUBLICOS. P. 1 AÑO."/>
    <s v="220"/>
    <s v="BARCELONA"/>
    <s v="BARCELONA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09000851"/>
    <s v="AD"/>
    <d v="2022-01-01T00:00:00"/>
    <n v="22022000315"/>
    <s v="2022 10 2312 22799"/>
    <n v="22071.09"/>
    <x v="115"/>
    <s v="prórroga contrato de gestión del servicio de talleres ocupacionales de feb 21 a feb 22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6932"/>
    <s v="AD"/>
    <d v="2022-03-02T00:00:00"/>
    <n v="22022002221"/>
    <s v="2022 10 2312 22799"/>
    <n v="22000"/>
    <x v="407"/>
    <s v="SERVICIO DE RESTAURACION DEL CENTRO DE DÍA HUERTA DEL REY DE ENERO A DICIEMBRE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526"/>
    <s v="AD"/>
    <d v="2022-01-01T00:00:00"/>
    <n v="22022000075"/>
    <s v="2022 04 9204 216"/>
    <n v="7963.01"/>
    <x v="387"/>
    <s v="MANTENIMIENTO SOFTWARE DE INTERCAMBIO DE FICHEROS CON ENTIDADES BANCARIAS: EDITRAN, LOTE 2"/>
    <s v="220"/>
    <s v="ALCOBENDAS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3524"/>
    <s v="AD"/>
    <d v="2022-02-14T00:00:00"/>
    <n v="22022001665"/>
    <s v="2022 10 2316 22799"/>
    <n v="21627.75"/>
    <x v="135"/>
    <s v="PRÓRROGA CONTRATO SERV.MEDIACION Y CONVIVENCIA INTERCULTURAL DE 1 FEBRERO A 15 MARZO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19000231"/>
    <s v="AD"/>
    <d v="2022-01-01T00:00:00"/>
    <n v="22022000053"/>
    <s v="2022 06 2314 22799"/>
    <n v="20267.5"/>
    <x v="352"/>
    <s v="CONTRATO DE GESTIÓN DE LA ESCUELA DE FORMACIÓN Y ANIMACIÓN JUVENIL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199000493"/>
    <s v="AD"/>
    <d v="2022-01-01T00:00:00"/>
    <n v="22022000159"/>
    <s v="2022 09 3301 22799"/>
    <n v="18876"/>
    <x v="408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20001785"/>
    <s v="AD"/>
    <d v="2022-01-28T00:00:00"/>
    <n v="22022000732"/>
    <s v="2022 03 9241 223"/>
    <n v="18150"/>
    <x v="409"/>
    <s v="TRANSPORTE, INSTALACIÓN DE ESCENARIOS Y OTROS MATERIALE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3"/>
  </r>
  <r>
    <n v="220220006907"/>
    <s v="AD"/>
    <d v="2022-03-02T00:00:00"/>
    <n v="22022002140"/>
    <s v="2022 04 9204 626"/>
    <n v="18146.849999999999"/>
    <x v="410"/>
    <s v="SUMINISTRO DE DISCOS DUROS SSD CON DESTINO AL DPTO DE TECNOLOGÍAS DE LA INFORMACIÓN Y LAS COMUNICACIONES"/>
    <s v="220"/>
    <s v="VALLADOLID"/>
    <s v="VALLADOL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2"/>
    <s v="626"/>
  </r>
  <r>
    <n v="220209000717"/>
    <s v="AD"/>
    <d v="2022-01-01T00:00:00"/>
    <n v="22022000254"/>
    <s v="2022 07 1711 22700"/>
    <n v="18102.810000000001"/>
    <x v="362"/>
    <s v="CONTRATO LIMPIEZA DE VESTUARIOS DEL SERVICIO DE PARQUES Y JARDINES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00"/>
  </r>
  <r>
    <n v="220220006383"/>
    <s v="AD"/>
    <d v="2022-02-25T00:00:00"/>
    <n v="22022002397"/>
    <s v="2022 05 4331 22706"/>
    <n v="18029"/>
    <x v="411"/>
    <s v="CONTRATO DE SERVICIOS DE CONSULTORIA PARA EL DISEÑO DE UNA PROPUESTA INTEGRAL EN MATERIA DE ANIMACION (PLAN SmartTVA!)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19000861"/>
    <s v="AD"/>
    <d v="2022-01-01T00:00:00"/>
    <n v="22022000606"/>
    <s v="2022 06 2314 22602"/>
    <n v="17711.93"/>
    <x v="412"/>
    <s v="CONTRATACIÓN DEL SERVICIO DE DIFUSIÓN DE INICIATIVAS JUVENILES A TRAVES DE LA GUIA GO"/>
    <s v="220"/>
    <s v="BURGOS"/>
    <s v="BURGOS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10087902"/>
    <s v="AD"/>
    <d v="2022-03-11T00:00:00"/>
    <n v="22021006485"/>
    <s v="2022 07 1711 619"/>
    <n v="17708.3"/>
    <x v="94"/>
    <s v="CONTRATO MANTENIMIENTO DEL MOBILIARIO URBANO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1593"/>
    <s v="AD"/>
    <d v="2022-01-26T00:00:00"/>
    <n v="22022000861"/>
    <s v="2022 01 9207 22001"/>
    <n v="17352.84"/>
    <x v="413"/>
    <s v="ACCESO AL SERVICIO CONJUNTO DE NOTICIAS DE LA AGENCIA DURANTE EL AÑO 2022 - GOBIERNO Y RELACIONES"/>
    <s v="22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704"/>
    <s v="AD"/>
    <d v="2022-01-01T00:00:00"/>
    <n v="22022000093"/>
    <s v="2022 10 2312 22799"/>
    <n v="17093.61"/>
    <x v="414"/>
    <s v="prev.drogas -L1-MONEO 22:12-23:9-DEDALO 22:2-23:1 (10098 EN22 Y 6333 EN23) -L2 PREV.C.ESC Y OT.ENT-6992,61EN 22-4091EN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1707"/>
    <s v="AD"/>
    <d v="2022-01-27T00:00:00"/>
    <n v="22022001529"/>
    <s v="2022 04 9231 22705"/>
    <n v="16940"/>
    <x v="415"/>
    <s v="CONTRATO SERV. TRANSPORTE MATERIAL ELECTORAL ELECCIONES AUTONOMICAS 13 FEB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05"/>
  </r>
  <r>
    <n v="220219001162"/>
    <s v="AD"/>
    <d v="2022-01-01T00:00:00"/>
    <n v="22022002201"/>
    <s v="2022 08 1341 609"/>
    <n v="16940"/>
    <x v="278"/>
    <s v="Dirección facultativa de las obras de instalación de elevadores urbanos en la ladera este del barrio de Parquesol"/>
    <s v="220"/>
    <s v="VALLADOLID"/>
    <s v="VALLADOLID"/>
    <x v="0"/>
    <s v="AdDirec - Adjudicación Directa"/>
    <s v="SinC - Sin Criterio"/>
    <x v="2"/>
    <x v="0"/>
    <s v="6"/>
    <s v="6. Inversiones reales"/>
    <s v="08"/>
    <x v="1"/>
    <s v="1341"/>
    <s v="1341. Movilidad"/>
    <s v="60"/>
    <s v="609"/>
  </r>
  <r>
    <n v="220219000529"/>
    <s v="AD"/>
    <d v="2022-01-01T00:00:00"/>
    <n v="22022000076"/>
    <s v="2022 04 9204 216"/>
    <n v="2200"/>
    <x v="416"/>
    <s v="MANTENIMIENTO SOFTWARE DE CONTROL DE ACCESOS A INTERNET DESDE LAS BIBLIOTECAS  MUNICIPALES: MyPC, LOTE 5"/>
    <s v="220"/>
    <s v="LEGANES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524"/>
    <s v="AD"/>
    <d v="2022-01-01T00:00:00"/>
    <n v="22022000074"/>
    <s v="2022 04 9204 22002"/>
    <n v="13583.13"/>
    <x v="417"/>
    <s v="SUMINISTRO DE FUNGIBLES DE IMPRESIÓN COMPATIBLES, LOTE 2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09694"/>
    <s v="AD"/>
    <d v="2022-03-17T00:00:00"/>
    <n v="22021008070"/>
    <s v="2022 10 2311 632"/>
    <n v="16671.61"/>
    <x v="386"/>
    <s v="Obras rampa de acceso y distribución interior de dos despachos local calle Pato 3. Duración 1 semana"/>
    <s v="23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13156"/>
    <s v="D"/>
    <d v="2022-03-29T00:00:00"/>
    <n v="22022001641"/>
    <s v="2022 06 3232 212"/>
    <n v="3300"/>
    <x v="418"/>
    <s v="M³ DE TIERRA VEGETAL (27)/ SACO DE SUBSTRATO DE 50 LITROS (60)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667"/>
    <s v="D"/>
    <d v="2022-02-22T00:00:00"/>
    <n v="22022001172"/>
    <s v="2022 10 2412 22199"/>
    <n v="813.73"/>
    <x v="418"/>
    <s v="SUMINISTRO DE DIFERENTES PLANTAS ///  DESTINO: PROG. MIXTO - PARQ. Y JARDINES III - Nº 47/0002/21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5672"/>
    <s v="D"/>
    <d v="2022-02-22T00:00:00"/>
    <n v="22022001172"/>
    <s v="2022 10 2412 22199"/>
    <n v="220"/>
    <x v="418"/>
    <s v="SUMINISTRO DE POTINEA C-10 L (8 UNIDADES) ////  DESTINO: PROGRAMA MIXTO DE EMPLEO PARQUES Y JARDINES III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0087901"/>
    <s v="AD"/>
    <d v="2022-03-11T00:00:00"/>
    <n v="22021006485"/>
    <s v="2022 07 1711 619"/>
    <n v="16637.099999999999"/>
    <x v="92"/>
    <s v="CONTRATO MANTENIMIENTO AREAS DE JUEGOS INFANTILES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6913"/>
    <s v="AD"/>
    <d v="2022-03-02T00:00:00"/>
    <n v="22022002509"/>
    <s v="2022 06 2315 22611"/>
    <n v="16185.5"/>
    <x v="419"/>
    <s v="CUARTA SEMANA ESCOLAR DE SENSIBILIZACIÓN SOBRE IGUALDAD DE GÉNERO EN CENTROS ESCOLARES / 1 SEMANA"/>
    <s v="220"/>
    <s v="TEO"/>
    <s v="A CORUÑA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5821"/>
    <s v="AD"/>
    <d v="2022-02-23T00:00:00"/>
    <n v="22022001933"/>
    <s v="2022 04 3121 22106"/>
    <n v="16000"/>
    <x v="420"/>
    <s v="SUMINISTRO DE MEDICAMENTOS PARA LA ASISTENCIA SANITARIA PRESTADA EN EL DEPARTAMENTO DE PREVENCIÓN Y SALUD LABORAL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20004200"/>
    <s v="D"/>
    <d v="2022-02-18T00:00:00"/>
    <n v="22022000030"/>
    <s v="2022 11 1621 22199"/>
    <n v="1532.88"/>
    <x v="421"/>
    <s v="AC MARCO EXP V36/2017: SUMINISTROS VARIOS + LAVADORA Y SECADORA BEKO + CARRO ROLL 6 CAJONES /// DESTINO: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4229"/>
    <s v="D"/>
    <d v="2022-02-18T00:00:00"/>
    <n v="22022000044"/>
    <s v="2022 11 1631 22110"/>
    <n v="819.29"/>
    <x v="421"/>
    <s v="AC MARCO EXP V36/2017: LIQUIDO DESENGRASNTE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4073"/>
    <s v="D"/>
    <d v="2022-02-18T00:00:00"/>
    <n v="22022000030"/>
    <s v="2022 11 1621 22199"/>
    <n v="522.73"/>
    <x v="421"/>
    <s v="AC MARCO EXP V.36/2017: SUMINISTROS PARA EL SERV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562"/>
    <s v="D"/>
    <d v="2022-03-16T00:00:00"/>
    <n v="22022000030"/>
    <s v="2022 11 1621 22199"/>
    <n v="193.93"/>
    <x v="421"/>
    <s v="SUMINISTRO DE MATERIALES / MOBILIARIO URBANO (LIMPIEZA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3199"/>
    <s v="D"/>
    <d v="2022-03-30T00:00:00"/>
    <n v="22022001623"/>
    <s v="2022 11 1361 22199"/>
    <n v="131.74"/>
    <x v="421"/>
    <s v="XYLAZEL TRANSFORMADOR/ TORNILLOS LATÓN TODO ROSCA/ TUERCA LATÓN/ TORNILLO ZN/ ROTATIVA (PARQUE DE BOMBERO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087"/>
    <s v="D"/>
    <d v="2022-02-18T00:00:00"/>
    <n v="22022000045"/>
    <s v="2022 11 1631 22199"/>
    <n v="25.82"/>
    <x v="421"/>
    <s v="AC MARCO EXP V36/2017: BRIDA DE NYLON NEG./ HOJAS DE SIERRA SANDFLEX PARA EL S.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5611"/>
    <s v="D"/>
    <d v="2022-02-22T00:00:00"/>
    <n v="22022001593"/>
    <s v="2022 07 1711 22199"/>
    <n v="24.39"/>
    <x v="421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8670"/>
    <s v="D"/>
    <d v="2022-03-14T00:00:00"/>
    <n v="22022001456"/>
    <s v="2022 11 1321 22199"/>
    <n v="12.1"/>
    <x v="421"/>
    <s v="ACUERDO MARCO. SUMINISTRO PIZARRA MEMO C/ROTULADOR 90X60 MP-3 PARA INSPECCIÓN CENTRAL DE GUARDIA.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09000711"/>
    <s v="AD"/>
    <d v="2022-01-01T00:00:00"/>
    <n v="22022000252"/>
    <s v="2022 10 2412 22799"/>
    <n v="15001.5"/>
    <x v="391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678"/>
    <s v="AD"/>
    <d v="2022-03-22T00:00:00"/>
    <n v="22022002558"/>
    <s v="2022 10 2316 22799"/>
    <n v="15000"/>
    <x v="422"/>
    <s v="SERVICIOS DE ACOMPAÑAMIENTO Y APOYO A PERSONAS NO HISPANO HABLANTES EN OTROS IDIOMA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19001207"/>
    <s v="AD"/>
    <d v="2022-01-01T00:00:00"/>
    <n v="22022001834"/>
    <s v="2022 05 4331 22799"/>
    <n v="15000"/>
    <x v="16"/>
    <s v="AMPLIACIÓN DEL CONTRATO DEL 010 (ATENCIÓN PRESENCIAL Y TELEFÓNICA EN LA AGENCIA DE INNOVACIÓN)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19000182"/>
    <s v="AD"/>
    <d v="2022-01-01T00:00:00"/>
    <n v="22022000039"/>
    <s v="2022 10 2312 22799"/>
    <n v="14899.94"/>
    <x v="423"/>
    <s v="Adjudicación mant.jardines -cpm rondilla 5.214,98 E/AÑO  y cpm delicias 9.684,96 E/AÑO-DE ENERO 2022 A ABRIL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531"/>
    <s v="AD"/>
    <d v="2022-01-01T00:00:00"/>
    <n v="22022000078"/>
    <s v="2022 04 9204 216"/>
    <n v="1996.5"/>
    <x v="424"/>
    <s v="MANTENIMIENTO SISTEMA DE INFORMACIÓN PARA LA RECOGIDA Y GESTIÓN DE LAS ITES: RECITE, LOTE 7"/>
    <s v="220"/>
    <s v="BURGOS"/>
    <s v="BURGOS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059"/>
    <s v="AD"/>
    <d v="2022-01-01T00:00:00"/>
    <n v="22022000370"/>
    <s v="2022 10 2316 22799"/>
    <n v="14418.5"/>
    <x v="135"/>
    <s v="SERVICIO MEDIACION Y CONVIVENCIA DE 1 A 31 DE ENERO DE 2022-(med 11918,5-2500 act.plan convivencia)-contrato 1 añ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09000688"/>
    <s v="AD"/>
    <d v="2022-01-01T00:00:00"/>
    <n v="22022000242"/>
    <s v="2022 07 1701 22700"/>
    <n v="62334.2"/>
    <x v="425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0"/>
  </r>
  <r>
    <n v="220209000556"/>
    <s v="AD"/>
    <d v="2022-01-01T00:00:00"/>
    <n v="22022000214"/>
    <s v="2022 11 3111 22700"/>
    <n v="6923.45"/>
    <x v="425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09000558"/>
    <s v="AD"/>
    <d v="2022-01-01T00:00:00"/>
    <n v="22022000216"/>
    <s v="2022 05 4312 22700"/>
    <n v="4461.2700000000004"/>
    <x v="425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700"/>
  </r>
  <r>
    <n v="220209000557"/>
    <s v="AD"/>
    <d v="2022-01-01T00:00:00"/>
    <n v="22022000215"/>
    <s v="2022 11 3111 22700"/>
    <n v="3465.58"/>
    <x v="425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09000311"/>
    <s v="AD"/>
    <d v="2022-01-01T00:00:00"/>
    <n v="22022000185"/>
    <s v="2022 11 1631 214"/>
    <n v="8712"/>
    <x v="426"/>
    <s v="REAJUSTE ANUALIDAES CONTRATO SUMINISTRO NEUMATICOS (LOTE 3) VEHICULOS LIMPIEZA VIARIA DEL 1-7-2020 AL 30-6-2020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1"/>
    <s v="214"/>
  </r>
  <r>
    <n v="220220005562"/>
    <s v="D"/>
    <d v="2022-02-22T00:00:00"/>
    <n v="22022001453"/>
    <s v="2022 11 1321 214"/>
    <n v="1497.82"/>
    <x v="426"/>
    <s v="ACUERDO MARCO. SUSTITUCIÓN NEUMÁTICOS MICHELIN S.I. GESTION (2+2) // 4960DTL - 6697KKK- 1216KHB- 3998JKP- 6230JKP //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714"/>
    <s v="D"/>
    <d v="2022-03-14T00:00:00"/>
    <n v="22022001454"/>
    <s v="2022 11 1321 214"/>
    <n v="2159.48"/>
    <x v="426"/>
    <s v="ACUERDO MARCO. REPARACIONES A VEHÍCULOS DE POLICÍA (8762-DHV / 3709-KGD / 8715-DHV / 3357-GHK / 3720-KGD / 4078-JKP)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763"/>
    <s v="D"/>
    <d v="2022-03-02T00:00:00"/>
    <n v="22022001627"/>
    <s v="2022 11 1361 214"/>
    <n v="130.68"/>
    <x v="426"/>
    <s v="EQUILIBRADO Y SERVICIOS 4X4 (VEHÍCULO 1723-HNN ) // ALINEACION ELECTRONICA - DIRECCION 4X4/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5823"/>
    <s v="AD"/>
    <d v="2022-02-23T00:00:00"/>
    <n v="22022002127"/>
    <s v="2022 06 2315 22611"/>
    <n v="13068"/>
    <x v="427"/>
    <s v="DISEÑO Y MAQUETACIÓN DEL MATERIAL DESTINADO A LA DIFUSIÓN DE LA ACTIVIDAD DEL CENTRO MUNICIPAL DE LA IGUALDA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214"/>
    <s v="AD"/>
    <d v="2022-01-01T00:00:00"/>
    <n v="22022000047"/>
    <s v="2022 03 9241 213"/>
    <n v="29264.94"/>
    <x v="428"/>
    <s v="LOTE 7: MANTENIMIENTO ALARMAS ANTI-INTRUSIÓN CON ASISTENCIA  24H EDIFICIOS SERV.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20009849"/>
    <s v="AD"/>
    <d v="2022-03-17T00:00:00"/>
    <n v="22022002776"/>
    <s v="2022 02 9332 632"/>
    <n v="13019"/>
    <x v="429"/>
    <s v="DOCUMENTACIÓN TÉCNICA DE LAS INSTALACIONES PARA REHABILITACIÓN DEL INMUEBLE -AZUCARERA STA.VICTORIA-"/>
    <s v="220"/>
    <s v="VALLADOLID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19001094"/>
    <s v="AD"/>
    <d v="2022-01-01T00:00:00"/>
    <n v="22022000520"/>
    <s v="2022 11 1621 22700"/>
    <n v="12771"/>
    <x v="430"/>
    <s v="SERVICIOS DE RECOGIDA Y GESTIÓN DE RESIDUOS DE FIBROCEMENTO ABANDONADOS EN LA VÍA PUBLICA EN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19001112"/>
    <s v="AD"/>
    <d v="2022-01-01T00:00:00"/>
    <n v="22022000523"/>
    <s v="2022 05 4331 22799"/>
    <n v="11495"/>
    <x v="431"/>
    <s v="Preparación y entrega de propuesta de participación en proyecto de Distrito de Energía Positiva Limpia -Horizonte Europa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090"/>
    <s v="AD"/>
    <d v="2022-01-01T00:00:00"/>
    <n v="22022000174"/>
    <s v="2022 06 3261 22799"/>
    <n v="11218.75"/>
    <x v="432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19001086"/>
    <s v="AD"/>
    <d v="2022-01-01T00:00:00"/>
    <n v="22022000519"/>
    <s v="2022 05 4314 22799"/>
    <n v="11205.81"/>
    <x v="433"/>
    <s v="CONTRATACION DE SERVICIOS PARA DESARROLLAR LA FERIA DE PRODUCOS NAVIDEÑOS( 70% PRESUPUESTO ADJUDICACION)."/>
    <s v="220"/>
    <s v="LAGUNA DE DUERO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19000850"/>
    <s v="AD"/>
    <d v="2022-01-01T00:00:00"/>
    <n v="22022000096"/>
    <s v="2022 11 3111 22799"/>
    <n v="11192.5"/>
    <x v="434"/>
    <s v="CONTRATACION ADIESTRADOR CANINO CMPA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20007922"/>
    <s v="AD"/>
    <d v="2022-03-07T00:00:00"/>
    <n v="22022002157"/>
    <s v="2022 09 3341 22799"/>
    <n v="11084.43"/>
    <x v="435"/>
    <s v="PRORROGA CONTRATO DE SERVICIO ATENCION Y COORDINACION SERVICIOS AUXILIARES CUPULA DEL MILENIO. 12-04-2022 AL 11-04-2023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1239"/>
    <s v="AD"/>
    <d v="2022-01-01T00:00:00"/>
    <n v="22022001486"/>
    <s v="2022 11 3111 22799"/>
    <n v="10950.5"/>
    <x v="280"/>
    <s v="CONTROL POBLACIONES MOSQUITOS Y DETERMINADAS ESPECIES DE MOSCAS EN EL TERMINO MUNICIPAL VALLADOLID"/>
    <s v="220"/>
    <s v="VILLANUBLA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19000875"/>
    <s v="AD"/>
    <d v="2022-01-01T00:00:00"/>
    <n v="22022002008"/>
    <s v="2022 08 1532 619"/>
    <n v="10587.5"/>
    <x v="436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396"/>
    <s v="AD"/>
    <d v="2022-01-01T00:00:00"/>
    <n v="22022000512"/>
    <s v="2022 11 1631 22103"/>
    <n v="10000"/>
    <x v="401"/>
    <s v="PRORROGA CONTRATO SUMINISTRO GASOLINA PARA VEHÍCULOS Y MAQUINARÍA DEL SERVICIO DE LIMPIEZA VIARIA, AÑO 2022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09000032"/>
    <s v="AD"/>
    <d v="2022-01-01T00:00:00"/>
    <n v="22022002087"/>
    <s v="2022 04 9204 641"/>
    <n v="9165.75"/>
    <x v="393"/>
    <s v="SUMINNISTRO DE LICENCIAS Y SOPORTE TÉCNICO DE LOS PRODUCTOS ArcGIS (REALUSTE DE ANUALIDADES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748"/>
    <s v="AD"/>
    <d v="2022-01-01T00:00:00"/>
    <n v="22022000590"/>
    <s v="2022 02 1511 22706"/>
    <n v="8621.25"/>
    <x v="437"/>
    <s v="CONTRATO MENOR ELABORACIÓN DE INFORMES CARTOGRÁFICOS Y TRABAJOS DE TOPOGRAFÍA ( 3 MESES)"/>
    <s v="220"/>
    <s v="ARROYO DE LA ENCOMIENDA"/>
    <s v="VALLADOLID"/>
    <x v="0"/>
    <s v="AdDirec - Adjudicación Directa"/>
    <s v="SinC - Sin Criterio"/>
    <x v="2"/>
    <x v="0"/>
    <s v="2"/>
    <s v="2. Gastos corrientes en bienes y servicios"/>
    <s v="02"/>
    <x v="7"/>
    <s v="1511"/>
    <s v="1511. Planficación y gestión del urbanismo"/>
    <s v="22"/>
    <s v="22706"/>
  </r>
  <r>
    <n v="220220005774"/>
    <s v="AD"/>
    <d v="2022-02-23T00:00:00"/>
    <n v="22022002320"/>
    <s v="2022 02 9332 212"/>
    <n v="998.25"/>
    <x v="438"/>
    <s v="REPARACION ESCALERAS ACCESO BAJO CUBIERTA EN SAN BENITO"/>
    <s v="220"/>
    <s v="CUELLAR"/>
    <s v="SEGOVIA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8630"/>
    <s v="AD"/>
    <d v="2022-03-11T00:00:00"/>
    <n v="22022002704"/>
    <s v="2022 02 9332 212"/>
    <n v="418.78"/>
    <x v="438"/>
    <s v="REPARACION ACCESO PRINCIPAL A LA CASA CONSISTORIAL"/>
    <s v="220"/>
    <s v="CUELLAR"/>
    <s v="SEGOVIA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0062"/>
    <s v="AD"/>
    <d v="2022-01-19T00:00:00"/>
    <n v="22022000004"/>
    <s v="2022 04 9231 22705"/>
    <n v="772.47"/>
    <x v="244"/>
    <s v="ANUNCIO EN PRENSA LOCAL DE LA EXPOSICION DEL CENSO ELECTORAL - ELECCIONES AUTONOMICAS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231"/>
    <s v="9231. Información, registro y gestión del padrón"/>
    <s v="22"/>
    <s v="22705"/>
  </r>
  <r>
    <n v="220210069586"/>
    <s v="AD"/>
    <d v="2022-02-28T00:00:00"/>
    <n v="22021004824"/>
    <s v="2022 08 1532 619"/>
    <n v="8470"/>
    <x v="436"/>
    <s v="Redacción del Proyecto y A.T. a la Dirección de obra de Rehabilitación integral del Puente Colgante en Valladolid."/>
    <s v="220"/>
    <s v="ARROYO DE LA ENCOMIENDA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235"/>
    <s v="AD"/>
    <d v="2022-01-01T00:00:00"/>
    <n v="22022000425"/>
    <s v="2022 05 4331 22602"/>
    <n v="2090.88"/>
    <x v="251"/>
    <s v="A.M. 30/2018 Publicación de una página los domingos en la sección 'Innovación Valladolid' de El Norte de Castilla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3"/>
    <s v="4331"/>
    <s v="4331. Desarrollo empresarial"/>
    <s v="22"/>
    <s v="22602"/>
  </r>
  <r>
    <n v="220209000657"/>
    <s v="AD"/>
    <d v="2022-01-01T00:00:00"/>
    <n v="22022000227"/>
    <s v="2022 05 4312 22606"/>
    <n v="8000"/>
    <x v="439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606"/>
  </r>
  <r>
    <n v="220220005195"/>
    <s v="AD"/>
    <d v="2022-02-22T00:00:00"/>
    <n v="22022002029"/>
    <s v="2022 01 9207 22001"/>
    <n v="1456"/>
    <x v="251"/>
    <s v="ADJUDICA RENOVACIÓN DOS SUCRIPCIONES ANUALES AL PERIÓDICO EL NORTE DE CASTILLA - MEDIOS DE COMUNICACIÓN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2605"/>
    <s v="AD"/>
    <d v="2022-02-07T00:00:00"/>
    <n v="22022001880"/>
    <s v="2022 11 3111 22106"/>
    <n v="7260"/>
    <x v="440"/>
    <s v="ADQUISICION BIOCIDAS ESPECIFICOS CONTROL PLAGAS POR RATA DE ARBOL EN VALLADOLID"/>
    <s v="220"/>
    <s v="GAVA"/>
    <s v="BARCELONA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20005197"/>
    <s v="AD"/>
    <d v="2022-02-22T00:00:00"/>
    <n v="22022002067"/>
    <s v="2022 05 4331 22799"/>
    <n v="7260"/>
    <x v="441"/>
    <s v="CONTRATO DE SERVICIOS DE ACTUALIZACIÓN DE ESTRATEGIAS DE ADAPTACIÓN AL CAMBIO CLIMÁTICO DE VALLADOLID."/>
    <s v="220"/>
    <s v="ROZAS DE MADRID (LAS)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5799"/>
    <s v="AD"/>
    <d v="2022-02-23T00:00:00"/>
    <n v="22022002390"/>
    <s v="2022 07 1721 213"/>
    <n v="7260"/>
    <x v="442"/>
    <s v="MANTENIMIENTO DE ROBOT DEL LABORATORIO DE GASES Y MATERIAL FUNGIBLE DEL LABORATORIO. SERVICIO MEDIO AMBIENTE"/>
    <s v="220"/>
    <s v="SAN FERNANDO DE HENARES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7934"/>
    <s v="AD"/>
    <d v="2022-03-07T00:00:00"/>
    <n v="22022002605"/>
    <s v="2022 06 3232 632"/>
    <n v="7255.16"/>
    <x v="443"/>
    <s v="CTTO DE OBRAS: REPOSICIÓN SOLERA AULA CEIP GARCÍA QUINTANA. PLAZO DE EJECUCIÓN: 15 DÍAS.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20007946"/>
    <s v="AD"/>
    <d v="2022-03-08T00:00:00"/>
    <n v="22022002545"/>
    <s v="2022 10 2311 22001"/>
    <n v="276.18"/>
    <x v="251"/>
    <s v="Suscripciones del periódico &quot;&quot;El Norte de Castilla&quot;&quot; Enero y febrero  del 2022 varios centros Intervención Social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001"/>
  </r>
  <r>
    <n v="220220007926"/>
    <s v="AD"/>
    <d v="2022-03-07T00:00:00"/>
    <n v="22022002568"/>
    <s v="2022 06 3321 22001"/>
    <n v="6566.5"/>
    <x v="251"/>
    <s v="SUSCRIPCIÓN DEL DIARIO EL NORTE DE CASTILLA PARA LAS BIBLIOTECAS MUNICIPALES DURANTE EL AÑ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117"/>
    <s v="ADO"/>
    <d v="2022-02-09T00:00:00"/>
    <n v="22022001844"/>
    <s v="2022 05 4331 22699"/>
    <n v="8470"/>
    <x v="444"/>
    <s v="COLABORADOR EVENTO JORNADA ECONOMIA CIRCULAR / PATROCINIO EVENTO // DIA 15-11-21 EN MADRID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99"/>
  </r>
  <r>
    <n v="220219001200"/>
    <s v="AD"/>
    <d v="2022-01-01T00:00:00"/>
    <n v="22022000539"/>
    <s v="2022 04 3121 22706"/>
    <n v="8179.41"/>
    <x v="445"/>
    <s v="3ª prórroga contrato exámenes ginecológicos para Departamento de Prevención y Salud Laboral. Febrero 2022 a febrero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3121"/>
    <s v="3121. Prevención y salud laboral"/>
    <s v="22"/>
    <s v="22706"/>
  </r>
  <r>
    <n v="220220005930"/>
    <s v="AD"/>
    <d v="2022-02-24T00:00:00"/>
    <n v="22022001892"/>
    <s v="2022 11 1321 213"/>
    <n v="7442.9"/>
    <x v="446"/>
    <s v="MANTENIMIENTO PREVENTIVO DE LA GALERÍA DE TIRO VIRTUAL DE LA POLICÍA MUNICIPAL. EJERCICIO 2022."/>
    <s v="220"/>
    <s v="ALCOBENDAS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3488"/>
    <s v="AD"/>
    <d v="2022-02-14T00:00:00"/>
    <n v="22022001971"/>
    <s v="2022 06 3231 213"/>
    <n v="7199.5"/>
    <x v="428"/>
    <s v="CTTO MANTENIMIENTO STMAS DE SEGURIDAD EN ESCUELAS INFANTILES, CASA NIÑOS/AS Y EDUCACIÓN ADULTOS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10088318"/>
    <s v="AD"/>
    <d v="2022-02-28T00:00:00"/>
    <n v="22021005678"/>
    <s v="2022 08 1341 609"/>
    <n v="733.32"/>
    <x v="447"/>
    <s v="CONTROL DE CALIDAD OBRAS DE INSTALACIÓN DE ELEVADORES MECÁNICOS EN LA LADERA NORTE DE PARQUESOL.  (LOTE 1) EXP. 42/2021"/>
    <s v="220"/>
    <s v="CASTELLANOS DE MORISCOS"/>
    <s v="SALAMANC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9001270"/>
    <s v="AD"/>
    <d v="2022-01-01T00:00:00"/>
    <n v="22022001993"/>
    <s v="2022 08 1341 609"/>
    <n v="6599.93"/>
    <x v="447"/>
    <s v="CONTROL CALILDAD OBRAS INSTALACIÓN DE ELEVADORES EN LA LADERA NORTE DE PARQUESOL. (LOTE 1)  EXP: 42/2021"/>
    <s v="220"/>
    <s v="CASTELLANOS DE MORISCOS"/>
    <s v="SALAMANC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20007918"/>
    <s v="AD"/>
    <d v="2022-03-07T00:00:00"/>
    <n v="22022002079"/>
    <s v="2022 08 1532 619"/>
    <n v="6531.82"/>
    <x v="447"/>
    <s v="SEGUNDA PRÓRROGA CALIDAD LOTE 2 CONSERVACIÓN. EXP. 11/2018.-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7919"/>
    <s v="AD"/>
    <d v="2022-03-07T00:00:00"/>
    <n v="22022002108"/>
    <s v="2022 08 1532 619"/>
    <n v="9269.5"/>
    <x v="447"/>
    <s v="Ensayos Control Calidad. SEGUNDA PRÓRROGA CONTROL DE CALIDAD LOTE 1 CONSERVACIÓN. PRESUPUESTO ORDINARIO. EXPTE. 11/2018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7920"/>
    <s v="AD"/>
    <d v="2022-03-07T00:00:00"/>
    <n v="22022002115"/>
    <s v="2022 08 1532 619"/>
    <n v="4016.3"/>
    <x v="447"/>
    <s v="ENSAYOS CONTROL CALIDAD. LOTE 1. PTO.PARTICIPATIVOS 2022. Conservación vías públicas de Valladolid.-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12523"/>
    <s v="ADO"/>
    <d v="2022-03-24T00:00:00"/>
    <n v="22022002417"/>
    <s v="2022 02 9332 213"/>
    <n v="1614.81"/>
    <x v="246"/>
    <s v="REPARACIÓN VRV DAIKIN: VACIO/ PRESURIZACIÓN CON NITROGENO/ BÚSQUEDA FUGA/ CARGA GAS (ZONA DE DEPÓSITOS - ARCHIVO MPAL)"/>
    <s v="24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19000432"/>
    <s v="AD"/>
    <d v="2022-01-01T00:00:00"/>
    <n v="22022002190"/>
    <s v="2022 07 1721 633"/>
    <n v="7199.5"/>
    <x v="448"/>
    <s v="SUMINISTRO Y EXPLOT. NANOSENSORES CONTAMINACIÓN ATMOSFÉRICA ZONA BAJAS EMISIONES DE VALLADOLID. SERVICIO  MEDIO AMBIENTE"/>
    <s v="220"/>
    <s v="CASTRO-URDIALES"/>
    <s v="CANTABRIA"/>
    <x v="3"/>
    <s v="AdDirec - Adjudicación Directa"/>
    <s v="SinC - Sin Criterio"/>
    <x v="2"/>
    <x v="0"/>
    <s v="6"/>
    <s v="6. Inversiones reales"/>
    <s v="07"/>
    <x v="4"/>
    <s v="1721"/>
    <s v="1721. Protección del medio ambiente"/>
    <s v="63"/>
    <s v="633"/>
  </r>
  <r>
    <n v="220220000343"/>
    <s v="AD"/>
    <d v="2022-01-24T00:00:00"/>
    <n v="22022001246"/>
    <s v="2022 10 2412 22799"/>
    <n v="6441.28"/>
    <x v="391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3502"/>
    <s v="AD"/>
    <d v="2022-02-14T00:00:00"/>
    <n v="22022002243"/>
    <s v="2022 11 1321 22706"/>
    <n v="7169.25"/>
    <x v="449"/>
    <s v="REDACCIÓN DEL PROYECTO DE ADAPTACIÓN Y ADECUACIÓN EN ANEXOS DISTRITO 2º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09000655"/>
    <s v="AD"/>
    <d v="2022-01-01T00:00:00"/>
    <n v="22022000226"/>
    <s v="2022 01 9201 22799"/>
    <n v="6120.82"/>
    <x v="311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2"/>
    <s v="22799"/>
  </r>
  <r>
    <n v="220220007951"/>
    <s v="AD"/>
    <d v="2022-03-08T00:00:00"/>
    <n v="22022002651"/>
    <s v="2022 02 9332 22104"/>
    <n v="375.1"/>
    <x v="450"/>
    <s v="VESTUARIO DEL PERSONAL DEL CMEI TALLAJES ESPECIALES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10299"/>
    <s v="AD"/>
    <d v="2022-03-21T00:00:00"/>
    <n v="22022000038"/>
    <s v="2022 10 2311 22799"/>
    <n v="6061.5"/>
    <x v="423"/>
    <s v="prorroga serv.reparto e intercambio doc.ser.centrales área serv.soc. y CEAS,CPMS Y CFJB de 1/4/22 a 31/3/23-anual.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0394"/>
    <s v="AD"/>
    <d v="2022-01-01T00:00:00"/>
    <n v="22022000510"/>
    <s v="2022 02 9332 22103"/>
    <n v="6000"/>
    <x v="401"/>
    <s v="SEGUNDA PRÓRROGA CONTRATO SUMINISTRO GASOLINA 95º PARA VEHÍCULOS MANTENIMIENTO (EXPTE.18/2018)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3"/>
  </r>
  <r>
    <n v="220219000133"/>
    <s v="AD"/>
    <d v="2022-01-01T00:00:00"/>
    <n v="22022000382"/>
    <s v="2022 09 3341 22701"/>
    <n v="103.38"/>
    <x v="428"/>
    <s v="PRÓRROGA CONTRATO MANTENIMIENTO SEGURIDAD LOTE 1 CÚPULA DEL MILENIO"/>
    <s v="220"/>
    <s v="VALLADOLID"/>
    <s v="VALLADOLID"/>
    <x v="0"/>
    <s v="PrAbier - Procedimiento Abierto"/>
    <s v="UniC - Único Criterio"/>
    <x v="0"/>
    <x v="0"/>
    <s v="2"/>
    <s v="2. Gastos corrientes en bienes y servicios"/>
    <s v="09"/>
    <x v="10"/>
    <s v="3341"/>
    <s v="3341. Coordinación de políticas culturales"/>
    <s v="22"/>
    <s v="22701"/>
  </r>
  <r>
    <n v="220219000398"/>
    <s v="AD"/>
    <d v="2022-01-01T00:00:00"/>
    <n v="22022000514"/>
    <s v="2022 08 1532 22103"/>
    <n v="6000"/>
    <x v="401"/>
    <s v="PRÓRROGA DEL SUMINISTRO DE GASOLINA PARA EL AÑO 2022.-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3489"/>
    <s v="AD"/>
    <d v="2022-02-14T00:00:00"/>
    <n v="22022002014"/>
    <s v="2022 06 3261 22799"/>
    <n v="5900"/>
    <x v="451"/>
    <s v="TALLERES, RUTAS, CUENTOS SOBRE PATRIMONIO CULTURAL E HISTORICO VALLISOLETANO CENTROS EDUCATIVOS DE ENERO A JUNIO 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799"/>
  </r>
  <r>
    <n v="220210077197"/>
    <s v="AD"/>
    <d v="2022-03-11T00:00:00"/>
    <n v="22021008145"/>
    <s v="2022 11 1631 632"/>
    <n v="7161.6"/>
    <x v="452"/>
    <s v="OBRA DE INSTALACION DE UN SISTEMA DE RECOGIDA Y TRASVASE DE ACEITE USADO DE VEHÍCULOS EN TALLER DEL Sº DE LIMPIEZA"/>
    <s v="220"/>
    <s v="VALLADOLID"/>
    <s v="VALLADOLID"/>
    <x v="4"/>
    <s v="AdDirec - Adjudicación Directa"/>
    <s v="SinC - Sin Criterio"/>
    <x v="2"/>
    <x v="0"/>
    <s v="6"/>
    <s v="6. Inversiones reales"/>
    <s v="11"/>
    <x v="6"/>
    <s v="1631"/>
    <s v="1631. Limpieza viaria"/>
    <s v="63"/>
    <s v="632"/>
  </r>
  <r>
    <n v="220220001710"/>
    <s v="AD"/>
    <d v="2022-01-27T00:00:00"/>
    <n v="22022001642"/>
    <s v="2022 02 9332 22104"/>
    <n v="160"/>
    <x v="453"/>
    <s v="SUMINISTRO DE GAFAS DE SEGURIDAD GRADUADAS- TRABADOR CMEI -JESÚS TRIVIÑO MONTER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02195"/>
    <s v="AD"/>
    <d v="2022-01-31T00:00:00"/>
    <n v="22022001771"/>
    <s v="2022 01 9206 22799"/>
    <n v="5679.93"/>
    <x v="454"/>
    <s v="VERIFICACIÓN DE IMÁGENES PARA MICROSITIO WEB, EN DESARROLLO PARA EL ARCHIVO,  DEDICADO A LA SEMANA SANTA DE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8966"/>
    <s v="AD"/>
    <d v="2022-03-15T00:00:00"/>
    <n v="22022002766"/>
    <s v="2022 02 9332 22104"/>
    <n v="100"/>
    <x v="453"/>
    <s v="Gafas de seguridad graduadaspara trabajador CMEI  :MAXIMILIANO RUÍZ SILVERI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07394"/>
    <s v="AD"/>
    <d v="2022-03-04T00:00:00"/>
    <n v="22022002552"/>
    <s v="2022 03 9241 213"/>
    <n v="7148.08"/>
    <x v="455"/>
    <s v="MODIFICACIÓN DE LA CONTROLADORA DE LA ENFIADORA DE CC JOSÉ Mª LUELMO SEGÚN PRESUPUESTO APROBADO Nº 86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2537"/>
    <s v="AD"/>
    <d v="2022-02-03T00:00:00"/>
    <n v="22022001847"/>
    <s v="2022 04 9321 22799"/>
    <n v="5684.58"/>
    <x v="362"/>
    <s v="REPARTO Y BUZONEO DE LA GUÍA DEL CONTRIBUYE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19000979"/>
    <s v="AD"/>
    <d v="2022-01-01T00:00:00"/>
    <n v="22022000438"/>
    <s v="2022 06 3321 22799"/>
    <n v="48400"/>
    <x v="456"/>
    <s v="SE 20/21 LOTE 2 PROGRAMA ACTIVIDADES FOMENTO Y ANIMACIÓN A LA LECTURA EN LA RED DE BIBLIOTECAS MUNICIPALES"/>
    <s v="220"/>
    <s v="SAN MIGUEL DEL PINO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99"/>
  </r>
  <r>
    <n v="220220012880"/>
    <s v="AD"/>
    <d v="2022-03-25T00:00:00"/>
    <n v="22022002656"/>
    <s v="2022 05 4312 22799"/>
    <n v="5390.55"/>
    <x v="457"/>
    <s v="2º PAGO CONTRATO APOYO AL AYTO EN EL PROCESO REFORMA DE LAS INSTALACIONES DE LA RONDILLA DURANTE 2021-20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99"/>
  </r>
  <r>
    <n v="220220012879"/>
    <s v="AD"/>
    <d v="2022-03-25T00:00:00"/>
    <n v="22022002655"/>
    <s v="2022 05 4312 22799"/>
    <n v="5390.4"/>
    <x v="458"/>
    <s v="SEGUNDO PAGO CONTRATACIÓN SERVICIO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99"/>
  </r>
  <r>
    <n v="220219000406"/>
    <s v="AD"/>
    <d v="2022-01-01T00:00:00"/>
    <n v="22022000543"/>
    <s v="2022 05 4314 22706"/>
    <n v="1452"/>
    <x v="48"/>
    <s v="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06"/>
  </r>
  <r>
    <n v="220220005808"/>
    <s v="AD"/>
    <d v="2022-02-23T00:00:00"/>
    <n v="22022002407"/>
    <s v="2022 11 1621 212"/>
    <n v="7101.49"/>
    <x v="459"/>
    <s v="REPARACIÓN PUERTA LAVADERO. SERVICIO DE LIMPIEZA.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20004119"/>
    <s v="D"/>
    <d v="2022-02-18T00:00:00"/>
    <n v="22022001454"/>
    <s v="2022 11 1321 214"/>
    <n v="988.64"/>
    <x v="460"/>
    <s v="ACUERDO MARCO. SUMINISTRO RECAMBIOS PARA REPARACIÓN DE VEHICULOS DE LA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665"/>
    <s v="D"/>
    <d v="2022-03-14T00:00:00"/>
    <n v="22022001454"/>
    <s v="2022 11 1321 214"/>
    <n v="861.05"/>
    <x v="460"/>
    <s v="ACUERDO MARCO. RECAMBIOS PARA VEHICULOS DE LA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54"/>
    <s v="D"/>
    <d v="2022-02-22T00:00:00"/>
    <n v="22022001454"/>
    <s v="2022 11 1321 214"/>
    <n v="95.35"/>
    <x v="460"/>
    <s v="ACUERDO MARCO. SUMINISTRO MATERIALES PARA TALLER DE REPARACIÓN DE VEHÍCULO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3521"/>
    <s v="AD"/>
    <d v="2022-02-14T00:00:00"/>
    <n v="22022001447"/>
    <s v="2022 10 2312 216"/>
    <n v="5331.95"/>
    <x v="461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20004135"/>
    <s v="D"/>
    <d v="2022-02-18T00:00:00"/>
    <n v="22022000027"/>
    <s v="2022 11 1621 22103"/>
    <n v="2846.05"/>
    <x v="462"/>
    <s v="AC MARCO EXP V36-2017: SUMINISTRO LUBRICANTES PARA VEHI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4"/>
    <s v="D"/>
    <d v="2022-02-18T00:00:00"/>
    <n v="22022000027"/>
    <s v="2022 11 1621 22103"/>
    <n v="1579.53"/>
    <x v="462"/>
    <s v="AC MARCO EXP V36/2017. SUMINISTRO LUBRICANTE PARA MOTORES VEHICULOS MOTUL-TEKMA FUTURA +10W40 208 LITROS (2 UNID.)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13267"/>
    <s v="D"/>
    <d v="2022-03-30T00:00:00"/>
    <n v="22022000027"/>
    <s v="2022 11 1621 22103"/>
    <n v="1432.65"/>
    <x v="462"/>
    <s v="AK-ADIGAS 6 CTN 25 L (2) / KLINER FUNGY OIL B2B OPACA BLANCA 25 L / AM EXP V36/2017 /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13264"/>
    <s v="D"/>
    <d v="2022-03-30T00:00:00"/>
    <n v="22022000027"/>
    <s v="2022 11 1621 22103"/>
    <n v="998.25"/>
    <x v="462"/>
    <s v="ADBLUE A GRANEL (1.500) // AM EXP V36-2017 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133"/>
    <s v="D"/>
    <d v="2022-02-18T00:00:00"/>
    <n v="22022000027"/>
    <s v="2022 11 1621 22103"/>
    <n v="943.8"/>
    <x v="462"/>
    <s v="AC MARCO EXP V36-2017: ADBLUE A GRANEL (1.500) // VEHI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6876"/>
    <s v="D"/>
    <d v="2022-03-02T00:00:00"/>
    <n v="22022000027"/>
    <s v="2022 11 1621 22103"/>
    <n v="896.43"/>
    <x v="462"/>
    <s v="ADBLUE A GRANEL   (1.347) // AM EXP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2"/>
    <s v="D"/>
    <d v="2022-02-18T00:00:00"/>
    <n v="22022000027"/>
    <s v="2022 11 1621 22103"/>
    <n v="790.61"/>
    <x v="462"/>
    <s v="AC MARCO EXP V36/2017: ADBLUE A GRANEL (1.188) // PARA VEHÍ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8729"/>
    <s v="D"/>
    <d v="2022-03-14T00:00:00"/>
    <n v="22022001454"/>
    <s v="2022 11 1321 214"/>
    <n v="777.32"/>
    <x v="462"/>
    <s v="ACUERDO MARCO. SUMINISTRO DE MATERIALES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071"/>
    <s v="D"/>
    <d v="2022-02-18T00:00:00"/>
    <n v="22022000027"/>
    <s v="2022 11 1621 22103"/>
    <n v="673.24"/>
    <x v="462"/>
    <s v="AC MARCO EXP V36/2017: ADBLUE A GRANEL (1.070) // SERV.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0"/>
    <s v="D"/>
    <d v="2022-02-18T00:00:00"/>
    <n v="22022000026"/>
    <s v="2022 11 1621 214"/>
    <n v="556.6"/>
    <x v="462"/>
    <s v="AC MARCO EXP V36/2017: DYNAMIC-ANTICONGELANTE 3000 50% 185 K (2 UNIDADES) PARA VEHÍ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893"/>
    <s v="D"/>
    <d v="2022-03-02T00:00:00"/>
    <n v="22022001454"/>
    <s v="2022 11 1321 214"/>
    <n v="193.04"/>
    <x v="462"/>
    <s v="ACUERDO MARCO. SUMINISTRO DE MATERIAL PARA TALLER DE REPARACIÓN DE VEHÍCULOS DE LA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8"/>
    <s v="D"/>
    <d v="2022-02-22T00:00:00"/>
    <n v="22022001454"/>
    <s v="2022 11 1321 214"/>
    <n v="137.94"/>
    <x v="462"/>
    <s v="ACUERDO MARCO. REPARACIÓN BATERIA VARTA SILVER AGM 70 A 760EN // POLICÍA MUNICIPAL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49"/>
    <s v="D"/>
    <d v="2022-02-18T00:00:00"/>
    <n v="22022001454"/>
    <s v="2022 11 1321 214"/>
    <n v="101.52"/>
    <x v="462"/>
    <s v="ACUERDO MARCO. SUMINISTRO DE MATERIAL PARA TALLER DE REPARACIÓN DE VEHÍCULOS DE POLICÍ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10321"/>
    <s v="AD"/>
    <d v="2022-03-21T00:00:00"/>
    <n v="22022002896"/>
    <s v="2022 03 9241 22609"/>
    <n v="484"/>
    <x v="463"/>
    <s v="Actuación de Cuchuflay en CC Zona Sur 27/03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063"/>
    <s v="AD"/>
    <d v="2022-01-19T00:00:00"/>
    <n v="22022000006"/>
    <s v="2022 07 1721 22602"/>
    <n v="4985.2"/>
    <x v="464"/>
    <s v="DAR PUBLICIDAD PROCESO PARTICIPATIVO AGENDA URBANA VALLADOLID (AUVA2030(. SERVICIO DE MEDIO AMBIENTE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19000244"/>
    <s v="AD"/>
    <d v="2022-01-01T00:00:00"/>
    <n v="22022000427"/>
    <s v="2022 03 9241 22799"/>
    <n v="5212.7299999999996"/>
    <x v="465"/>
    <s v="2ª PRÓRROGA SERVICIO ASESORAMIENTO PRESUPUESTOS PARTICIPATIVOS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20000343"/>
    <s v="AD"/>
    <d v="2022-01-24T00:00:00"/>
    <n v="22022001247"/>
    <s v="2022 10 2412 22799"/>
    <n v="5153.03"/>
    <x v="391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194"/>
    <s v="AD"/>
    <d v="2022-03-18T00:00:00"/>
    <n v="22022002554"/>
    <s v="2022 03 9241 22602"/>
    <n v="72.599999999999994"/>
    <x v="464"/>
    <s v="PRODUCCIÓN DE CUÑA DE 20&quot;&quot; PARA LA CAMPAÑA &quot;&quot;VALLADOLID SE MUEVE CONTIGO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8"/>
    <s v="9241"/>
    <s v="9241. Participación ciudadana"/>
    <s v="22"/>
    <s v="22602"/>
  </r>
  <r>
    <n v="220220002192"/>
    <s v="AD"/>
    <d v="2022-01-31T00:00:00"/>
    <n v="22022001684"/>
    <s v="2022 11 1321 213"/>
    <n v="6466.56"/>
    <x v="428"/>
    <s v="MANTENIMIENTO EQUIPOS ELECTRÓNICOS DE SEGURIDAD Y VIGILANCIA DE LAS DEPENDENCIAS DE POLICÍA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559"/>
    <s v="AD"/>
    <d v="2022-01-01T00:00:00"/>
    <n v="22022000567"/>
    <s v="2022 07 1701 22799"/>
    <n v="6413"/>
    <x v="465"/>
    <s v="Dinamización del proceso participativo para la elaboración del plan de acción de la Agenda Urbana Valladolid 2030 (Cont)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799"/>
  </r>
  <r>
    <n v="220220006699"/>
    <s v="AD"/>
    <d v="2022-02-25T00:00:00"/>
    <n v="22022002529"/>
    <s v="2022 11 1321 22706"/>
    <n v="5898.75"/>
    <x v="449"/>
    <s v="REDACCIÓN PROYECTO DE MEJORA Y ACONDICIONAMIENTO EXTERIOR INSTALACIONES DEL DISTRITO 2º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3520"/>
    <s v="AD"/>
    <d v="2022-02-14T00:00:00"/>
    <n v="22022001204"/>
    <s v="2022 01 9205 22199"/>
    <n v="5566"/>
    <x v="466"/>
    <s v="ADJUDICA SUMINISTRO TINTAS OFFSET Y OTROS MATERIALES PARA TRABAJOS IMPRENTA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3429"/>
    <s v="AD"/>
    <d v="2022-03-31T00:00:00"/>
    <n v="22022003068"/>
    <s v="2022 04 9321 22699"/>
    <n v="5348"/>
    <x v="467"/>
    <s v="Suministro de PLACAS DE VADO  (permanente y horario) nuevas, ejercicio 2022"/>
    <s v="220"/>
    <s v="ALCACER"/>
    <s v="VALENCIA"/>
    <x v="3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699"/>
  </r>
  <r>
    <n v="220220005207"/>
    <s v="AD"/>
    <d v="2022-02-22T00:00:00"/>
    <n v="22022002235"/>
    <s v="2022 01 9206 22606"/>
    <n v="5256.24"/>
    <x v="468"/>
    <s v="MATERIAL Y MONTAJE PARA EXPOSICIÓN SOBRE SEMANA SANTA EN EL ARCHIVO MUNICIPAL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606"/>
  </r>
  <r>
    <n v="220220001802"/>
    <s v="AD"/>
    <d v="2022-01-28T00:00:00"/>
    <n v="22022001621"/>
    <s v="2022 06 2315 22611"/>
    <n v="4800"/>
    <x v="456"/>
    <s v="ACTIVIDADES DE MEDIACIÓN CULTURAL Y LECTURAS COMPARTIDAS A DESARROLLAR DURANTE EL AÑO 2022"/>
    <s v="220"/>
    <s v="SAN MIGUEL DEL PINO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3444"/>
    <s v="AD"/>
    <d v="2022-02-11T00:00:00"/>
    <n v="22022002116"/>
    <s v="2022 03 9241 22699"/>
    <n v="4658.5"/>
    <x v="469"/>
    <s v="FOTOS Y DOCUMENTACIÓN PRESUPUESTOS PARTICIPATIVO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12881"/>
    <s v="AD"/>
    <d v="2022-03-25T00:00:00"/>
    <n v="22022002659"/>
    <s v="2022 05 4312 22706"/>
    <n v="1452"/>
    <x v="48"/>
    <s v="2º PAGO CONTRATO 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06"/>
  </r>
  <r>
    <n v="220220003282"/>
    <s v="AD"/>
    <d v="2022-02-10T00:00:00"/>
    <n v="22022002120"/>
    <s v="2022 04 3121 22106"/>
    <n v="4500"/>
    <x v="470"/>
    <s v="ADQUISICION VACUNAS GSK DE HEPATITIS B, HEPATITIS Y TETANOS. PREVENCION Y SALUD LABORAL"/>
    <s v="220"/>
    <s v="TRES CANTOS"/>
    <s v="MADR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20001609"/>
    <s v="AD"/>
    <d v="2022-01-26T00:00:00"/>
    <n v="22022001463"/>
    <s v="2022 10 2312 22699"/>
    <n v="180.92"/>
    <x v="471"/>
    <s v="CARNES PERSONALIZADOS  PARA LOS VOLUNTARIOS DE LOS CPM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19000176"/>
    <s v="AD"/>
    <d v="2022-01-01T00:00:00"/>
    <n v="22022000385"/>
    <s v="2022 09 3341 22799"/>
    <n v="4322.5"/>
    <x v="435"/>
    <s v="Prórroga del contrato de servicios de a. y coordinación de servicios aux. de la Cúpula del Milenio de Valladolid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02199"/>
    <s v="AD"/>
    <d v="2022-01-31T00:00:00"/>
    <n v="22022001631"/>
    <s v="2022 06 2315 22611"/>
    <n v="4200"/>
    <x v="472"/>
    <s v="ACTIVIDADES DE ESCRITURA CREATIVA Y LECTURA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364"/>
    <s v="AD"/>
    <d v="2022-01-01T00:00:00"/>
    <n v="22022000504"/>
    <s v="2022 05 4314 22799"/>
    <n v="5390.55"/>
    <x v="457"/>
    <s v="APOYO AL AYTO EN EL PROCESO REFORMA DE LAS INSTALACIONES DE LA RONDILLA DURANTE EL AÑO 21-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19001121"/>
    <s v="AD"/>
    <d v="2022-01-01T00:00:00"/>
    <n v="22022000284"/>
    <s v="2022 06 3232 213"/>
    <n v="8121.48"/>
    <x v="473"/>
    <s v="SE-EIJI 27/2021. MANTENIMIENTO INSTALACIONES DE PROTECCIÓN CONTRA INCENDIOS. EDIFICIOS MUNICIPALES. LOTE 2. COLEGIOS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1609"/>
    <s v="AD"/>
    <d v="2022-01-26T00:00:00"/>
    <n v="22022001464"/>
    <s v="2022 10 2312 22699"/>
    <n v="180.92"/>
    <x v="471"/>
    <s v="CARNES PERSONALIZADOS  PARA LOS VOLUNTARIOS DE LOS CPM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10331"/>
    <s v="AD"/>
    <d v="2022-03-21T00:00:00"/>
    <n v="22022002908"/>
    <s v="2022 03 9241 22609"/>
    <n v="495"/>
    <x v="474"/>
    <s v="Espectáculo teatral en CC Rondilla el día 21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10"/>
    <s v="AD"/>
    <d v="2022-03-21T00:00:00"/>
    <n v="22022002869"/>
    <s v="2022 03 9241 22609"/>
    <n v="400"/>
    <x v="474"/>
    <s v="REPRESENTACIÓN TEATRAL EN CM PUENTE DUERO EL DIA 01/03/2022 (CARNAVAL)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0083416"/>
    <s v="AD"/>
    <d v="2022-03-11T00:00:00"/>
    <n v="22021008726"/>
    <s v="2022 11 1631 632"/>
    <n v="5255.45"/>
    <x v="452"/>
    <s v="OBRA PARA INSTALACION EN TALLER DE UNA ESTACION DE SUMINISTRO DE UREA PARA VEHICULOS DEL SERVICIO DE LIMPIEZA"/>
    <s v="220"/>
    <s v="VALLADOLID"/>
    <s v="VALLADOLID"/>
    <x v="1"/>
    <s v="AdDirec - Adjudicación Directa"/>
    <s v="SinC - Sin Criterio"/>
    <x v="2"/>
    <x v="0"/>
    <s v="6"/>
    <s v="6. Inversiones reales"/>
    <s v="11"/>
    <x v="6"/>
    <s v="1631"/>
    <s v="1631. Limpieza viaria"/>
    <s v="63"/>
    <s v="632"/>
  </r>
  <r>
    <n v="220210044261"/>
    <s v="AD"/>
    <d v="2022-02-28T00:00:00"/>
    <n v="22021005877"/>
    <s v="2022 09 3341 632"/>
    <n v="5026.2299999999996"/>
    <x v="475"/>
    <s v="DIRECCION FACULTATIVA Y DE EJECUCION OBRA DE ADECUACION DEL ESPACIO MARCELINA PONCELA COMO CENTRO RESTAURACION. AÑO 2021"/>
    <s v="220"/>
    <s v="VALLADOLID"/>
    <s v="VALLADOLID"/>
    <x v="0"/>
    <s v="AdDirec - Adjudicación Directa"/>
    <s v="SinC - Sin Criterio"/>
    <x v="2"/>
    <x v="0"/>
    <s v="6"/>
    <s v="6. Inversiones reales"/>
    <s v="09"/>
    <x v="10"/>
    <s v="3341"/>
    <s v="3341. Coordinación de políticas culturales"/>
    <s v="63"/>
    <s v="632"/>
  </r>
  <r>
    <n v="220220003100"/>
    <s v="AD"/>
    <d v="2022-02-09T00:00:00"/>
    <n v="22022001838"/>
    <s v="2022 11 1361 22199"/>
    <n v="4973.58"/>
    <x v="476"/>
    <s v="Espumógeno BioForN, 640l, para extinción de incendios de clase A y B; SEISYPC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539"/>
    <s v="AD"/>
    <d v="2022-02-04T00:00:00"/>
    <n v="22022001777"/>
    <s v="2022 01 9203 22799"/>
    <n v="3960"/>
    <x v="477"/>
    <s v="RECOGIDA DE PAPEL Y CARTON CASA CONSISTORIAL, SAN BENITO Y SANTA ANA,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2"/>
    <s v="22799"/>
  </r>
  <r>
    <n v="220219001131"/>
    <s v="AD"/>
    <d v="2022-01-01T00:00:00"/>
    <n v="22022000294"/>
    <s v="2022 10 2311 213"/>
    <n v="1442.56"/>
    <x v="473"/>
    <s v="Mant. inst. protección contra incendios INTERVENCIÓN SOC. AÑO 22, AÑO 23 y AÑO 24 (LOTE 4).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20000367"/>
    <s v="AD"/>
    <d v="2022-01-24T00:00:00"/>
    <n v="22022001528"/>
    <s v="2022 08 1532 210"/>
    <n v="4950"/>
    <x v="478"/>
    <s v="Suministro de áridos reciclados (zahorras) y recepción escombro a granel, mediante retirada o entrega a necesidad.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09000815"/>
    <s v="AD"/>
    <d v="2022-01-01T00:00:00"/>
    <n v="22022000313"/>
    <s v="2022 07 1721 213"/>
    <n v="3872"/>
    <x v="479"/>
    <s v="CALIBRACIONES SONÓMETROS MEDIO AMBIENTE. EXPEDIENTE VS 7/2020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20007393"/>
    <s v="AD"/>
    <d v="2022-03-04T00:00:00"/>
    <n v="22022002551"/>
    <s v="2022 03 9241 213"/>
    <n v="4506.59"/>
    <x v="455"/>
    <s v="SUMINISTRO E INST. MATERIALES PARA REPARACIONES EN EDIFICIOS SPC SEGÚN PRESUPUESTOS APROBADOS Nºs 62,97,93,70 y 96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7013"/>
    <s v="D"/>
    <d v="2022-03-03T00:00:00"/>
    <n v="22022001643"/>
    <s v="2022 06 3321 212"/>
    <n v="1436.88"/>
    <x v="480"/>
    <s v="MELAMINA PORO DISEÑO 30 - 16 - 10 MM ROBLE ESP // CORTES // CANTEADO // CANTO // BISAGRAS / TAPO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2697"/>
    <s v="D"/>
    <d v="2022-03-24T00:00:00"/>
    <n v="22022001626"/>
    <s v="2022 03 9241 212"/>
    <n v="950.58"/>
    <x v="480"/>
    <s v="TAPÓN ADHESIVO/ CERRADURAS/ BISAGRA (CC DELICIAS) // MELAMINA/ CANTO PVC/ CANTEADO/ CORTES/ TIRAFONDOS (CC ZONA SUR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8722"/>
    <s v="D"/>
    <d v="2022-03-14T00:00:00"/>
    <n v="22022001643"/>
    <s v="2022 06 3321 212"/>
    <n v="732.09"/>
    <x v="480"/>
    <s v="SUMINISTRO DE MATERIAL /// DESTINOS: CARCEL VIEJA - BIBLIOTECA C.C. ESGUEV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8552"/>
    <s v="D"/>
    <d v="2022-03-11T00:00:00"/>
    <n v="22022001626"/>
    <s v="2022 03 9241 212"/>
    <n v="241.07"/>
    <x v="480"/>
    <s v="ROLLO CORCHO 5 MM / ESQUINERO PINO / AGLOMERADO DM HIDROFUGO / COLA BUNITEX // CIC CONDE ANSÚ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098"/>
    <s v="D"/>
    <d v="2022-03-29T00:00:00"/>
    <n v="22022001178"/>
    <s v="2022 10 2311 212"/>
    <n v="231.15"/>
    <x v="480"/>
    <s v="F-3036.MARINO DE LA F. RECERCO/PERFIL PINO/AGLOMERADO/CERRADURA/ MANILLA/BISAGRA/ESPUMA POLIUR (CEAS DELICIAS-ARG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544"/>
    <s v="D"/>
    <d v="2022-03-16T00:00:00"/>
    <n v="22022001449"/>
    <s v="2022 02 9332 212"/>
    <n v="217.58"/>
    <x v="480"/>
    <s v="AGLOMERADO/ PERFIL PINO LAMINADO/ TIRAFONDOS/ TACO/ BROCA COBALTO/ BISAGRA CAZOLETA// S.E. DE MOVILIDAD Y ESPACIO URBAN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3205"/>
    <s v="D"/>
    <d v="2022-02-09T00:00:00"/>
    <n v="22022001640"/>
    <s v="2022 06 3231 212"/>
    <n v="108.4"/>
    <x v="480"/>
    <s v="AGLOMERADO DM 2440*1220*10 // E.I.M. EL PRINCIPITO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9910"/>
    <s v="D"/>
    <d v="2022-03-18T00:00:00"/>
    <n v="22022001184"/>
    <s v="2022 10 2312 212"/>
    <n v="90.48"/>
    <x v="480"/>
    <s v="MANT. SUMINISTRO DE MELAMINA PORO DISEÑO 19 MM / ESQUINERO PINO 35X35 // CPM ZONA ESTE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8663"/>
    <s v="D"/>
    <d v="2022-03-14T00:00:00"/>
    <n v="22022001456"/>
    <s v="2022 11 1321 22199"/>
    <n v="24.14"/>
    <x v="480"/>
    <s v="ACUERDO MARCO. SUMINISTRO DE MATERIAL DE MANTENIMIENTO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5759"/>
    <s v="D"/>
    <d v="2022-02-22T00:00:00"/>
    <n v="22022001626"/>
    <s v="2022 03 9241 212"/>
    <n v="15.1"/>
    <x v="480"/>
    <s v="COLA FIX PU  D4 850 GR. (1 UNIDAD)  ///// DESTINO: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513"/>
    <s v="D"/>
    <d v="2022-03-16T00:00:00"/>
    <n v="22022001449"/>
    <s v="2022 02 9332 212"/>
    <n v="10.55"/>
    <x v="480"/>
    <s v="CERRADURA FALLEBA PARA CAJETIN DE LLAVES (1 UNIDAD) //// DESTINO: CONCEJALIA DE  URBANISM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532"/>
    <s v="D"/>
    <d v="2022-02-22T00:00:00"/>
    <n v="22022001178"/>
    <s v="2022 10 2311 212"/>
    <n v="9.1199999999999992"/>
    <x v="480"/>
    <s v="F-866. MARINO DE LA FUENTE, S.A. MATERIAL DE FERRETERIA. DESTINO: MACIZO DE GREDOS 90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0340"/>
    <s v="AD"/>
    <d v="2022-01-24T00:00:00"/>
    <n v="22022001236"/>
    <s v="2022 06 2314 22602"/>
    <n v="3746.16"/>
    <x v="481"/>
    <s v="ELABORACION DE DIFERENTES SOPORTES DIVULGATIVOS PARA LA UNIVERSIDAD DE VALLADOLID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19001123"/>
    <s v="AD"/>
    <d v="2022-01-01T00:00:00"/>
    <n v="22022000286"/>
    <s v="2022 06 3231 213"/>
    <n v="817.75"/>
    <x v="473"/>
    <s v="SE-EIJI 27/2021. MANTENIMIENTO INSTALACIONES DE PROTECCIÓN CONTRA INCENDIOS. EDIFICIOS MUNICIPALES. LOTE 2. ESCUELAS INF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03180"/>
    <s v="ADO"/>
    <d v="2022-02-09T00:00:00"/>
    <n v="22022001893"/>
    <s v="2022 05 4331 22700"/>
    <n v="3607.97"/>
    <x v="318"/>
    <s v="SERVICIOS DE LIMPIEZA EN LA AGENCIA DE INNOVACIÓN Y DESARROLLO ECONÓMICO // MES DICIEMBRE"/>
    <s v="240"/>
    <s v="LOGROÑO"/>
    <s v="LA RIOJA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00"/>
  </r>
  <r>
    <n v="220210072140"/>
    <s v="AD"/>
    <d v="2022-02-28T00:00:00"/>
    <n v="22021007321"/>
    <s v="2022 03 9241 632"/>
    <n v="4463.75"/>
    <x v="482"/>
    <s v="INSTALACIÓN LÍNEA DE VIDA Y ESCALERAS EN C.C. ZONA ESTE Y C.C. ZONA SUR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2200"/>
    <s v="AD"/>
    <d v="2022-01-31T00:00:00"/>
    <n v="22022001632"/>
    <s v="2022 06 2315 22614"/>
    <n v="3600"/>
    <x v="483"/>
    <s v="TALLERES DE YOGA INFANTIL PARA CRECER EN EL RESPECTO DURANTE 2022"/>
    <s v="220"/>
    <s v="ALDEAMAYOR DE SAN MARTÍN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4"/>
  </r>
  <r>
    <n v="220219000788"/>
    <s v="AD"/>
    <d v="2022-01-01T00:00:00"/>
    <n v="22022000601"/>
    <s v="2022 09 3301 22706"/>
    <n v="3599.75"/>
    <x v="484"/>
    <s v="SERVICIO DE ESTUDIO Y REALIZACIÓN INFORME  ANTROPOLÓGICO Y PAELOPATOLÓGICO RESTOS  YACIMIENTO C/CONSTITUCION 3 MESES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06"/>
  </r>
  <r>
    <n v="220219001132"/>
    <s v="AD"/>
    <d v="2022-01-01T00:00:00"/>
    <n v="22022000295"/>
    <s v="2022 10 2312 213"/>
    <n v="3564.77"/>
    <x v="473"/>
    <s v="mant. inst.proteccion contra incendios INICIATIVAS SOC.AÑO 22 (L4:3781-L5 1.270)-AÑO 23Y24 L4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20000343"/>
    <s v="AD"/>
    <d v="2022-01-24T00:00:00"/>
    <n v="22022001245"/>
    <s v="2022 10 2412 22799"/>
    <n v="3407.19"/>
    <x v="391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0782"/>
    <s v="AD"/>
    <d v="2022-01-01T00:00:00"/>
    <n v="22022000599"/>
    <s v="2022 05 4314 22799"/>
    <n v="5390.4"/>
    <x v="458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6695"/>
    <s v="AD"/>
    <d v="2022-02-25T00:00:00"/>
    <n v="22022002412"/>
    <s v="2022 11 1361 22199"/>
    <n v="3194.4"/>
    <x v="485"/>
    <s v="Vehículos de desguace para realizar prácticas de rescate vial; SEISPC."/>
    <s v="220"/>
    <s v="CIGALES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10686"/>
    <s v="AD"/>
    <d v="2022-03-22T00:00:00"/>
    <n v="22022002967"/>
    <s v="2022 04 9202 22607"/>
    <n v="4114"/>
    <x v="486"/>
    <s v="Adquisición de Licencia Corporativa del programa informático &quot;&quot;Gexcat PS&quot;&quot; para la corrección automatizada ejercicios."/>
    <s v="220"/>
    <s v="SANTA CRUZ DE TENERIFE"/>
    <s v="TENERIFE"/>
    <x v="3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2291"/>
    <s v="AD"/>
    <d v="2022-02-01T00:00:00"/>
    <n v="22022001796"/>
    <s v="2022 08 1532 210"/>
    <n v="4114"/>
    <x v="487"/>
    <s v="Suministro de áridos (arena lavada, arena mina, piñón, gravas...) mediante retirada según necesidades.- AÑO 2022"/>
    <s v="220"/>
    <s v="VALLADOLID (POLIGONO SAN CRISTOBAL)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19001126"/>
    <s v="AD"/>
    <d v="2022-01-01T00:00:00"/>
    <n v="22022000289"/>
    <s v="2022 06 2314 213"/>
    <n v="94.39"/>
    <x v="473"/>
    <s v="SE-EIJI 27/2021. MANTENIMIENTO INSTALACIONES DE PROTECCIÓN CONTRA INCENDIOS. EDIFICIOS MUNICIPALES. LOTE 2.ESP JOVEN ZS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1128"/>
    <s v="AD"/>
    <d v="2022-01-01T00:00:00"/>
    <n v="22022000291"/>
    <s v="2022 06 3261 213"/>
    <n v="38.869999999999997"/>
    <x v="473"/>
    <s v="SE-EIJI 27/2021. MANTENIMIENTO INSTALACIONES DE PROTECCIÓN CONTRA INCENDIOS. EDIFICIOS MUNICIPALES. LOTE 2. E.M.MUSICA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0079"/>
    <s v="AD"/>
    <d v="2022-01-19T00:00:00"/>
    <n v="22022001155"/>
    <s v="2022 11 1621 214"/>
    <n v="4000"/>
    <x v="488"/>
    <s v="SUMINISTRO DE REPUESTOS PARA LA REPARACIÓN EQUIPOS RECOLECTORES MARCA GEESINK-NORBA DE LOS VEHÍCULOS DEL Sº LIMPIEZA"/>
    <s v="220"/>
    <s v="TORREJÓN DE ARDOZ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1797"/>
    <s v="AD"/>
    <d v="2022-01-28T00:00:00"/>
    <n v="22022001683"/>
    <s v="2022 07 1711 22113"/>
    <n v="3000"/>
    <x v="489"/>
    <s v="ALIMENTO PARA ANIMALES, JARDINES.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113"/>
  </r>
  <r>
    <n v="220209000236"/>
    <s v="AD"/>
    <d v="2022-01-01T00:00:00"/>
    <n v="22022002092"/>
    <s v="2022 10 2312 622"/>
    <n v="2997.79"/>
    <x v="366"/>
    <s v="COORD.SEGURIDAD Y SALUD DE LA OBRA NUEVA CONSTRUCCION DE CPM Y SED EN PARQUESOL-ANUALIDADES 2021 Y 2022"/>
    <s v="220"/>
    <s v="MADRID"/>
    <s v="MADR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5196"/>
    <s v="AD"/>
    <d v="2022-02-22T00:00:00"/>
    <n v="22022002062"/>
    <s v="2022 05 4331 22799"/>
    <n v="2904"/>
    <x v="490"/>
    <s v="CONTRATO ASISTENCIA PARA ELABORACIÓN PLIEGOS SUMINISTRO E INSTALACIÓN MEDIOS AUDIOVISUALES AGENCIA DE INNOVACIÓN"/>
    <s v="220"/>
    <s v="RENEDO DE ESGUEVA"/>
    <s v="VALLADOLID"/>
    <x v="3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0069"/>
    <s v="AD"/>
    <d v="2022-01-19T00:00:00"/>
    <n v="22022000890"/>
    <s v="2022 11 1621 214"/>
    <n v="4000"/>
    <x v="491"/>
    <s v="TRABAJOS EN MATERIAL FÉRRICO PARA LA REPARACIÓN DE VEHÍCULOS DEL SERVICIO DE LIMPIEZA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2544"/>
    <s v="AD"/>
    <d v="2022-02-04T00:00:00"/>
    <n v="22022001890"/>
    <s v="2022 03 9241 22602"/>
    <n v="2880"/>
    <x v="492"/>
    <s v="CONTRATACIÓN DE LA PUBLICIDAD DE LAS EXPOSICIONES EN CENTROS CÍVICOS DURANTE EL AÑO 2022"/>
    <s v="220"/>
    <s v="LA VALCUEVA"/>
    <s v="LEON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7392"/>
    <s v="AD"/>
    <d v="2022-03-04T00:00:00"/>
    <n v="22022002538"/>
    <s v="2022 03 9241 203"/>
    <n v="3993"/>
    <x v="493"/>
    <s v="SUM E INST. DE TOMAS DE CORRIENTE ELÉCTRICA TEMPORAL PARA EVENTOS DE PROGRAMAS SPC"/>
    <s v="220"/>
    <s v="VALLADOLID"/>
    <s v="VALLADOLID"/>
    <x v="4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0"/>
    <s v="203"/>
  </r>
  <r>
    <n v="220220012897"/>
    <s v="AD"/>
    <d v="2022-03-28T00:00:00"/>
    <n v="22022002988"/>
    <s v="2022 10 2316 22699"/>
    <n v="2810.83"/>
    <x v="494"/>
    <s v="Video de la celebración del día internac. para la erradicación de la discriminación racial y étnica, 21 marz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19000545"/>
    <s v="AD"/>
    <d v="2022-01-01T00:00:00"/>
    <n v="22022002192"/>
    <s v="2022 09 3341 632"/>
    <n v="3947.13"/>
    <x v="475"/>
    <s v="DIRECCION FACULTATIVA Y DE EJECUCION OBRA DE ADECUACION DEL ESPACIO MARCELINA PONCELA COMO CENTRO RESTAURACION. AÑO 2022"/>
    <s v="220"/>
    <s v="VALLADOLID"/>
    <s v="VALLADOLID"/>
    <x v="0"/>
    <s v="AdDirec - Adjudicación Directa"/>
    <s v="SinC - Sin Criterio"/>
    <x v="2"/>
    <x v="0"/>
    <s v="6"/>
    <s v="6. Inversiones reales"/>
    <s v="09"/>
    <x v="10"/>
    <s v="3341"/>
    <s v="3341. Coordinación de políticas culturales"/>
    <s v="63"/>
    <s v="632"/>
  </r>
  <r>
    <n v="220219001149"/>
    <s v="AD"/>
    <d v="2022-01-01T00:00:00"/>
    <n v="22022000527"/>
    <s v="2022 05 4331 22706"/>
    <n v="8772.5"/>
    <x v="495"/>
    <s v="Consultoría para el desarrollo de Plataforma Logística Intermodal en la ciudad de Valladolid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19000643"/>
    <s v="AD"/>
    <d v="2022-01-01T00:00:00"/>
    <n v="22022002080"/>
    <s v="2022 05 4331 622"/>
    <n v="3794.83"/>
    <x v="496"/>
    <s v="Dirección facultativa de obras de adecuación en nave sita en la calle Valle de Arán nº 1 para Hub Innovación-LUC"/>
    <s v="220"/>
    <s v="VALLADOLID"/>
    <s v="VALLADOLID"/>
    <x v="1"/>
    <s v="AdDirec - Adjudicación Directa"/>
    <s v="SinC - Sin Criterio"/>
    <x v="2"/>
    <x v="0"/>
    <s v="6"/>
    <s v="6. Inversiones reales"/>
    <s v="05"/>
    <x v="3"/>
    <s v="4331"/>
    <s v="4331. Desarrollo empresarial"/>
    <s v="62"/>
    <s v="622"/>
  </r>
  <r>
    <n v="220209000574"/>
    <s v="AD"/>
    <d v="2022-02-28T00:00:00"/>
    <n v="22021000740"/>
    <s v="2022 08 1341 619"/>
    <n v="6096.8"/>
    <x v="12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095"/>
    <s v="AD"/>
    <d v="2022-01-01T00:00:00"/>
    <n v="22022000626"/>
    <s v="2022 05 4331 22799"/>
    <n v="540"/>
    <x v="16"/>
    <s v="AD COMPLEMENTARIO. MANTENIMIENTO CUBIERTA VEGETAL MERCADO EL CAMPILLO. PROYECTO URBAN GreenUP. 1º SEMESTRE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575"/>
    <s v="AD"/>
    <d v="2022-02-28T00:00:00"/>
    <n v="22021000741"/>
    <s v="2022 08 1341 619"/>
    <n v="47.73"/>
    <x v="12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2202"/>
    <s v="AD"/>
    <d v="2022-01-31T00:00:00"/>
    <n v="22022001634"/>
    <s v="2022 06 2315 22611"/>
    <n v="2600"/>
    <x v="497"/>
    <s v="TALLERES SOBRE PINTORAS EN LA NIEBLA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7928"/>
    <s v="AD"/>
    <d v="2022-03-07T00:00:00"/>
    <n v="22022002598"/>
    <s v="2022 06 3232 212"/>
    <n v="500"/>
    <x v="498"/>
    <s v="SUMINISTRO DE MALLAZOS Y MATERIALES DE HIERRO PARA LAS OBRAS DE LOS COLEGIOS MUNICIPALES DURANTE EL AÑ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693"/>
    <s v="AD"/>
    <d v="2022-02-25T00:00:00"/>
    <n v="22022002386"/>
    <s v="2022 07 1721 22799"/>
    <n v="3600.96"/>
    <x v="499"/>
    <s v="PINTURA PARA LA CABINA DE LA RUBIA DE LA RCCAVA. PLAZO DE UN MES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5810"/>
    <s v="AD"/>
    <d v="2022-02-23T00:00:00"/>
    <n v="22022002413"/>
    <s v="2022 03 9241 213"/>
    <n v="3193.82"/>
    <x v="455"/>
    <s v="SUMINISTRO DE BOMBA CIRCULADORA DOBLE PARA REPARACIÓN CIRCUITO CALEFACCIÓN CC PARQUESOL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5928"/>
    <s v="AD"/>
    <d v="2022-02-24T00:00:00"/>
    <n v="22022002359"/>
    <s v="2022 06 2314 213"/>
    <n v="3037.43"/>
    <x v="428"/>
    <s v="MANTENIMIENTO DE LOS SISTEMAS DE SEGURIDAD Y CCTV INSTALADOS EN LOS CENTROS JUVENTUD E IGUALDAD DEL AY. VALLADOLI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1"/>
    <s v="213"/>
  </r>
  <r>
    <n v="220220003480"/>
    <s v="AD"/>
    <d v="2022-02-14T00:00:00"/>
    <n v="22022002176"/>
    <s v="2022 11 1321 213"/>
    <n v="2500"/>
    <x v="500"/>
    <s v="LAVADO INTERIOR Y EXTERIOR DE VEHÍCULOS DE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366"/>
    <s v="AD"/>
    <d v="2022-01-01T00:00:00"/>
    <n v="22022000506"/>
    <s v="2022 01 9206 22799"/>
    <n v="3008.54"/>
    <x v="501"/>
    <s v="CONTRATO DE SERVICIO DE CONSERVACIÓN PREVENTIVA Y DE RESTAURACIÓN DE DOCUMENTOS  Y DE OBRAS PICTÓRICAS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10187"/>
    <s v="AD"/>
    <d v="2022-03-18T00:00:00"/>
    <n v="22022002893"/>
    <s v="2022 07 1701 213"/>
    <n v="2885.81"/>
    <x v="428"/>
    <s v="SEGURIDAD Y ALARMA DE LA CASA DEL BARCO Y DEL EDIFICIO ANEXO. PERIODO: 01.01.2022 AL 31.12.2022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19000787"/>
    <s v="AD"/>
    <d v="2022-01-01T00:00:00"/>
    <n v="22022000600"/>
    <s v="2022 09 3301 22799"/>
    <n v="2843.5"/>
    <x v="502"/>
    <s v="ELABORACIÓN DE UN PLAN DE MARKETING Y CORRDINACIÓN DE ACCIONES PARA VALORAR LA FIGURA DE HUGH O´DONNELL 10 MESES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99"/>
  </r>
  <r>
    <n v="220210025549"/>
    <s v="AD"/>
    <d v="2022-02-28T00:00:00"/>
    <n v="22021002929"/>
    <s v="2022 10 2312 632"/>
    <n v="2420"/>
    <x v="503"/>
    <s v="dirección de la obra  CUBIERTA CPM LA VICTORIA"/>
    <s v="220"/>
    <s v="LAGUNA DE DUERO"/>
    <s v="VALLADOLID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3"/>
    <s v="632"/>
  </r>
  <r>
    <n v="220209000576"/>
    <s v="AD"/>
    <d v="2022-02-28T00:00:00"/>
    <n v="22021000742"/>
    <s v="2022 08 1341 619"/>
    <n v="26.92"/>
    <x v="12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2488"/>
    <s v="D"/>
    <d v="2022-02-02T00:00:00"/>
    <n v="22022001637"/>
    <s v="2022 07 1711 214"/>
    <n v="19.36"/>
    <x v="504"/>
    <s v="ACUERDO MARCO 3/2022, REPARACION DE NEUMATIC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27"/>
    <s v="D"/>
    <d v="2022-03-16T00:00:00"/>
    <n v="22022001451"/>
    <s v="2022 02 9332 214"/>
    <n v="161.43"/>
    <x v="504"/>
    <s v="REPARAR RUEDA TRASERA DCHA (FURGÓN 5901LFX) // MONTAJE Y EQUILIBRADO DE VÁLVULAS TRASERAS (VEHÍCULO 6006CCM)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31"/>
    <s v="D"/>
    <d v="2022-03-16T00:00:00"/>
    <n v="22022001451"/>
    <s v="2022 02 9332 214"/>
    <n v="27.35"/>
    <x v="504"/>
    <s v="REPARAR RUEDA TRASERA IZQUIERDA DE FURGONETA / EQUILIBRAR RUEDA // MATRÍCULA 8282DFF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2679"/>
    <s v="D"/>
    <d v="2022-03-24T00:00:00"/>
    <n v="22022001451"/>
    <s v="2022 02 9332 214"/>
    <n v="287.24"/>
    <x v="504"/>
    <s v="VEHÍCULO MANTENIM. 8346KZY: ECO CONTINENTAL/ S.I. GESTIÓN DEL NFU CATEGORÍA B/ MONTAJE+EQUILIBRADO+VÁLVULAS DELANTERA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3150"/>
    <s v="D"/>
    <d v="2022-03-29T00:00:00"/>
    <n v="22022001637"/>
    <s v="2022 07 1711 214"/>
    <n v="264.14999999999998"/>
    <x v="504"/>
    <s v="REPARACIÓN DE NEUMÁTIC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0111"/>
    <s v="AD"/>
    <d v="2022-01-20T00:00:00"/>
    <n v="22022001265"/>
    <s v="2022 11 1621 213"/>
    <n v="2755.75"/>
    <x v="505"/>
    <s v="SERVICIO CONTRATO DE MANTENIMIENTO ASCENSOR DEL SERVCIO DE LIMPIEZA SITO EN C/ TOPACIO, 63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19000365"/>
    <s v="AD"/>
    <d v="2022-01-01T00:00:00"/>
    <n v="22022000505"/>
    <s v="2022 09 3341 22799"/>
    <n v="2363.86"/>
    <x v="501"/>
    <s v="CONTRATO DE CONSERVACION Y RESTAURACION DE DOCUMENTOS Y OBRAS PICTORICAS DEL AYUNTAMIENTO DE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20006694"/>
    <s v="AD"/>
    <d v="2022-02-25T00:00:00"/>
    <n v="22022002389"/>
    <s v="2022 07 1721 22706"/>
    <n v="2722.5"/>
    <x v="506"/>
    <s v="REALIZACIÓN DE LA AUDITORÍA INTERNA DE LA RCCVA. SERVICIO MEDIO AMBIENTE"/>
    <s v="220"/>
    <s v="OVIEDO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1657"/>
    <s v="ADO"/>
    <d v="2022-01-27T00:00:00"/>
    <n v="22022001466"/>
    <s v="2022 10 2311 22799"/>
    <n v="2299"/>
    <x v="507"/>
    <s v="F-72. SERVICIOS PRESTADOS ANIMACIÓN NAVIDEÑA: TREN TURÍSTICO INFANTIL Y PERSONAJES NAVIDEÑOS EN ARTURO EYRIES 21-22"/>
    <s v="24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9365"/>
    <s v="AD"/>
    <d v="2022-03-16T00:00:00"/>
    <n v="22022002837"/>
    <s v="2022 07 1721 22706"/>
    <n v="2565.1999999999998"/>
    <x v="508"/>
    <s v="REGISTRO DE LA MARCA AEMVA PARA TENER EL DERECHO LEGAL DE UTILIZAR EL DISTINTIVO DURANTE DIEZ AÑOS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5936"/>
    <s v="AD"/>
    <d v="2022-02-24T00:00:00"/>
    <n v="22022002438"/>
    <s v="2022 07 1721 22799"/>
    <n v="2565.1999999999998"/>
    <x v="509"/>
    <s v="OPTIMIZACIÓN DE PARÁMETROS DE NANOSENSORES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2535"/>
    <s v="AD"/>
    <d v="2022-02-03T00:00:00"/>
    <n v="22022001845"/>
    <s v="2022 11 1631 212"/>
    <n v="2500"/>
    <x v="459"/>
    <s v="REPARACIONES Y MANTENIMIENTO DE LAS PUERTAS DE ACCESO A NAVE DE LAVADO DE VEHÍCULOS DEL SERVICIO DE LIMPIEZA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2"/>
  </r>
  <r>
    <n v="220220007927"/>
    <s v="AD"/>
    <d v="2022-03-07T00:00:00"/>
    <n v="22022002591"/>
    <s v="2022 11 3111 213"/>
    <n v="2500"/>
    <x v="510"/>
    <s v="REVISIÓN Y ADAPTACION OCA K-S22 DEL HORNO INCINERADOR DE RESTOS KT-3000 A LA NUEVA LEGISLACION."/>
    <s v="220"/>
    <s v="ZARAGOZA"/>
    <s v="ZARAGOZA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6377"/>
    <s v="AD"/>
    <d v="2022-02-25T00:00:00"/>
    <n v="22022002420"/>
    <s v="2022 04 9231 22799"/>
    <n v="2500"/>
    <x v="511"/>
    <s v="PLACAS ROTULADORAS DE VIAS DE CALLES - 2022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99"/>
  </r>
  <r>
    <n v="220219000180"/>
    <s v="AD"/>
    <d v="2022-01-01T00:00:00"/>
    <n v="22022000038"/>
    <s v="2022 10 2311 22799"/>
    <n v="2114.48"/>
    <x v="423"/>
    <s v="CONTRATO REPARTO DOCUMENTACION ENTRE SERVICIOS CENTRALES Y CEAS,CPMS Y C.F.E-ENERO A MARZO 2022-114,16 IVA INC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0113"/>
    <s v="AD"/>
    <d v="2022-01-20T00:00:00"/>
    <n v="22022001315"/>
    <s v="2022 11 1321 22706"/>
    <n v="2420"/>
    <x v="512"/>
    <s v="SERV. TECN. REDACCIÓN PROYECTO EJEC., REFORMA Y AMPLIACIÓN VESTUARIOS EDIF. ANEXO DEP. DISTRITO 4º DE POLICÍ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0081"/>
    <s v="AD"/>
    <d v="2022-01-19T00:00:00"/>
    <n v="22022001182"/>
    <s v="2022 05 4331 22799"/>
    <n v="2093.3000000000002"/>
    <x v="513"/>
    <s v="CONTRATO PARA EL DISEÑO, EDICIÓN Y MAQUETACIÓN DEL PLAN LOCAL DE ECONOMÍA CIRCULAR DE VALLADOLID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461"/>
    <s v="AD"/>
    <d v="2022-01-01T00:00:00"/>
    <n v="22022000193"/>
    <s v="2022 06 3231 22799"/>
    <n v="122813.33"/>
    <x v="38"/>
    <s v="EXPTE. SE-EIJI 10/2020. CTTO GESTION EIM FANTASIA LOTE 4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145"/>
    <s v="AD"/>
    <d v="2022-01-01T00:00:00"/>
    <n v="22022000525"/>
    <s v="2022 10 2313 22699"/>
    <n v="4840"/>
    <x v="251"/>
    <s v="FORO SERV.SOCIALES S/SERV.SOC.Y EL BIENESTAR CIUDADANO, CLAVES ACT.DTE.PANDEMIA Y ACC.FUTURO-ACC.PREP.2021-ACTO 1ER.TR22"/>
    <s v="220"/>
    <s v="VALLADOLID"/>
    <s v="VALLADOLID"/>
    <x v="4"/>
    <s v="AdDirec - Adjudicación Directa"/>
    <s v="SinC - Sin Criterio"/>
    <x v="2"/>
    <x v="0"/>
    <s v="2"/>
    <s v="2. Gastos corrientes en bienes y servicios"/>
    <s v="10"/>
    <x v="0"/>
    <s v="2313"/>
    <s v="2313. Dirección del área de servicios sociales"/>
    <s v="22"/>
    <s v="22699"/>
  </r>
  <r>
    <n v="220219000534"/>
    <s v="AD"/>
    <d v="2022-01-01T00:00:00"/>
    <n v="22022000081"/>
    <s v="2022 04 9204 216"/>
    <n v="3900"/>
    <x v="514"/>
    <s v="MANTENIMIENTO SOFTWARE DE ESCÁNERES PARA PROYECTOS DE DIGITALIZACIÓN DE ALTA PRODUCCIÓN, LOTE 10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10109"/>
    <s v="ADO"/>
    <d v="2022-03-18T00:00:00"/>
    <n v="22022002863"/>
    <s v="2022 06 3232 213"/>
    <n v="2322.62"/>
    <x v="505"/>
    <s v="SUSTITUCIÓN DE PIEZAS ASCENSORES DEL EJERCICIO 2021."/>
    <s v="24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0349"/>
    <s v="AD"/>
    <d v="2022-01-24T00:00:00"/>
    <n v="22022001272"/>
    <s v="2022 06 3232 213"/>
    <n v="1210"/>
    <x v="505"/>
    <s v="COMPRA Y SUSTITUCIÓN DE PIEZAS DE ASCENSORES DE LOS COLEGIOS PÚBLICOS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03"/>
    <s v="AD"/>
    <d v="2022-01-01T00:00:00"/>
    <n v="22022000251"/>
    <s v="2022 10 2311 22799"/>
    <n v="2000"/>
    <x v="391"/>
    <s v="Servicio de celaduría en COMEDOR SOCIAL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0391"/>
    <s v="AD"/>
    <d v="2022-01-01T00:00:00"/>
    <n v="22022000507"/>
    <s v="2022 08 1341 22103"/>
    <n v="2000"/>
    <x v="401"/>
    <s v="GASOLINA VEHÍCULOS CENTRO DE MOVILIDAD URBANA - AÑO 2022"/>
    <s v="220"/>
    <s v="MADRID"/>
    <s v="MADRID"/>
    <x v="3"/>
    <s v="PrAbier - Procedimiento Abierto"/>
    <s v="UniC - Único Criterio"/>
    <x v="0"/>
    <x v="0"/>
    <s v="2"/>
    <s v="2. Gastos corrientes en bienes y servicios"/>
    <s v="08"/>
    <x v="1"/>
    <s v="1341"/>
    <s v="1341. Movilidad"/>
    <s v="22"/>
    <s v="22103"/>
  </r>
  <r>
    <n v="220220003445"/>
    <s v="AD"/>
    <d v="2022-02-11T00:00:00"/>
    <n v="22022002119"/>
    <s v="2022 03 9241 22602"/>
    <n v="1996.5"/>
    <x v="469"/>
    <s v="EDICIÓN DE VIDEOS PROMOCIONALES DISTINTOS PROGRAMAS DEL SERVICIO DE PARTICIPACIÓN CIUDADANA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19000334"/>
    <s v="AD"/>
    <d v="2022-01-01T00:00:00"/>
    <n v="22022001978"/>
    <s v="2022 04 9204 626"/>
    <n v="90750"/>
    <x v="515"/>
    <s v="SUMINISTRO Y MAQUETACIÓN DE ORDENADORES PORTÁTILES LOTE 2 , DE ENERO 22 A JJUNIO 23"/>
    <s v="220"/>
    <s v="POZUELO DE ALARCÓN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19000127"/>
    <s v="AD"/>
    <d v="2022-01-01T00:00:00"/>
    <n v="22022000377"/>
    <s v="2022 11 3111 22706"/>
    <n v="29645"/>
    <x v="516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20002545"/>
    <s v="AD"/>
    <d v="2022-02-04T00:00:00"/>
    <n v="22022001891"/>
    <s v="2022 03 9241 22602"/>
    <n v="1883.97"/>
    <x v="492"/>
    <s v="CONTRATACIÓN DE LA PUBLICIDAD DE LAS MUESTRAS DE TEATRO Y CULTURA TRADICIONAL EN CC Y CM DURANTE 2022"/>
    <s v="220"/>
    <s v="LA VALCUEVA"/>
    <s v="LEON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19000234"/>
    <s v="AD"/>
    <d v="2022-01-01T00:00:00"/>
    <n v="22022000424"/>
    <s v="2022 05 4331 22602"/>
    <n v="1882.22"/>
    <x v="244"/>
    <s v="A.M.30/2018 Publicación dos inserciones mensuales dentro del SUPLEMENTO INNOVADORES, a nivel regional de EL MUNDO DIARIO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3"/>
    <s v="4331"/>
    <s v="4331. Desarrollo empresarial"/>
    <s v="22"/>
    <s v="22602"/>
  </r>
  <r>
    <n v="220220012522"/>
    <s v="ADO"/>
    <d v="2022-03-24T00:00:00"/>
    <n v="22022002416"/>
    <s v="2022 02 9332 213"/>
    <n v="1188.3399999999999"/>
    <x v="246"/>
    <s v="SUMINISTRO DE TARJETAS ELECTRÓNICAS PARA EL CONTROL DEL BOX EN CALDERA ADISA (2) // UBICACION: CASA CONSISTORIAL"/>
    <s v="240"/>
    <s v="ALBACETE"/>
    <s v="ALBACETE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3479"/>
    <s v="AD"/>
    <d v="2022-02-14T00:00:00"/>
    <n v="22022001787"/>
    <s v="2022 10 2412 22799"/>
    <n v="10560"/>
    <x v="517"/>
    <s v="PRORROGA LOTE 2 CURSO COMPETENCIAS CLAVE NIVEL 2 CERTIF.SIN PROF.SIN IDIOMAS-MARSDIG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169000655"/>
    <s v="AD"/>
    <d v="2022-01-01T00:00:00"/>
    <n v="22022000144"/>
    <s v="2022 08 1341 22799"/>
    <n v="1880"/>
    <x v="518"/>
    <s v="REAJUSTE ANUALIDADES INSTALACIONES GESTION Y MANTENIMIENTO SISTEMA AUTOMATICO PRESTAMOS DE BICICLETAS 2022-2023."/>
    <s v="220"/>
    <s v="ALBACETE"/>
    <s v="ALBACETE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09000673"/>
    <s v="AD"/>
    <d v="2022-03-11T00:00:00"/>
    <n v="22021000530"/>
    <s v="2022 07 1711 619"/>
    <n v="1838.81"/>
    <x v="70"/>
    <s v="ACUERDO MARCO V6/2020, ARREGLOS EN PLAZA ELIPTICA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0388"/>
    <s v="AD"/>
    <d v="2022-01-25T00:00:00"/>
    <n v="22022000021"/>
    <s v="2022 10 2312 213"/>
    <n v="1822.91"/>
    <x v="428"/>
    <s v="CONTRATO DE MANTENIMIENTO DEL SISTEMA DE SEGURIDAD Y VIDEO-VIGILANCIA PARA CPM TRANSFERIDOS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20005783"/>
    <s v="AD"/>
    <d v="2022-02-23T00:00:00"/>
    <n v="22022002352"/>
    <s v="2022 06 3261 22699"/>
    <n v="1780"/>
    <x v="519"/>
    <s v="SUMINISTRO 200 CDS CANCIONES INFANTILES PARA COLEGIOS, ESCUELAS INFANTILES Y BIBLIOTECAS. 1 DIA."/>
    <s v="220"/>
    <s v="ESGUEVILLAS DE ESGUEVA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3099"/>
    <s v="AD"/>
    <d v="2022-02-09T00:00:00"/>
    <n v="22022001667"/>
    <s v="2022 05 4331 22602"/>
    <n v="4840"/>
    <x v="251"/>
    <s v="PATROCINIO DE START INNOVA -7ª EDICIÓN-, PARA EL CURSO 2021-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02"/>
  </r>
  <r>
    <n v="220220003483"/>
    <s v="AD"/>
    <d v="2022-02-14T00:00:00"/>
    <n v="22022001906"/>
    <s v="2022 06 3321 22001"/>
    <n v="5631.25"/>
    <x v="520"/>
    <s v="SUMINISTRO DE VARIAS REVITAS PARA LAS BILIOTECAS MUNICIPALES DURANTE EL AÑO 2022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490"/>
    <s v="AD"/>
    <d v="2022-02-14T00:00:00"/>
    <n v="22022002020"/>
    <s v="2022 06 3321 22001"/>
    <n v="1533.44"/>
    <x v="521"/>
    <s v="SUSCRIPCIÓN DE VARIAS REVISTAS DURANTE EL AÑO 2022 PARA LAS BIBLIOTECAS MUNICIPALES.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528"/>
    <s v="AD"/>
    <d v="2022-01-01T00:00:00"/>
    <n v="22022001996"/>
    <s v="2022 04 9204 641"/>
    <n v="20831.64"/>
    <x v="522"/>
    <s v="SISTEMA DE GESTIÓN DE PERSONAL Y NÓMINA: LICENCIAS MET4MIND SECTOR PÚBLICO, LOTE 4"/>
    <s v="220"/>
    <s v="LAS ROZAS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2541"/>
    <s v="AD"/>
    <d v="2022-02-04T00:00:00"/>
    <n v="22022001855"/>
    <s v="2022 06 3321 22001"/>
    <n v="1525.56"/>
    <x v="523"/>
    <s v="SUSCRIPCIÓN A VARIAS REVISTAS PARA LAS BILBIOTECAS PÚBLICAS DURANTE EL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0338"/>
    <s v="AD"/>
    <d v="2022-03-21T00:00:00"/>
    <n v="22022002916"/>
    <s v="2022 03 9241 22609"/>
    <n v="1529"/>
    <x v="524"/>
    <s v="Zolopotroko Teatro. Actuaciones en CC Zona Este (12/03/22), CM Puente Duero (09/04/22) y CC Campillo (24/04/22). MFS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482"/>
    <s v="AD"/>
    <d v="2022-02-14T00:00:00"/>
    <n v="22022001901"/>
    <s v="2022 06 3321 22001"/>
    <n v="441"/>
    <x v="525"/>
    <s v="SUSCRIPCIÓN A VARIAS REVISTAS PARA LAS BIBLIOTECAS MUNICIPALES DURANTE EL AÑO 2022"/>
    <s v="220"/>
    <s v="MAJADAHONDA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09000233"/>
    <s v="AD"/>
    <d v="2022-01-01T00:00:00"/>
    <n v="22022002090"/>
    <s v="2022 06 3321 622"/>
    <n v="2289.98"/>
    <x v="366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2"/>
    <x v="0"/>
    <s v="6"/>
    <s v="6. Inversiones reales"/>
    <s v="06"/>
    <x v="2"/>
    <s v="3321"/>
    <s v="3321. Bibliotecas públicas"/>
    <s v="62"/>
    <s v="622"/>
  </r>
  <r>
    <n v="220219000533"/>
    <s v="AD"/>
    <d v="2022-01-01T00:00:00"/>
    <n v="22022000080"/>
    <s v="2022 04 9204 216"/>
    <n v="3773.27"/>
    <x v="526"/>
    <s v="MANTENIMIENTO GESTOR DE BASE DE DATOS DOCUMENTALES DEL ARCHIVO MUNICIPAL: KNOSYS, LOTE 9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5798"/>
    <s v="AD"/>
    <d v="2022-02-23T00:00:00"/>
    <n v="22022002388"/>
    <s v="2022 07 1721 213"/>
    <n v="2220.35"/>
    <x v="527"/>
    <s v="LOS EQUIPOS DE AGUA ULTRAPURA REQUIEREN DE REPARACIONES. LA EMPRESA ADJUDICATARIA ES MERCK LIFE SCIENCE SLU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19000215"/>
    <s v="AD"/>
    <d v="2022-01-01T00:00:00"/>
    <n v="22022000048"/>
    <s v="2022 03 9241 213"/>
    <n v="19355.740000000002"/>
    <x v="455"/>
    <s v="LOTE 1: MANTENIMIENTO CALEFACCIÓN Y CLIMATIZACIÓN EDIFICIOS DEPENDIENTES SERVICIO PARTICIPACIÓN CIUDADANA"/>
    <s v="220"/>
    <s v="VALLADOLID"/>
    <s v="MADR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20003849"/>
    <s v="AD"/>
    <d v="2022-02-16T00:00:00"/>
    <n v="22022002063"/>
    <s v="2022 02 1501 203"/>
    <n v="2211.84"/>
    <x v="528"/>
    <s v="CONTRATO ALQUILER RENTING PLOTTER SCANNER HEWLETT PACKARD. AÑO 2022"/>
    <s v="220"/>
    <s v="LAS ROZAS"/>
    <s v="MADRID"/>
    <x v="0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0"/>
    <s v="203"/>
  </r>
  <r>
    <n v="220220002280"/>
    <s v="AD"/>
    <d v="2022-02-01T00:00:00"/>
    <n v="22022001664"/>
    <s v="2022 11 1321 213"/>
    <n v="2185.4299999999998"/>
    <x v="505"/>
    <s v="MANTENIMINETO DE ASCENSOR DEPENDENCIAS DISTRITO 3º DE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2262"/>
    <s v="AD"/>
    <d v="2022-01-31T00:00:00"/>
    <n v="22022001723"/>
    <s v="2022 11 3111 22106"/>
    <n v="1500"/>
    <x v="420"/>
    <s v="SUMINISTRO PRODUCTOS DE FARMACIA PARA ANIMALES CMP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20003449"/>
    <s v="AD"/>
    <d v="2022-02-11T00:00:00"/>
    <n v="22022002126"/>
    <s v="2022 11 1321 212"/>
    <n v="2140.5"/>
    <x v="529"/>
    <s v="REPOSICIÓN DE BALDOSAS DE SUELO TÉCNICO EN EL CENTRO DE OPERACIONES DE LA POLICÍA MUNICIPAL."/>
    <s v="220"/>
    <s v="VALLADOLID"/>
    <s v="VALLADOLID"/>
    <x v="4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19000393"/>
    <s v="AD"/>
    <d v="2022-01-01T00:00:00"/>
    <n v="22022000509"/>
    <s v="2022 11 1361 22103"/>
    <n v="1500"/>
    <x v="401"/>
    <s v="SEGUNDA PRÓRROGA DEL CONTRATO DE SUMINISTRO DE GASOLINA 95 DEL 1 DE ENERO AL 31 DE DICIEMBRE DE 2022; SEISYPC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0002543"/>
    <s v="AD"/>
    <d v="2022-02-04T00:00:00"/>
    <n v="22022001854"/>
    <s v="2022 06 3321 22001"/>
    <n v="431.55"/>
    <x v="530"/>
    <s v="SUSCRIPCIÓN A LAS REVISTAS &quot;&quot;SPORT LIFE&quot;&quot; y &quot;&quot;MOTOCICLISMO&quot;&quot; PARA LAS BILB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3171"/>
    <s v="AD"/>
    <d v="2022-03-29T00:00:00"/>
    <n v="22022003087"/>
    <s v="2022 06 3261 22799"/>
    <n v="1428"/>
    <x v="451"/>
    <s v="VISITAS EDUCATIVAS A ESCOLARES DE LA EXPOSIÓN REBELIÓN EN LAS AULAS DEL 12 DE ENERO AL 20 DE ABRIL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799"/>
  </r>
  <r>
    <n v="220220010681"/>
    <s v="D"/>
    <d v="2022-03-22T00:00:00"/>
    <n v="22021003437"/>
    <s v="2022 08 1651 619"/>
    <n v="28322.36"/>
    <x v="531"/>
    <s v="Adjudicación obras remodelación del Alumbrado Público en varias zonas del Barrio Pajarillos, Lote 2. (exp. 19/2021)"/>
    <s v="300"/>
    <s v="MADRID"/>
    <s v="MADRID"/>
    <x v="1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2266"/>
    <s v="AD"/>
    <d v="2022-01-31T00:00:00"/>
    <n v="22022001756"/>
    <s v="2022 11 3111 213"/>
    <n v="2100"/>
    <x v="532"/>
    <s v="CONTRATO MANTENIMIENTO EQUIPOS CLIMATIZACION CASA BARCO EDIFICIO PRINCIPAL Y CMP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3528"/>
    <s v="AD"/>
    <d v="2022-02-14T00:00:00"/>
    <n v="22022002268"/>
    <s v="2022 11 3111 213"/>
    <n v="2100"/>
    <x v="533"/>
    <s v="CONTRATO MANTENIMIENTO EQUIPOS CLIMATIZACION CASA BARCO EDIFICIO PRINCIPAL Y CMPA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19001135"/>
    <s v="AD"/>
    <d v="2022-01-01T00:00:00"/>
    <n v="22022000298"/>
    <s v="2022 06 3232 213"/>
    <n v="7139.09"/>
    <x v="534"/>
    <s v="SE-EIJI 27/2021. MANTENIMIENTO INSTALACIONES DE PROTECCIÓN CONTRA INCENDIOS. EDIFICIOS MUNICIPALES. LOTE 5. COLEGIOS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137"/>
    <s v="AD"/>
    <d v="2022-01-01T00:00:00"/>
    <n v="22022000300"/>
    <s v="2022 02 9332 213"/>
    <n v="1384.65"/>
    <x v="534"/>
    <s v="SE-EIJI 27/2021. ADJ. EXPTE.MANT. INSTALACIONES DE PROTEC. CONTRA INCENDIOS.(LOTE 5) EDIFICIOS MUNICIPALES. CG 65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2529"/>
    <s v="AD"/>
    <d v="2022-02-03T00:00:00"/>
    <n v="22022001798"/>
    <s v="2022 03 9241 213"/>
    <n v="2011.78"/>
    <x v="455"/>
    <s v="SUMINISTRO KIT RESISTENCIAS REPARACIÓN CLIMATIZADOR TEATRO CC PARQUESOL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9001140"/>
    <s v="AD"/>
    <d v="2022-01-01T00:00:00"/>
    <n v="22022000303"/>
    <s v="2022 10 2311 213"/>
    <n v="260.64"/>
    <x v="534"/>
    <s v="Mant. inst. protección contra incendios INTERVENCIÓN SOC. AÑO 22;  LOTE 5.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183"/>
    <s v="AD"/>
    <d v="2022-01-01T00:00:00"/>
    <n v="22022000040"/>
    <s v="2022 10 2311 22799"/>
    <n v="1384.11"/>
    <x v="423"/>
    <s v="ADJUDICACIÓN MANTENIMIENTO JARDINES - COMEDOR SOCIAL 1.384,11 ¿/AÑO - DE ENERO 2022 A ABRIL 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301"/>
    <s v="AD"/>
    <d v="2022-03-21T00:00:00"/>
    <n v="22022002713"/>
    <s v="2022 11 1621 22706"/>
    <n v="1512.5"/>
    <x v="535"/>
    <s v="DIRECCIÓN DE OBRAS DE NAVE DE LAVADO PROYECTO 2019 4 RMTE 60.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6"/>
  </r>
  <r>
    <n v="220220001712"/>
    <s v="AD"/>
    <d v="2022-01-27T00:00:00"/>
    <n v="22022001654"/>
    <s v="2022 07 1711 22199"/>
    <n v="1500"/>
    <x v="536"/>
    <s v="ADQUISICION DE DIVERSO MATERIAL PARA JARDINES.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199"/>
  </r>
  <r>
    <n v="220220003521"/>
    <s v="AD"/>
    <d v="2022-02-14T00:00:00"/>
    <n v="22022001446"/>
    <s v="2022 10 2312 216"/>
    <n v="1332.95"/>
    <x v="461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9000392"/>
    <s v="AD"/>
    <d v="2022-01-01T00:00:00"/>
    <n v="22022000508"/>
    <s v="2022 11 3111 22103"/>
    <n v="1320"/>
    <x v="401"/>
    <s v="2ª PRÓRROGA CONTRATO SUMINISTRO GASOLINA 95º VEHÍCULOS SERVICIO SALUD AÑO 2022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20001596"/>
    <s v="AD"/>
    <d v="2022-01-26T00:00:00"/>
    <n v="22022001189"/>
    <s v="2022 06 3321 22001"/>
    <n v="300.02"/>
    <x v="537"/>
    <s v="SUSCRIPCIÓN PARA LA REVISTAINFALTIL CYLJ (Cuadernos de literatura infantil y juvenil) PLAZO AÑO 2022."/>
    <s v="220"/>
    <s v="MATARÓ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5926"/>
    <s v="AD"/>
    <d v="2022-02-24T00:00:00"/>
    <n v="22022002238"/>
    <s v="2022 01 9207 22001"/>
    <n v="442.24"/>
    <x v="538"/>
    <s v="RENOVACIÓN SUSCRIPCIÓN NÚMERO 6214 AL FICHERO DE CARGOS ESTIRADO. AÑO 2022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0320"/>
    <s v="ADO"/>
    <d v="2022-01-21T00:00:00"/>
    <n v="22022001319"/>
    <s v="2022 03 9241 223"/>
    <n v="1157.98"/>
    <x v="409"/>
    <s v="Escenario en Pza de Portugalete (25/11/21) // Escenario en CIC S. Lopez (17/12/21) // Escenario en C/ Cometa (19/12/21)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3"/>
  </r>
  <r>
    <n v="220220000068"/>
    <s v="AD"/>
    <d v="2022-01-19T00:00:00"/>
    <n v="22022000889"/>
    <s v="2022 11 1631 214"/>
    <n v="1500"/>
    <x v="539"/>
    <s v="REPUESTOS NEUMÁTICOS PARA REPARACIÓN DE VEHÍCULOS DEL SERVICIO DE LIMPIEZA VIARI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02260"/>
    <s v="AD"/>
    <d v="2022-01-31T00:00:00"/>
    <n v="22022001701"/>
    <s v="2022 10 2412 22110"/>
    <n v="1500"/>
    <x v="540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19000395"/>
    <s v="AD"/>
    <d v="2022-01-01T00:00:00"/>
    <n v="22022000511"/>
    <s v="2022 01 9203 22103"/>
    <n v="1500"/>
    <x v="401"/>
    <s v="PREVISION GASTO SUMINISTRO GASOLINA  1 DE ENERO A 31 DE DICIEMBRE 2022, 4.I.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103"/>
  </r>
  <r>
    <n v="220219000233"/>
    <s v="AD"/>
    <d v="2022-01-01T00:00:00"/>
    <n v="22022000423"/>
    <s v="2022 10 2312 216"/>
    <n v="1066.4000000000001"/>
    <x v="461"/>
    <s v="MANT.Y REPARACION DE EQUIPOS INFORMATICOS DE CPMS ARCA R,Z.ESTE,HTA.REY Y FRAY L.L. DE 1 ENE A 28 FEB 22-EXPTE.12/19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9001141"/>
    <s v="AD"/>
    <d v="2022-01-01T00:00:00"/>
    <n v="22022000304"/>
    <s v="2022 10 2312 213"/>
    <n v="1034.42"/>
    <x v="534"/>
    <s v="mant. inst.proteccion contra incendios INICIATIVAS SOC.AÑO 22 (L4:3781-L5 1.270)-AÑO 23Y24 L4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134"/>
    <s v="AD"/>
    <d v="2022-01-01T00:00:00"/>
    <n v="22022000297"/>
    <s v="2022 06 2314 213"/>
    <n v="101.82"/>
    <x v="534"/>
    <s v="SE-EIJI 27/2021. MANTENIMIENTO INSTALACIONES DE PROTECCIÓN CONTRA INCENDIOS. EDIFICIOS MUNICIPALES. LOTE 5.ESPACIO JOVEN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20003497"/>
    <s v="AD"/>
    <d v="2022-02-14T00:00:00"/>
    <n v="22022002146"/>
    <s v="2022 06 3261 22699"/>
    <n v="1028.5"/>
    <x v="541"/>
    <s v="MATERIAL PARA LA DIFUSION DE EVENTOS EDUCATIVOS. EJERCICI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19000075"/>
    <s v="AD"/>
    <d v="2022-01-01T00:00:00"/>
    <n v="22022000371"/>
    <s v="2022 10 2311 22706"/>
    <n v="1008.36"/>
    <x v="542"/>
    <s v="REAJUSTE CONTRATO DE ASESORAMIENTO DCHO DE FAMILIA Y LEY 2ª OPORTUNIDAD MAYO Y JUNI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6"/>
  </r>
  <r>
    <n v="220209000619"/>
    <s v="AD"/>
    <d v="2022-01-01T00:00:00"/>
    <n v="22022002099"/>
    <s v="2022 04 9204 641"/>
    <n v="69982.19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800"/>
    <s v="AD"/>
    <d v="2022-02-23T00:00:00"/>
    <n v="22022002391"/>
    <s v="2022 07 1721 213"/>
    <n v="1420.78"/>
    <x v="532"/>
    <s v="MANTENIMIENTO DEL AIRE ACONDICIONADO DEL LABORATORIO DE LA RCCVA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505"/>
    <s v="AD"/>
    <d v="2022-02-14T00:00:00"/>
    <n v="22022002261"/>
    <s v="2022 07 1701 22110"/>
    <n v="1411"/>
    <x v="543"/>
    <s v="PRODUCTOS DE LIMPIEZA Y ASEO PARA EDIFICIO CASA DEL BARCO Y ANEXO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110"/>
  </r>
  <r>
    <n v="220220002261"/>
    <s v="AD"/>
    <d v="2022-01-31T00:00:00"/>
    <n v="22022001707"/>
    <s v="2022 06 3321 22001"/>
    <n v="282"/>
    <x v="544"/>
    <s v="SUSCRIPCIÓN A LAS REVISTAS &quot;&quot;FOTOGRAMAS&quot;&quot; Y &quot;&quot;ELLE DECORACIÓN&quot;&quot;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2893"/>
    <s v="AD"/>
    <d v="2022-03-28T00:00:00"/>
    <n v="22022002959"/>
    <s v="2022 06 3321 22001"/>
    <n v="264.01"/>
    <x v="545"/>
    <s v="10 SUSCRIPCIONES  A LA REVISTA &quot;&quot;MI BIBLIOTECA&quot;&quot; PARA LAS LAS BIBLIOTECAS MUNICIPALES DURANTE EL AÑO 2022"/>
    <s v="220"/>
    <s v="MALAGA"/>
    <s v="MALAG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0071737"/>
    <s v="AD"/>
    <d v="2022-02-28T00:00:00"/>
    <n v="22021007549"/>
    <s v="2022 03 9241 635"/>
    <n v="992.2"/>
    <x v="546"/>
    <s v="FUTBOLÍN SIN MONEDERO PARA CIC SEGUNDO MONTES"/>
    <s v="220"/>
    <s v="HUMANES DE MADRID"/>
    <s v="MADR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5"/>
  </r>
  <r>
    <n v="220220001798"/>
    <s v="AD"/>
    <d v="2022-01-28T00:00:00"/>
    <n v="22022001686"/>
    <s v="2022 07 1711 22799"/>
    <n v="1400"/>
    <x v="428"/>
    <s v="MANTENIMIENTO SISTEMA SEGURIDAD NAVES DE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799"/>
  </r>
  <r>
    <n v="220220001725"/>
    <s v="ADO"/>
    <d v="2022-01-27T00:00:00"/>
    <n v="22022001617"/>
    <s v="2022 01 9207 22001"/>
    <n v="1377.21"/>
    <x v="413"/>
    <s v="SERVICIO CONJUNTO DE NOTICIAS Y FOTOGRAFÍAS DE LA AGENCIA PRESS /// MES DICIEMBRE DE 2021"/>
    <s v="24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184"/>
    <s v="AD"/>
    <d v="2022-01-01T00:00:00"/>
    <n v="22022000389"/>
    <s v="2022 09 3341 22700"/>
    <n v="1355.81"/>
    <x v="547"/>
    <s v="CONTRATO MENOR SERVICIO LIMPIEZA INSTALACIONES GALERIAS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0"/>
  </r>
  <r>
    <n v="220220010315"/>
    <s v="AD"/>
    <d v="2022-03-21T00:00:00"/>
    <n v="22022002889"/>
    <s v="2022 03 9241 22609"/>
    <n v="968"/>
    <x v="548"/>
    <s v="Espectáculo magia Freddy Varó  &quot;&quot;Pinceladas de magia&quot;&quot; en el CIC El Empecinado (26/03/22) y en CC Esgueva (02/04/22) MFS"/>
    <s v="220"/>
    <s v="MEDINA DEL CAMP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57"/>
    <s v="AD"/>
    <d v="2022-01-31T00:00:00"/>
    <n v="22022001693"/>
    <s v="2022 06 3321 22001"/>
    <n v="209.98"/>
    <x v="549"/>
    <s v="SUSCRIPCIÓN AÑO 2022 A LA REVISTA EMPRENDEDORES PARA LAS BIBLIOTECAS MUNICIPALES. PLAZO 1 AÑO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2255"/>
    <s v="AD"/>
    <d v="2022-01-31T00:00:00"/>
    <n v="22022001678"/>
    <s v="2022 06 3261 213"/>
    <n v="1132.56"/>
    <x v="428"/>
    <s v="MANTENIMIENTO STMAS DE SEGURIDAD EN LA ESCUELA MUNICIPAL DE MUSICA SITA EN EL COLEGIO MARIA DE MOLINA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1"/>
    <s v="213"/>
  </r>
  <r>
    <n v="220220003103"/>
    <s v="AD"/>
    <d v="2022-02-09T00:00:00"/>
    <n v="22022001877"/>
    <s v="2022 11 1361 214"/>
    <n v="1131.99"/>
    <x v="550"/>
    <s v="REPARACION DE AVERIA EN VEHÍCULO MERCEDES ATEGO, BFP-18, MATRICULA 0130-DWZ///SERVICIO DE EXTINCION DE INCENDIOS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2532"/>
    <s v="AD"/>
    <d v="2022-02-03T00:00:00"/>
    <n v="22022001801"/>
    <s v="2022 03 9241 213"/>
    <n v="1109.9100000000001"/>
    <x v="455"/>
    <s v="SUMINISTRO FILTROS CLIMATIZADORES KEYTER CIC SANTIAGO LÓPEZ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09000776"/>
    <s v="AD"/>
    <d v="2022-01-01T00:00:00"/>
    <n v="22022000281"/>
    <s v="2022 04 9204 216"/>
    <n v="53431.6"/>
    <x v="27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09000825"/>
    <s v="AD"/>
    <d v="2022-01-01T00:00:00"/>
    <n v="22022002100"/>
    <s v="2022 04 9204 641"/>
    <n v="49973.57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8624"/>
    <s v="AD"/>
    <d v="2022-03-11T00:00:00"/>
    <n v="22021000744"/>
    <s v="2022 04 9204 641"/>
    <n v="1.04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3515"/>
    <s v="AD"/>
    <d v="2022-02-14T00:00:00"/>
    <n v="22022001927"/>
    <s v="2022 04 9204 641"/>
    <n v="53131.1"/>
    <x v="551"/>
    <s v="SUMINISTRO, INSTALACIÓN, CONFICURACIÓN Y PUESTA EN MARCHA DE DOS BALANCEADORES DE CARGA, LOTE 4 (REAJUSTE) (58/2021)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935"/>
    <s v="AD"/>
    <d v="2022-02-24T00:00:00"/>
    <n v="22022002428"/>
    <s v="2022 11 1321 213"/>
    <n v="1000"/>
    <x v="428"/>
    <s v="REPARACIÓN DE LLAVES DE ALARMA Y REPOSICIÓN DE SISTEMAS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401"/>
    <s v="AD"/>
    <d v="2022-01-01T00:00:00"/>
    <n v="22022000540"/>
    <s v="2022 07 1721 22103"/>
    <n v="1000"/>
    <x v="401"/>
    <s v="PRÓRROGA DE GASOLINA CON CEPSA/RSS. SERVICIO DE MEDIO AMBIENTE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20003516"/>
    <s v="AD"/>
    <d v="2022-02-14T00:00:00"/>
    <n v="22022001928"/>
    <s v="2022 04 9204 626"/>
    <n v="37994"/>
    <x v="551"/>
    <s v="SUMINISTRO DE SERVIDORES Y LICENCIAS PARA LA PLATAFORMA DE VIRTUALIZACIÓN, LOTE 5 (REAJUSTE DE ANUALIDADES (58/2021)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2"/>
    <s v="626"/>
  </r>
  <r>
    <n v="220220002531"/>
    <s v="AD"/>
    <d v="2022-02-03T00:00:00"/>
    <n v="22022001800"/>
    <s v="2022 03 9241 213"/>
    <n v="992.2"/>
    <x v="455"/>
    <s v="SUMINISTRO BOMBA CIRCULACIÓN CIC EMPECINADO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9336"/>
    <s v="AD"/>
    <d v="2022-03-16T00:00:00"/>
    <n v="22022001669"/>
    <s v="2022 03 9241 22110"/>
    <n v="980.7"/>
    <x v="540"/>
    <s v="COVID-19//DETERGENTE DESINFECTANTE USOL-16 AL USO: 33 CAJAS DE 7 BOTELLAS CON PULVERIZADOR/CAJA. PARA  CENTROS CÍVICO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10"/>
  </r>
  <r>
    <n v="220219000335"/>
    <s v="AD"/>
    <d v="2022-01-01T00:00:00"/>
    <n v="22022001979"/>
    <s v="2022 04 9204 626"/>
    <n v="32670"/>
    <x v="551"/>
    <s v="SUMINISTRO, INSTALACIÓN, CONFIGURACIÓN Y PUESTA EN MARCHA DE ESTACIONES DE TRABAJO, LOTE 3 , ENERO 22 A JUNIO 23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0010325"/>
    <s v="AD"/>
    <d v="2022-03-21T00:00:00"/>
    <n v="22022002902"/>
    <s v="2022 03 9241 22609"/>
    <n v="440"/>
    <x v="552"/>
    <s v="Actuación en el CC José Luis Mosquera el día 08/05/2022. MFS"/>
    <s v="220"/>
    <s v="ALDEA DE SAN MIGUEL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2"/>
    <s v="AD"/>
    <d v="2022-03-21T00:00:00"/>
    <n v="22022002909"/>
    <s v="2022 03 9241 22609"/>
    <n v="598.95000000000005"/>
    <x v="553"/>
    <s v="Concierto didáctico en CC Campillo día 22/05/2022- MFS"/>
    <s v="220"/>
    <s v="BURGOS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5210"/>
    <s v="AD"/>
    <d v="2022-02-22T00:00:00"/>
    <n v="22022002247"/>
    <s v="2022 11 1621 213"/>
    <n v="972.84"/>
    <x v="554"/>
    <s v="MANTENIMIENTO COLUMNAS ELEVADORES VEHÍCULOS DEL TALLER DEL SERVICIO DE LIMPIEZA"/>
    <s v="220"/>
    <s v="COSLADA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6755"/>
    <s v="D"/>
    <d v="2022-03-02T00:00:00"/>
    <n v="22022001623"/>
    <s v="2022 11 1361 22199"/>
    <n v="1177.6300000000001"/>
    <x v="555"/>
    <s v="MTN HC2 Negro / BATERIA TUDOR / DEXRON II D 1 L. / Canon Gestion Aceite / DISOLVENTE / SEPIOLITA 20 KG /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743"/>
    <s v="D"/>
    <d v="2022-03-02T00:00:00"/>
    <n v="22022001623"/>
    <s v="2022 11 1361 22199"/>
    <n v="1152.71"/>
    <x v="555"/>
    <s v="AMORTIGUADOR CILINDRICO/ TAPON MACHO/ JUNTA METAL GOMA/ TUERCA HEXAGONAL/ BOOSTER/ UNIÓN/ RACOR/ JGO MACHO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5558"/>
    <s v="D"/>
    <d v="2022-02-22T00:00:00"/>
    <n v="22022001454"/>
    <s v="2022 11 1321 214"/>
    <n v="869.95"/>
    <x v="555"/>
    <s v="ACUERDO MARCO. SUMINISTRO DE MATERIAL PARA TALLER DE REPARACIONES DE VEHÍCULOS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77"/>
    <s v="D"/>
    <d v="2022-03-16T00:00:00"/>
    <n v="22022001454"/>
    <s v="2022 11 1321 214"/>
    <n v="673.5"/>
    <x v="555"/>
    <s v="ACUERDO MARCO. SUMINISTRO DE PIEZAS PARA TALLER DE REPARACIONES DE 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64"/>
    <s v="D"/>
    <d v="2022-03-16T00:00:00"/>
    <n v="22022000029"/>
    <s v="2022 11 1621 22110"/>
    <n v="301.29000000000002"/>
    <x v="555"/>
    <s v="SEPIOLITA 20KG. 15-30 (30 UDS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20012685"/>
    <s v="D"/>
    <d v="2022-03-24T00:00:00"/>
    <n v="22022001595"/>
    <s v="2022 07 1711 214"/>
    <n v="151.19"/>
    <x v="555"/>
    <s v="ACUERDO MARCO 2017/36, REPUESTOS PARA VEHÍ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813"/>
    <s v="D"/>
    <d v="2022-02-16T00:00:00"/>
    <n v="22022001595"/>
    <s v="2022 07 1711 214"/>
    <n v="146.93"/>
    <x v="555"/>
    <s v="ACUERDO MARCO 2017/36, REPUESTOS PARA VEHI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27"/>
    <s v="D"/>
    <d v="2022-02-18T00:00:00"/>
    <n v="22022001454"/>
    <s v="2022 11 1321 214"/>
    <n v="97.5"/>
    <x v="555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1747"/>
    <s v="D"/>
    <d v="2022-01-27T00:00:00"/>
    <n v="22022001595"/>
    <s v="2022 07 1711 214"/>
    <n v="34.17"/>
    <x v="555"/>
    <s v="ACUERDO MARCO 2017/36, REPUESTOS PARA VEHI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3203"/>
    <s v="D"/>
    <d v="2022-03-30T00:00:00"/>
    <n v="22022001623"/>
    <s v="2022 11 1361 22199"/>
    <n v="26.49"/>
    <x v="555"/>
    <s v="AMORTIGUADOR CILINDRICO/ LOCTITE/ ARANDELA PLANA/ TUERCA BLOCANTE/ RECTO TUBO-TUBO/ TERMINAL HEMBRA CON RETÉN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2553"/>
    <s v="D"/>
    <d v="2022-03-24T00:00:00"/>
    <n v="22022000026"/>
    <s v="2022 11 1621 214"/>
    <n v="302.69"/>
    <x v="556"/>
    <s v="LIMPIEZA FILTRO PARTICULAS 8776KMN //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0050903"/>
    <s v="AD"/>
    <d v="2022-02-28T00:00:00"/>
    <n v="22021006388"/>
    <s v="2022 02 1511 641"/>
    <n v="943.8"/>
    <x v="557"/>
    <s v="ACTUALIZACIÓN, SOPORTE DE VERSIONES DE LAS HERRAMIENTAS, REVISIÓN DE LOGS Y MANIMIENTO DE LA INFRAES.AWS."/>
    <s v="220"/>
    <s v="HUESCA"/>
    <s v="HUESCA"/>
    <x v="0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4"/>
    <s v="641"/>
  </r>
  <r>
    <n v="220220005815"/>
    <s v="AD"/>
    <d v="2022-02-23T00:00:00"/>
    <n v="22022002441"/>
    <s v="2022 03 9241 213"/>
    <n v="931.22"/>
    <x v="455"/>
    <s v="BOMBA DE CIRCULACIÓN CIRCUITO CALEFACCIÓN CC RONDILLA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7069"/>
    <s v="D"/>
    <d v="2022-03-03T00:00:00"/>
    <n v="22022001552"/>
    <s v="2022 08 1532 210"/>
    <n v="661.62"/>
    <x v="558"/>
    <s v="FILTRO ORIGINAL / ADAPTADOR / LIMPIADOR / ACEITE HIDRAULICO / TASA ACEITE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13187"/>
    <s v="AD"/>
    <d v="2022-03-30T00:00:00"/>
    <n v="22022003055"/>
    <s v="2022 11 3111 22706"/>
    <n v="815.65"/>
    <x v="516"/>
    <s v="CUSTODIA Y CUIDADO DE 7 GALLOS POR ORDEN JUDICIAL DEL 1-1 AL 17-3-2022"/>
    <s v="220"/>
    <s v="ASTORGA"/>
    <s v="LEON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706"/>
  </r>
  <r>
    <n v="220220013426"/>
    <s v="AD"/>
    <d v="2022-03-31T00:00:00"/>
    <n v="22022003057"/>
    <s v="2022 10 2312 212"/>
    <n v="930.49"/>
    <x v="559"/>
    <s v="VENTANA OSCILO BATIENTE DOS HOJAS PARA  LA SALA DE CONFERENCIAS DEL  CPM PUENTE COLGANTE"/>
    <s v="220"/>
    <s v="PALENCIA"/>
    <s v="PALENCIA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1099"/>
    <s v="AD"/>
    <d v="2022-01-01T00:00:00"/>
    <n v="22022000493"/>
    <s v="2022 04 9204 22200"/>
    <n v="16843.2"/>
    <x v="560"/>
    <s v="SERVICIOS DE RESPALDO, LOTE 2"/>
    <s v="220"/>
    <s v="POZUELO DE ALARCON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20003443"/>
    <s v="AD"/>
    <d v="2022-02-11T00:00:00"/>
    <n v="22022002065"/>
    <s v="2022 03 9241 22799"/>
    <n v="800"/>
    <x v="490"/>
    <s v="CONSULTORÍA TÉCNICA Y ELABORACIÓN DEL PROYECTO DE EVALUACIÓN DE INSTALACIONES TÉCNICAS DEL TEATRO CANTERAC"/>
    <s v="220"/>
    <s v="RENEDO DE ESGUEV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99"/>
  </r>
  <r>
    <n v="220209000746"/>
    <s v="AD"/>
    <d v="2022-01-01T00:00:00"/>
    <n v="22022000267"/>
    <s v="2022 06 3232 213"/>
    <n v="5964.36"/>
    <x v="505"/>
    <s v="CTTO MANTENIMIENTO ASCENSORES COLEGIOS MUNICIPALES 2021 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5937"/>
    <s v="AD"/>
    <d v="2022-02-24T00:00:00"/>
    <n v="22022002439"/>
    <s v="2022 07 1721 22112"/>
    <n v="901.45"/>
    <x v="509"/>
    <s v="SUMINISTRO DE SENSORES DE HUMEDAD Y TEMPERATURA. SERVICIO MEDIO AMBIENTE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0065"/>
    <s v="AD"/>
    <d v="2022-01-19T00:00:00"/>
    <n v="22022000718"/>
    <s v="2022 03 9241 22609"/>
    <n v="800"/>
    <x v="474"/>
    <s v="ACTUACIONES en CC El Campillo y en CC Bailarín Vicente Escudero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26"/>
    <s v="ADO"/>
    <d v="2022-01-21T00:00:00"/>
    <n v="22022001434"/>
    <s v="2022 06 3232 213"/>
    <n v="497.06"/>
    <x v="505"/>
    <s v="Contrato/PR: ORONA SB + TELEFONIA /  COLEGIOS MUNICIPALES LOTE 2 /// MES DICIEMBRE D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50"/>
    <s v="AD"/>
    <d v="2022-01-01T00:00:00"/>
    <n v="22022000271"/>
    <s v="2022 06 3231 213"/>
    <n v="497.03"/>
    <x v="505"/>
    <s v="CTTO MANTENIMIENTO ASCENSORES EIM LA COMETA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09000753"/>
    <s v="AD"/>
    <d v="2022-01-01T00:00:00"/>
    <n v="22022000274"/>
    <s v="2022 06 2314 213"/>
    <n v="497.03"/>
    <x v="505"/>
    <s v="CTTO MANTENIMIENTO ASCENSORES ESPACIO JOVEN SUR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8265"/>
    <s v="AD"/>
    <d v="2022-03-09T00:00:00"/>
    <n v="22022001543"/>
    <s v="2022 07 1721 213"/>
    <n v="900"/>
    <x v="428"/>
    <s v="MANTENIMIENTO DEL SISTEMA DE SEGURIDAD DEL CENTRO MUNICIPAL DE ACUSTICA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0114"/>
    <s v="AD"/>
    <d v="2022-01-20T00:00:00"/>
    <n v="22022001448"/>
    <s v="2022 08 1532 213"/>
    <n v="882.82"/>
    <x v="428"/>
    <s v="Mantenimiento sistema de seguridad, vigilancia y alarma instalado en el Parque de Vías Públicas del SEPI (C/ Títulos,51)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20009343"/>
    <s v="AD"/>
    <d v="2022-03-16T00:00:00"/>
    <n v="22022002648"/>
    <s v="2022 06 2315 22611"/>
    <n v="871.2"/>
    <x v="409"/>
    <s v="TRANSPORTE, MONTAJE Y DESMONTAJE DE ESCENARIO DE MADERA PROPIEDAD DEL AYUNTAMIENTO 8X6 M DIA INTERNACIONAL MUJER 8M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250"/>
    <s v="AD"/>
    <d v="2022-01-01T00:00:00"/>
    <n v="22022002188"/>
    <s v="2022 10 2312 622"/>
    <n v="739.59"/>
    <x v="366"/>
    <s v="coord.seg.y salud de obra proy.modificado CPM Parquesol debido a cimentación del terreno-2022"/>
    <s v="220"/>
    <s v="MADRID"/>
    <s v="MADRID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0120"/>
    <s v="AD"/>
    <d v="2022-01-21T00:00:00"/>
    <n v="22022001206"/>
    <s v="2022 11 1631 212"/>
    <n v="863.94"/>
    <x v="459"/>
    <s v="REPARACIÓN ARMARIO Y PUERTA PARA BARRERA DE ACCESO AL CENTRO DE LAVADO DE VEHÍCULOS DEL SERVCIO DE LIMPIEZA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2"/>
  </r>
  <r>
    <n v="220220007102"/>
    <s v="AD"/>
    <d v="2022-03-03T00:00:00"/>
    <n v="22022002424"/>
    <s v="2022 10 2412 22199"/>
    <n v="202.07"/>
    <x v="561"/>
    <s v="VINILO PARA EL CURSO DE PINTURA  DECORATIVA IV DEL CENTRO DE FORMACION PARA EL EMPLEO-DURA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12896"/>
    <s v="AD"/>
    <d v="2022-03-28T00:00:00"/>
    <n v="22022002978"/>
    <s v="2022 10 2412 22199"/>
    <n v="114.95"/>
    <x v="561"/>
    <s v="VINILO CORTADO EN VARIAS PIEZAS PARA EL CURSO DE PINTURA DECORATIVA IV DELC. DE FORMACION PARA EL EMPLEO- DURACION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2306"/>
    <s v="AD"/>
    <d v="2022-02-02T00:00:00"/>
    <n v="22022001789"/>
    <s v="2022 10 2412 22199"/>
    <n v="111.32"/>
    <x v="561"/>
    <s v="VINILO BLANCO OPACO DE 167X145,7cm  PARA EL CURSO DE PINTURA DECORATIVA IV DEL C. DE F. PARA EL EMPLEO- DURACION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5779"/>
    <s v="AD"/>
    <d v="2022-02-23T00:00:00"/>
    <n v="22022002343"/>
    <s v="2022 06 3232 632"/>
    <n v="863.94"/>
    <x v="559"/>
    <s v="REPOSICIÓN 1 VENTANA EN EL CEIP ALLUE MORER. PLAZO EJECUCIÓN: 1 MES"/>
    <s v="220"/>
    <s v="PALENCIA"/>
    <s v="PALENCIA"/>
    <x v="0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19000883"/>
    <s v="AD"/>
    <d v="2022-01-01T00:00:00"/>
    <n v="22022000101"/>
    <s v="2022 11 1361 22104"/>
    <n v="30976"/>
    <x v="562"/>
    <s v="SPSC 013_2021;Contratación del Suministro de Prendas de Vestuario; LOTE 3: TRAJE DE AGUA; SEISYPC.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0950"/>
    <s v="AD"/>
    <d v="2022-01-01T00:00:00"/>
    <n v="22022002012"/>
    <s v="2022 11 1361 623"/>
    <n v="30000.14"/>
    <x v="562"/>
    <s v="EXPTE.: SPSC 014_2021; Contrato Suministro EPIs; LOTE 2: EPIs interv resc técnico, altura e incendios forestal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10057024"/>
    <s v="AD"/>
    <d v="2022-02-28T00:00:00"/>
    <n v="22021006505"/>
    <s v="2022 02 9332 632"/>
    <n v="847"/>
    <x v="563"/>
    <s v="DOCUMENTACION TECNICA Y DIRECCION FACULTATIVA EJECUCION DE INSTALAC ELECTR -PLAZA DE LA SOLIDARIDAD"/>
    <s v="220"/>
    <s v="VALLADOLID"/>
    <s v="VALLADOLID"/>
    <x v="1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19001130"/>
    <s v="AD"/>
    <d v="2022-01-01T00:00:00"/>
    <n v="22022000293"/>
    <s v="2022 07 1711 22799"/>
    <n v="688.35"/>
    <x v="473"/>
    <s v="CONTRATO EXTINTORES SERVICIO PARQUES Y JARDINES -CASETAS-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10072248"/>
    <s v="AD"/>
    <d v="2022-03-11T00:00:00"/>
    <n v="22021003513"/>
    <s v="2022 11 1361 623"/>
    <n v="30000.13"/>
    <x v="562"/>
    <s v="EXPTE:SPSC_ 014_2021;Contrato Suministro EPIs;LOTE 2:EPI Rescate Técnico, Altura Incendios Forestales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20007075"/>
    <s v="D"/>
    <d v="2022-03-03T00:00:00"/>
    <n v="22022000030"/>
    <s v="2022 11 1621 22199"/>
    <n v="1423.04"/>
    <x v="564"/>
    <s v="SUMINISTRO DE REPUESTOS / AM EXP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67"/>
    <s v="D"/>
    <d v="2022-03-11T00:00:00"/>
    <n v="22022000030"/>
    <s v="2022 11 1621 22199"/>
    <n v="979.12"/>
    <x v="564"/>
    <s v="AC MARCO EXP V36-2017. SUMINISTROS VARIOS /// DESTINO: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4239"/>
    <s v="D"/>
    <d v="2022-02-18T00:00:00"/>
    <n v="22022000045"/>
    <s v="2022 11 1631 22199"/>
    <n v="647.71"/>
    <x v="564"/>
    <s v="AC MARCO EXP V36/2017: HERRAMIENTA DE BARRIDO (CEPILLOS, MANGOS Y GARRAS) PARA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067"/>
    <s v="D"/>
    <d v="2022-02-18T00:00:00"/>
    <n v="22022000030"/>
    <s v="2022 11 1621 22199"/>
    <n v="549.88"/>
    <x v="564"/>
    <s v="AC MARCO EXP. V36-2017: SUMINISTROS DE DIFERENTES REPUESTOS //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57"/>
    <s v="D"/>
    <d v="2022-03-11T00:00:00"/>
    <n v="22022000045"/>
    <s v="2022 11 1631 22199"/>
    <n v="369.27"/>
    <x v="564"/>
    <s v="AC MARCO EXP V36-2017: ESCOBIJOS Y PALAS PARA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196"/>
    <s v="D"/>
    <d v="2022-02-18T00:00:00"/>
    <n v="22022000030"/>
    <s v="2022 11 1621 22199"/>
    <n v="92.18"/>
    <x v="564"/>
    <s v="AC MARCO EXP V36/2017: RODAMIENTO BOLAS / ARANDELA PLANA / LIMPIADOR DE CONTACTOS DOBLE ACCION / LLAVE CARRA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453"/>
    <s v="D"/>
    <d v="2022-03-16T00:00:00"/>
    <n v="22022001593"/>
    <s v="2022 07 1711 22199"/>
    <n v="40.869999999999997"/>
    <x v="564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5603"/>
    <s v="D"/>
    <d v="2022-02-22T00:00:00"/>
    <n v="22022001593"/>
    <s v="2022 07 1711 22199"/>
    <n v="39.69"/>
    <x v="564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19000881"/>
    <s v="AD"/>
    <d v="2022-01-01T00:00:00"/>
    <n v="22022000099"/>
    <s v="2022 11 1361 22104"/>
    <n v="24805"/>
    <x v="562"/>
    <s v="SPSC 013_2021;Contratación del Suministro de Prendas de Vestuario; LOTE 1:ROPA DE PARQUE; SEISYPC.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1260"/>
    <s v="AD"/>
    <d v="2022-01-01T00:00:00"/>
    <n v="22022001809"/>
    <s v="2022 03 9241 22609"/>
    <n v="5000"/>
    <x v="565"/>
    <s v="CREANDO BARRIO&quot;&quot; LABORATORIO DE TEATRO COMUNITARIO. ENERO A JUN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58"/>
    <s v="AD"/>
    <d v="2022-01-31T00:00:00"/>
    <n v="22022001694"/>
    <s v="2022 06 3321 22001"/>
    <n v="96.01"/>
    <x v="566"/>
    <s v="SUSCRIPCIÓN AÑO 2022 A LA REVISTA ECOLOGISTAS EN ACCIÓN PARA LAS BIBLIOTECAS MUNICIPALES. PLAZO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115"/>
    <s v="ADO"/>
    <d v="2022-02-09T00:00:00"/>
    <n v="22022001811"/>
    <s v="2022 10 2412 22799"/>
    <n v="631.9"/>
    <x v="391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3115"/>
    <s v="ADO"/>
    <d v="2022-02-09T00:00:00"/>
    <n v="22022001812"/>
    <s v="2022 10 2412 22799"/>
    <n v="631.9"/>
    <x v="391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5929"/>
    <s v="AD"/>
    <d v="2022-02-24T00:00:00"/>
    <n v="22022002366"/>
    <s v="2022 06 3321 22199"/>
    <n v="2000"/>
    <x v="567"/>
    <s v="ALARMAS Y CINTA PARA TEJUELAR LIBROS DE LAS BIBLIOTECAS MUNICIPALES. PLAZO DE EJECUCIÓN, AÑO 2022."/>
    <s v="220"/>
    <s v="VALMOJADO 105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199"/>
  </r>
  <r>
    <n v="220210078794"/>
    <s v="AD"/>
    <d v="2022-02-28T00:00:00"/>
    <n v="22021007316"/>
    <s v="2022 03 9241 632"/>
    <n v="838.84"/>
    <x v="496"/>
    <s v="DIRECCIÓN DE OBRA: ARREGLO TEJADO Y FACHADA C.C. CASA CUNA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8275"/>
    <s v="AD"/>
    <d v="2022-03-10T00:00:00"/>
    <n v="22022002684"/>
    <s v="2022 11 1361 214"/>
    <n v="833.42"/>
    <x v="550"/>
    <s v="Reparació de avería en vehículo Mercedes Atego, BFP_18, matrícula 013 DWZ; SEISYPC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7103"/>
    <s v="AD"/>
    <d v="2022-03-03T00:00:00"/>
    <n v="22022002502"/>
    <s v="2022 10 2312 22700"/>
    <n v="822.8"/>
    <x v="568"/>
    <s v="LIMPIEZA CUBIERTA DEL CPM ZONA ESTE- DURACION 1 SEMAN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0"/>
  </r>
  <r>
    <n v="220220010323"/>
    <s v="AD"/>
    <d v="2022-03-21T00:00:00"/>
    <n v="22022002898"/>
    <s v="2022 03 9241 22609"/>
    <n v="440"/>
    <x v="569"/>
    <s v="Música en familia. Actuación en CC Casa Cuna día 14/05/2022- MFS"/>
    <s v="220"/>
    <s v="VALDESTILL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04"/>
    <s v="AD"/>
    <d v="2022-03-21T00:00:00"/>
    <n v="22022002723"/>
    <s v="2022 01 9207 22602"/>
    <n v="363"/>
    <x v="570"/>
    <s v="ADJUDICA DIFUSIÓN DIGITAL BANDO ALCALDÍA SOBRE INVASIÓN UCRANIA (funcionamiento ayuda solidaria al pueblo) EL ESPAÑOL"/>
    <s v="220"/>
    <s v="BOECILLO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6382"/>
    <s v="AD"/>
    <d v="2022-02-25T00:00:00"/>
    <n v="22022002500"/>
    <s v="2022 07 1701 213"/>
    <n v="813.12"/>
    <x v="533"/>
    <s v="MANTENIMIENTO EQUIPOS CLIMATIZACIÓN EN EDIFICIO ANEXO A CASA DEL BARCO DURANTE EL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20000074"/>
    <s v="AD"/>
    <d v="2022-01-19T00:00:00"/>
    <n v="22022000897"/>
    <s v="2022 11 1621 212"/>
    <n v="800"/>
    <x v="571"/>
    <s v="REPARACIÓN PUERTAS PRE-ELEVA ACCESO ACCESO DE PATIO A TALLERES Y NAVE PARKING VEHIULCOS DEL Sº DE LIMPIEZA"/>
    <s v="220"/>
    <s v="LAGUNA DE DUERO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20002308"/>
    <s v="AD"/>
    <d v="2022-02-02T00:00:00"/>
    <n v="22022001792"/>
    <s v="2022 10 2412 22199"/>
    <n v="754.62"/>
    <x v="536"/>
    <s v="SUMINISTRO DE MATERIAL DE JARDINERA PARA EL CURSO DE PARQUES Y JARDINES III DEL C. DE F. PARA EL EMPLEO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09000857"/>
    <s v="AD"/>
    <d v="2022-01-01T00:00:00"/>
    <n v="22022000318"/>
    <s v="2022 04 3121 22706"/>
    <n v="743.59"/>
    <x v="445"/>
    <s v="2ª prórroga contrato exámenes ginecológicos para Departamento de Prevención y Salud Laboral Febrero 2021 a febr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19000523"/>
    <s v="AD"/>
    <d v="2022-01-01T00:00:00"/>
    <n v="22022000073"/>
    <s v="2022 04 9204 22002"/>
    <n v="49603.53"/>
    <x v="572"/>
    <s v="SUMINISTRO DE FUNGIBLES DE IMPRESIÓN ORIGINALES, LOTE 1"/>
    <s v="220"/>
    <s v="BASAURI"/>
    <s v="BIZKAI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01714"/>
    <s v="AD"/>
    <d v="2022-01-27T00:00:00"/>
    <n v="22022001662"/>
    <s v="2022 10 2316 22699"/>
    <n v="738.1"/>
    <x v="494"/>
    <s v="Grabación, edición y postproducción campaña de sensibilización de derechos de las personas trabajadora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20003129"/>
    <s v="ADO"/>
    <d v="2022-02-09T00:00:00"/>
    <n v="22022001848"/>
    <s v="2022 10 2311 22799"/>
    <n v="720"/>
    <x v="21"/>
    <s v="F-611. SERVICIO CENTRO DE DÍA - FUNDACIÓN INTRÁS. Nº PROGRAMAS: 15. NOVIEMBRE Y DICIEMBRE 2022"/>
    <s v="24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9366"/>
    <s v="AD"/>
    <d v="2022-03-16T00:00:00"/>
    <n v="22022002844"/>
    <s v="2022 11 1621 22110"/>
    <n v="716.56"/>
    <x v="573"/>
    <s v="SUMINISTRO JABÓN PARA MÁQUINAS DE LAVAR QUE HAY EN LA NAVE DE LAVADO DE VEHÍCULOS DEL Sº DE LIMPIEZA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10"/>
  </r>
  <r>
    <n v="220219000320"/>
    <s v="AD"/>
    <d v="2022-01-01T00:00:00"/>
    <n v="22022002153"/>
    <s v="2022 06 3321 622"/>
    <n v="564.96"/>
    <x v="366"/>
    <s v="COORD.SEG. Y SALUD DE OBRA PROY.MODIFICADO BIBLIOTECA PARQUESOL DEBIDO A CIMENTACIÓN DEL TERRENO-2022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0397"/>
    <s v="AD"/>
    <d v="2022-01-01T00:00:00"/>
    <n v="22022000513"/>
    <s v="2022 10 2412 22103"/>
    <n v="550"/>
    <x v="401"/>
    <s v="PREVISION CONSUMO DE GASOLINA MAQUINAS DEL CENTRO DE FORMACION PARA EL EMPLO DEL 1 DE ENERO AL 31 DE DICIEMBRE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3132"/>
    <s v="ADO"/>
    <d v="2022-02-09T00:00:00"/>
    <n v="22022001856"/>
    <s v="2022 04 9202 22607"/>
    <n v="709.5"/>
    <x v="574"/>
    <s v="USO PISTA  ATLET. (C.D.CIUDAD VA.) 24-01-22 / USO PISCINA-GIMNASIO (H.DEL REY) 25-01-22 / PRUEBAS FISICAS 19 BOMBEROS."/>
    <s v="24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2191"/>
    <s v="AD"/>
    <d v="2022-01-31T00:00:00"/>
    <n v="22022001645"/>
    <s v="2022 11 1361 22199"/>
    <n v="700"/>
    <x v="575"/>
    <s v="Reparaciones de diversos materiales; Servicio de Extinción de Incendios, Salvamento y Protección Civi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735"/>
    <s v="AD"/>
    <d v="2022-03-01T00:00:00"/>
    <n v="22022002512"/>
    <s v="2022 07 1721 213"/>
    <n v="689.7"/>
    <x v="493"/>
    <s v="REVISIÓN TOMA TIERRA E INSTALACIÓN ELÉCTRICA ESTACIONES DE MEDICIÓN CONTAMINACIÓN DE LA RCCVA. SERVICIO MEDIO AMBIENTE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0098"/>
    <s v="AD"/>
    <d v="2022-01-20T00:00:00"/>
    <n v="22022000005"/>
    <s v="2022 10 2412 22199"/>
    <n v="10000"/>
    <x v="365"/>
    <s v="CONTRATO SUMINISTRO DE MATERIAL DE PINTURA DEL  PROG. MIXTO PINTURA DECORATIVA IV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0132"/>
    <s v="AD"/>
    <d v="2022-01-21T00:00:00"/>
    <n v="22022001458"/>
    <s v="2022 02 9332 212"/>
    <n v="1000"/>
    <x v="365"/>
    <s v="SUMINISTRO DE MATERIALES VARIOS PARA TRABAJOS DE PINTURA  EDIFICIOS MUNICIPALES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3568"/>
    <s v="D"/>
    <d v="2022-02-15T00:00:00"/>
    <n v="22022001641"/>
    <s v="2022 06 3232 212"/>
    <n v="45.5"/>
    <x v="576"/>
    <s v="ARQUETA/ TUBO/ ENLACE/ CASQUILLO/ TUERCA REDUCTORA/ ADAPTADOR GRIFO/ ENLACE MANGUERO/ ML MANGUER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309"/>
    <s v="D"/>
    <d v="2022-03-30T00:00:00"/>
    <n v="22022001643"/>
    <s v="2022 06 3321 212"/>
    <n v="68.5"/>
    <x v="365"/>
    <s v="TKROM BASE PLASTICO MATE/ PAPEL CON CINTA/ FITOPLAS // BIBLIOTECA DEL CC ZONA ESTE"/>
    <s v="30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1"/>
    <s v="212"/>
  </r>
  <r>
    <n v="220220003107"/>
    <s v="AD"/>
    <d v="2022-02-09T00:00:00"/>
    <n v="22022001967"/>
    <s v="2022 11 1361 214"/>
    <n v="663.56"/>
    <x v="577"/>
    <s v="Asistencia técnica:cambio aceites,líquido frenos y otros comp en TOYOTA 2958-JVV y 2931-JVV (VMC13  y VCM14);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3481"/>
    <s v="AD"/>
    <d v="2022-02-14T00:00:00"/>
    <n v="22022002179"/>
    <s v="2022 11 1321 22706"/>
    <n v="600.89"/>
    <x v="449"/>
    <s v="DIRECCIÓN FACULTATIVA OBRAS ENVOLVENTE Y CUBIERTA EDIFICIO DE JEFATURA (1ª FASE)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13421"/>
    <s v="AD"/>
    <d v="2022-03-31T00:00:00"/>
    <n v="22022003044"/>
    <s v="2022 06 3321 22199"/>
    <n v="90"/>
    <x v="578"/>
    <s v="IMPRESIÓNDE FOLLETOS PARA EL DÍA DE LA POESÍA EN PAPEL DE SEMILLAS. PLAZO UN MES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199"/>
  </r>
  <r>
    <n v="220219000974"/>
    <s v="AD"/>
    <d v="2022-01-01T00:00:00"/>
    <n v="22022000621"/>
    <s v="2022 06 3232 213"/>
    <n v="523.44000000000005"/>
    <x v="505"/>
    <s v="MODIF CTTO MANTENIMIENTO/CONSERVACIÓN ASCENSORES COLEGIOS/OTROS EDIFICIOS PUBLICOS. NUEVO: NARCISO ALONSO CORTES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9851"/>
    <s v="D"/>
    <d v="2022-03-17T00:00:00"/>
    <n v="22022002241"/>
    <s v="2022 08 1532 619"/>
    <n v="111470.46"/>
    <x v="579"/>
    <s v="Obras de reparación de estructuras, mobiliario y edificio en plaza de la Solidaridad (expediente 51/2021)"/>
    <s v="300"/>
    <s v="ALCALÁ DE HENARES"/>
    <s v="MADR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9851"/>
    <s v="D"/>
    <d v="2022-03-17T00:00:00"/>
    <n v="22022002562"/>
    <s v="2022 08 1532 619"/>
    <n v="49719.69"/>
    <x v="579"/>
    <s v="Obras de reparación de estructuras, mobiliario y edificio en plaza de la Solidaridad (expediente 51/2021)"/>
    <s v="300"/>
    <s v="ALCALÁ DE HENARES"/>
    <s v="MADR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5199"/>
    <s v="AD"/>
    <d v="2022-02-22T00:00:00"/>
    <n v="22022002125"/>
    <s v="2022 07 1721 214"/>
    <n v="600"/>
    <x v="577"/>
    <s v="TRES REVISIONES DE LOS COCHES DEL SERVICIO DE MEDIO AMBIENTE EN LA CASA OFICIAL TOYOTA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4"/>
  </r>
  <r>
    <n v="220220003101"/>
    <s v="AD"/>
    <d v="2022-02-09T00:00:00"/>
    <n v="22022001840"/>
    <s v="2022 11 1361 22199"/>
    <n v="600"/>
    <x v="580"/>
    <s v="Acopio anual para suministro de aditivo Ad_blue para vehículos diesel; SEISYPC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3115"/>
    <s v="ADO"/>
    <d v="2022-02-09T00:00:00"/>
    <n v="22022001813"/>
    <s v="2022 10 2412 22799"/>
    <n v="505.51"/>
    <x v="391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9335"/>
    <s v="AD"/>
    <d v="2022-03-16T00:00:00"/>
    <n v="22022001635"/>
    <s v="2022 07 1711 214"/>
    <n v="1605.67"/>
    <x v="581"/>
    <s v="INSTALACION DE ACCESORIOS EN VEHICULO ELECTRICO."/>
    <s v="220"/>
    <s v="GRANOLLERS"/>
    <s v="BARCELONA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4"/>
  </r>
  <r>
    <n v="220219001195"/>
    <s v="AD"/>
    <d v="2022-01-01T00:00:00"/>
    <n v="22022000537"/>
    <s v="2022 09 3301 22706"/>
    <n v="6100.42"/>
    <x v="309"/>
    <s v="CONTRATO MANTENIMIENTO DEL SERVICIO DE ANÁLISIS Y CONTROL DEL OBSERVATORIO CULTURAL Y TURÍSTICO AYTO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06"/>
  </r>
  <r>
    <n v="220219001129"/>
    <s v="AD"/>
    <d v="2022-01-01T00:00:00"/>
    <n v="22022000292"/>
    <s v="2022 10 2412 213"/>
    <n v="497.86"/>
    <x v="473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10320"/>
    <s v="AD"/>
    <d v="2022-03-21T00:00:00"/>
    <n v="22022002895"/>
    <s v="2022 03 9241 22609"/>
    <n v="544.5"/>
    <x v="582"/>
    <s v="Charo Jaular. Cuenta cuentos en CC Zona Este el día 07/05/2022. MFS"/>
    <s v="220"/>
    <s v="ZAMORA"/>
    <s v="ZAMORA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65"/>
    <s v="AD"/>
    <d v="2022-01-24T00:00:00"/>
    <n v="22022001523"/>
    <s v="2022 03 9241 22609"/>
    <n v="544.5"/>
    <x v="583"/>
    <s v="TEATRO DEL GATTO: ACTUACIÓN TÍTERES EN CIC SEGUNDO MONTES EL DIA 3 DE ENERO 2022. MFS NAVIDAD"/>
    <s v="220"/>
    <s v="MANZAN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6"/>
    <s v="AD"/>
    <d v="2022-03-21T00:00:00"/>
    <n v="22022002913"/>
    <s v="2022 03 9241 22609"/>
    <n v="544.5"/>
    <x v="583"/>
    <s v="Teatro del Gatto: espectáculo de títeres en CIC Santiago López el día 21/05/2022. MFS"/>
    <s v="220"/>
    <s v="MANZAN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9352"/>
    <s v="AD"/>
    <d v="2022-03-16T00:00:00"/>
    <n v="22022002741"/>
    <s v="2022 06 2315 22611"/>
    <n v="181.5"/>
    <x v="584"/>
    <s v="TALLER DE IGUALDAD EN EL CENTRO MUNICIPAL DE LA IGUALDAD &quot;&quot;CREATIVIDAD Y EMOCIONES&quot;&quot;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0077814"/>
    <s v="AD"/>
    <d v="2022-02-28T00:00:00"/>
    <n v="22021008171"/>
    <s v="2022 05 4331 609"/>
    <n v="589.35"/>
    <x v="366"/>
    <s v="SERVICIO DE COORDINACIÓN, SEGURIDAD Y SALUD OBRAS CORREDOR VERDE. PROYECTO URBAN GreenUP.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6333"/>
    <s v="ADO"/>
    <d v="2022-02-25T00:00:00"/>
    <n v="22022002422"/>
    <s v="2022 06 2315 22611"/>
    <n v="580.79999999999995"/>
    <x v="483"/>
    <s v="YOGA INFANTIL PARA CRECER EN EL RESPETO: GRUPO DE 4 A 7 AÑOS / GRUPO DE 8 A 12 AÑOS // DICIEMBRE, EN EL CMI"/>
    <s v="240"/>
    <s v="ALDEAMAYOR DE SAN MARTÍN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0394"/>
    <s v="AD"/>
    <d v="2022-01-25T00:00:00"/>
    <n v="22022000020"/>
    <s v="2022 10 2311 213"/>
    <n v="2603.9899999999998"/>
    <x v="428"/>
    <s v="CONTRATO DE MANTENIMIENTO DEL SISTEMA DE SEGURIDAD Y VIDEO-VIGILANCIA PARA LOS CEAS Y CENTRO INTEGRADO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8267"/>
    <s v="AD"/>
    <d v="2022-03-09T00:00:00"/>
    <n v="22021008078"/>
    <s v="2022 10 2311 632"/>
    <n v="8514.06"/>
    <x v="386"/>
    <s v="Obras de acceso CIC Conde Ansurez en calle Batuecas 24. Duración 1 semana"/>
    <s v="23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00076"/>
    <s v="AD"/>
    <d v="2022-01-19T00:00:00"/>
    <n v="22022001023"/>
    <s v="2022 05 4331 22799"/>
    <n v="290.39999999999998"/>
    <x v="541"/>
    <s v="EMISIÓN DISTINTIVOS DE VEHÍCULO ELÉCTRICO, CATEGORÍA VELID (MAQUETACIÓN, IMPRESIÓN Y ENTREGA EN LA AGENCIA), PARA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9350"/>
    <s v="AD"/>
    <d v="2022-03-16T00:00:00"/>
    <n v="22022002728"/>
    <s v="2022 06 2315 22611"/>
    <n v="135.36000000000001"/>
    <x v="541"/>
    <s v="Impresión de materiales para Campaña de Día Internacional de la Mujer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1799"/>
    <s v="AD"/>
    <d v="2022-01-28T00:00:00"/>
    <n v="22022001706"/>
    <s v="2022 11 1321 214"/>
    <n v="567.01"/>
    <x v="585"/>
    <s v="REVISIÓN DE MAQUINARIA DEL TALLER DE REPARACIONES DE LA POLICÍA MUNICIPAL."/>
    <s v="220"/>
    <s v="VILLAMARTIN DE CAMPOS"/>
    <s v="PALENCI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4"/>
  </r>
  <r>
    <n v="220220010319"/>
    <s v="AD"/>
    <d v="2022-03-21T00:00:00"/>
    <n v="22022002894"/>
    <s v="2022 03 9241 22609"/>
    <n v="544.5"/>
    <x v="586"/>
    <s v="Calamar Teatro, actuación en CIC Segundo Montes el día 12/03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679"/>
    <s v="D"/>
    <d v="2022-03-22T00:00:00"/>
    <n v="22021006629"/>
    <s v="2022 02 9332 632"/>
    <n v="38797.440000000002"/>
    <x v="587"/>
    <s v="ADJ. EXP.45/21. PROYECTO OBRAS CONSOLIDACIÓN EDIFICACIÓN DESTINADA A CELDAS DEL CONVENTO STA.CATALINA DE SIENA"/>
    <s v="30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06706"/>
    <s v="AD"/>
    <d v="2022-02-25T00:00:00"/>
    <n v="22022002501"/>
    <s v="2022 10 2312 212"/>
    <n v="4126.1000000000004"/>
    <x v="568"/>
    <s v="REPARACION TEJADO DEL CPM ZONA ESTE- DURACION 1 MES"/>
    <s v="220"/>
    <s v="VALLADOLID"/>
    <s v="VALLADOLID"/>
    <x v="1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1265"/>
    <s v="AD"/>
    <d v="2022-01-01T00:00:00"/>
    <n v="22022001680"/>
    <s v="2022 04 9204 213"/>
    <n v="4621.08"/>
    <x v="588"/>
    <s v="MANTENIMIENTO DE LOS SISTEMAS DE CLIMATIZACIÓN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0000389"/>
    <s v="AD"/>
    <d v="2022-01-25T00:00:00"/>
    <n v="22022000022"/>
    <s v="2022 10 2312 213"/>
    <n v="2598.0100000000002"/>
    <x v="428"/>
    <s v="CONTRATO DE MANTENIMIENTO DEL SISTEMA DE SEGURIDAD Y VIDEO-VIGILANCIA PARA CPM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0333"/>
    <s v="AD"/>
    <d v="2022-03-21T00:00:00"/>
    <n v="22022002910"/>
    <s v="2022 03 9241 22609"/>
    <n v="544.5"/>
    <x v="589"/>
    <s v="Espectáculo de títeres en CC Delicias día 10/04/2022. MFS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104"/>
    <s v="AD"/>
    <d v="2022-02-09T00:00:00"/>
    <n v="22022001953"/>
    <s v="2022 09 3341 22701"/>
    <n v="516.95000000000005"/>
    <x v="428"/>
    <s v="SERVICIO DE MANTENIMIENTO DE LOS SISTEMAS DE ALARMA Y SEGURIDAD DE LA CUPULA DEL MILENIO. 12-02-22 AL 31-08-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13435"/>
    <s v="AD"/>
    <d v="2022-03-31T00:00:00"/>
    <n v="22022003066"/>
    <s v="2022 10 2312 22199"/>
    <n v="452.25"/>
    <x v="590"/>
    <s v="SUMINISTRO DE VAJILLA PARA LAS ESTANCIAS DIURNAS DE LOS CPM.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5805"/>
    <s v="AD"/>
    <d v="2022-02-23T00:00:00"/>
    <n v="22022002396"/>
    <s v="2022 11 1321 212"/>
    <n v="516.07000000000005"/>
    <x v="591"/>
    <s v="REPARACIÓN DE CARPINTERÍA DE ALUMINIO OFICINAS DISCIPLINA VIAL."/>
    <s v="220"/>
    <s v="VALLADOLID"/>
    <s v="VALLADOLID"/>
    <x v="1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199000765"/>
    <s v="AD"/>
    <d v="2022-01-01T00:00:00"/>
    <n v="22022000164"/>
    <s v="2022 10 2312 22799"/>
    <n v="101535.62"/>
    <x v="20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7396"/>
    <s v="AD"/>
    <d v="2022-03-04T00:00:00"/>
    <n v="22022002565"/>
    <s v="2022 02 1501 22606"/>
    <n v="500"/>
    <x v="592"/>
    <s v="ALOJAMIENTO PONENTES (3) JORNADAS CORREDOR FERROVIARIO"/>
    <s v="220"/>
    <s v="VALLADOLID"/>
    <s v="VALLADOLID"/>
    <x v="4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2"/>
    <s v="22606"/>
  </r>
  <r>
    <n v="220220008274"/>
    <s v="AD"/>
    <d v="2022-03-10T00:00:00"/>
    <n v="22022002657"/>
    <s v="2022 11 1361 204"/>
    <n v="484"/>
    <x v="593"/>
    <s v="Grúa_góndola para desplazamiento de vehículo pesado_prácticas excarcelación;SEISYPC."/>
    <s v="220"/>
    <s v="TORDESILLAS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0"/>
    <s v="204"/>
  </r>
  <r>
    <n v="220219000687"/>
    <s v="AD"/>
    <d v="2022-01-01T00:00:00"/>
    <n v="22022000089"/>
    <s v="2022 11 1321 22104"/>
    <n v="48400"/>
    <x v="594"/>
    <s v="SUMINISTRO DE CHALECOS ANTIBALA Y FUNDA PARA POLICÍA, EJERCICIO 2022.. EXP. SPSC -02/2021. LOTE Nº 5."/>
    <s v="220"/>
    <s v="REDONDELA"/>
    <s v="PONTEVEDR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10316"/>
    <s v="AD"/>
    <d v="2022-03-21T00:00:00"/>
    <n v="22022002890"/>
    <s v="2022 03 9241 22609"/>
    <n v="484"/>
    <x v="595"/>
    <s v="Actuación en CC José Luis Mosquera el día 03/04/2022"/>
    <s v="220"/>
    <s v="SARDON DE DUER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09000555"/>
    <s v="AD"/>
    <d v="2022-01-01T00:00:00"/>
    <n v="22022000213"/>
    <s v="2022 06 2314 22700"/>
    <n v="55569.06"/>
    <x v="92"/>
    <s v="PR-SE 31/2020. CONTRATO CENTRALIZADO DE LIMPIEZA EDIFICIOS MUNICIPALES. AREA 06. ESPACIOS JOVENES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00"/>
  </r>
  <r>
    <n v="220220000353"/>
    <s v="AD"/>
    <d v="2022-01-24T00:00:00"/>
    <n v="22022001424"/>
    <s v="2022 10 2316 22616"/>
    <n v="473.11"/>
    <x v="409"/>
    <s v="Montaje/desmontaje escenario en centro Santiago López para espectáculo flamenco para niños en barrio de Pajarill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10071294"/>
    <s v="AD"/>
    <d v="2022-02-28T00:00:00"/>
    <n v="22021007503"/>
    <s v="2022 10 2311 633"/>
    <n v="458"/>
    <x v="596"/>
    <s v="Compra de frigorífico para proyectos socio-educativos CEAS Delicias. 27/10/2021"/>
    <s v="220"/>
    <s v="ARROYO DE LA ENCOMIENDA"/>
    <s v="VALLADOLID"/>
    <x v="3"/>
    <s v="AdDirec - Adjudicación Directa"/>
    <s v="SinC - Sin Criterio"/>
    <x v="2"/>
    <x v="0"/>
    <s v="6"/>
    <s v="6. Inversiones reales"/>
    <s v="10"/>
    <x v="0"/>
    <s v="2311"/>
    <s v="2311. Intervención social"/>
    <s v="63"/>
    <s v="633"/>
  </r>
  <r>
    <n v="220220013435"/>
    <s v="AD"/>
    <d v="2022-03-31T00:00:00"/>
    <n v="22022003067"/>
    <s v="2022 10 2312 22199"/>
    <n v="271.32"/>
    <x v="590"/>
    <s v="SUMINISTRO DE VAJILLA PARA LAS ESTANCIAS DIURNAS DE LOS CPM.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13422"/>
    <s v="AD"/>
    <d v="2022-03-31T00:00:00"/>
    <n v="22022003053"/>
    <s v="2022 06 2315 22611"/>
    <n v="453.75"/>
    <x v="597"/>
    <s v="DISEÑO, MAQUETACIÓN DE LA CAMPAÑA MUJER Y CIENCIA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2530"/>
    <s v="AD"/>
    <d v="2022-02-03T00:00:00"/>
    <n v="22022001799"/>
    <s v="2022 03 9241 213"/>
    <n v="438.81"/>
    <x v="455"/>
    <s v="SUMINISTRO TURBINA PARA REPARACIÓN CAJA DE VENTILACIÓN CIC CONDE ANSÚREZ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3448"/>
    <s v="AD"/>
    <d v="2022-02-11T00:00:00"/>
    <n v="22022002123"/>
    <s v="2022 11 1321 22199"/>
    <n v="435.55"/>
    <x v="529"/>
    <s v="ADQUISICIÓN DE DOS PERCHEROS (BURROS) PARA ALMACENAMIENTO DE VESTUARI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09000562"/>
    <s v="AD"/>
    <d v="2022-01-01T00:00:00"/>
    <n v="22022000219"/>
    <s v="2022 06 3321 22700"/>
    <n v="16679.509999999998"/>
    <x v="92"/>
    <s v="PR-SE 31/2020. CONTRATO CENTRALIZADO DE LIMPIEZA EDIFICIOS MUNICIPALES. AREA 06.BIBLIOTECAS PUBLICAS MUNICIPALES.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0000119"/>
    <s v="AD"/>
    <d v="2022-01-21T00:00:00"/>
    <n v="22022001187"/>
    <s v="2022 11 3111 22106"/>
    <n v="428.04"/>
    <x v="598"/>
    <s v="CONTENEDORES HIGIENICO SANITARIOS CASA DEL BARCO Y EDIFICIO CONCEJALIAS. AÑO 2022"/>
    <s v="220"/>
    <s v="SAN FERNANDO DE HENARES"/>
    <s v="MADR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09000525"/>
    <s v="AD"/>
    <d v="2022-01-01T00:00:00"/>
    <n v="22022000206"/>
    <s v="2022 06 3261 22700"/>
    <n v="9610.64"/>
    <x v="92"/>
    <s v="PR-SE 31/2020. CONTRATO CENTRALIZADO DE LIMPIEZA EDIFICIOS MUNICIPALES. AREA 06.ESCUELA MUNICIPAL DE MUSICA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00"/>
  </r>
  <r>
    <n v="220209000554"/>
    <s v="AD"/>
    <d v="2022-01-01T00:00:00"/>
    <n v="22022000212"/>
    <s v="2022 06 2315 22700"/>
    <n v="6165.61"/>
    <x v="92"/>
    <s v="PR-SE 31/2020. CONTRATO CENTRALIZADO LIMPIEZA EDIFICIOS MUNICIPALES. AREA 6. CENTRO MUNICIPAL DE LA IGUALDAD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00"/>
  </r>
  <r>
    <n v="220220005814"/>
    <s v="AD"/>
    <d v="2022-02-23T00:00:00"/>
    <n v="22022002440"/>
    <s v="2022 03 9241 213"/>
    <n v="426.69"/>
    <x v="455"/>
    <s v="SUMINISTRO DE BOMBA DE ACHIQUE PARA CC BAILARÍN VICENTE ESCUDERO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5781"/>
    <s v="AD"/>
    <d v="2022-02-23T00:00:00"/>
    <n v="22022002345"/>
    <s v="2022 08 1651 213"/>
    <n v="405.31"/>
    <x v="428"/>
    <s v="Mantenimiento del SISTEMA DE VIGILANCIA Y ALARMA  de  las instalaciones de alumbrado en Soto de Medinilla.-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651"/>
    <s v="1651. Alumbrado público"/>
    <s v="21"/>
    <s v="213"/>
  </r>
  <r>
    <n v="220219001256"/>
    <s v="AD"/>
    <d v="2022-01-01T00:00:00"/>
    <n v="22022001689"/>
    <s v="2022 03 9241 22609"/>
    <n v="400"/>
    <x v="599"/>
    <s v="Actuación en C.C. Pilarica el día 04/01/2022.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336"/>
    <s v="AD"/>
    <d v="2022-01-01T00:00:00"/>
    <n v="22022001980"/>
    <s v="2022 04 9204 641"/>
    <n v="50820"/>
    <x v="600"/>
    <s v="SUMINISTRO DE LICENCIAS DE OFIMÁTICA, LOTE 4 , DE ENERO A JUNIO 22"/>
    <s v="220"/>
    <s v="FUENSALDAÑA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03096"/>
    <s v="AD"/>
    <d v="2022-02-09T00:00:00"/>
    <n v="22022001051"/>
    <s v="2022 09 3341 22799"/>
    <n v="17746.669999999998"/>
    <x v="601"/>
    <s v="PRORROGA 1 AÑO DEL CONTRATO SERVICIO MANTENIMIENTO PORTALES WEB DE CULTURA Y TURISMO LOTE 1. (01-05-2022 AL 30-04-2023)"/>
    <s v="220"/>
    <s v="ZAMORA"/>
    <s v="ZAMOR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257"/>
    <s v="AD"/>
    <d v="2022-01-01T00:00:00"/>
    <n v="22022000060"/>
    <s v="2022 09 3341 22799"/>
    <n v="8873.33"/>
    <x v="601"/>
    <s v="CONTRATO DE SERVICIOS DE MANTENIMIENTO DE LOS PORTALES WEB DE CULTURA Y TURISMO-LOTE 1"/>
    <s v="220"/>
    <s v="ZAMORA"/>
    <s v="ZAMOR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10335"/>
    <s v="AD"/>
    <d v="2022-03-21T00:00:00"/>
    <n v="22022002912"/>
    <s v="2022 03 9241 22609"/>
    <n v="400"/>
    <x v="599"/>
    <s v="Actuación en C.C. Esgueva el día 14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7110"/>
    <s v="AD"/>
    <d v="2022-03-03T00:00:00"/>
    <n v="22022002574"/>
    <s v="2022 06 2315 22611"/>
    <n v="397.5"/>
    <x v="602"/>
    <s v="IMPRESIÓN DE CARTELERÍA DIA INTERNACIONAL DE LA MUJER 8M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199000766"/>
    <s v="AD"/>
    <d v="2022-01-01T00:00:00"/>
    <n v="22022000165"/>
    <s v="2022 10 2312 22799"/>
    <n v="107161.60000000001"/>
    <x v="13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199000767"/>
    <s v="AD"/>
    <d v="2022-01-01T00:00:00"/>
    <n v="22022000166"/>
    <s v="2022 10 2312 22799"/>
    <n v="15308.8"/>
    <x v="13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2606"/>
    <s v="AD"/>
    <d v="2022-02-07T00:00:00"/>
    <n v="22022001881"/>
    <s v="2022 11 3111 22706"/>
    <n v="385"/>
    <x v="603"/>
    <s v="PRUEBAS E INFORME VETERINARIO ESTADO EQUINOS REQUISADOS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706"/>
  </r>
  <r>
    <n v="220209000791"/>
    <s v="AD"/>
    <d v="2022-01-01T00:00:00"/>
    <n v="22022000312"/>
    <s v="2022 03 9241 22701"/>
    <n v="51895.6"/>
    <x v="358"/>
    <s v="CELADURIA OTROS CENTROS DEPENDIENTES DE P. CIUDADANA LOTE 4 2021 2022"/>
    <s v="220"/>
    <s v="EL PINAR DE ANTEQUERA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9355"/>
    <s v="AD"/>
    <d v="2022-03-16T00:00:00"/>
    <n v="22022002780"/>
    <s v="2022 06 2315 213"/>
    <n v="372.29"/>
    <x v="571"/>
    <s v="REPARACION PUERTA CORREDERA Y TELEFONILLO EN EL CENTRO MUNICIPAL DE LA IGUALDAD"/>
    <s v="220"/>
    <s v="LAGUNA DE DUERO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1"/>
    <s v="213"/>
  </r>
  <r>
    <n v="220220005218"/>
    <s v="AD"/>
    <d v="2022-02-22T00:00:00"/>
    <n v="22022002306"/>
    <s v="2022 06 2315 22100"/>
    <n v="363"/>
    <x v="493"/>
    <s v="Instalación eléctrica temporal con motivo del evento en materia de Igualdad organizado por Coordinadora de mujeres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100"/>
  </r>
  <r>
    <n v="220220010303"/>
    <s v="AD"/>
    <d v="2022-03-21T00:00:00"/>
    <n v="22022002722"/>
    <s v="2022 01 9207 22602"/>
    <n v="605"/>
    <x v="604"/>
    <s v="ADJUDICA DIFUSIÓN DIGITAL BANDO ALCALDÍA SOBRE INVASIÓN UCRANIA (funcionamiento ayuda solidaria al pueblo) EL MUNDO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9339"/>
    <s v="AD"/>
    <d v="2022-03-16T00:00:00"/>
    <n v="22022002588"/>
    <s v="2022 06 2315 22100"/>
    <n v="363"/>
    <x v="493"/>
    <s v="Instalación eléctrica temporal con motivo de manifestación 8M en materia de Igualdad en Plaza Mayor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100"/>
  </r>
  <r>
    <n v="220220006306"/>
    <s v="D"/>
    <d v="2022-02-25T00:00:00"/>
    <n v="22022002149"/>
    <s v="2022 06 3321 629"/>
    <n v="405.24"/>
    <x v="605"/>
    <s v="SUMINISTRO DE DIFERENTES TITULOS (EJEMPLARES) // A/P 9 /// DESTINO: BIBLIOTECAS PUB. MUNICIPALES"/>
    <s v="300"/>
    <s v="VALLADOLID"/>
    <s v="VALLADOLID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10069589"/>
    <s v="AD"/>
    <d v="2022-02-28T00:00:00"/>
    <n v="22021007380"/>
    <s v="2022 03 9241 633"/>
    <n v="350.9"/>
    <x v="359"/>
    <s v="DOS SOPORTES DE PROYECTOR DE BANDEJA DE TECHO PARA CC PILARICA"/>
    <s v="220"/>
    <s v="MADRID"/>
    <s v="MADR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3"/>
  </r>
  <r>
    <n v="220220013420"/>
    <s v="AD"/>
    <d v="2022-03-31T00:00:00"/>
    <n v="22022003036"/>
    <s v="2022 06 2315 22611"/>
    <n v="350"/>
    <x v="606"/>
    <s v="CONCEPTO: Conferencia &quot;&quot;Mujeres de acero en un mundo de hielo&quot;&quot; impartida en el Museo de la Ciencia"/>
    <s v="220"/>
    <s v="MADRID"/>
    <s v="MADR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6376"/>
    <s v="AD"/>
    <d v="2022-02-25T00:00:00"/>
    <n v="22022002408"/>
    <s v="2022 05 4331 213"/>
    <n v="338.8"/>
    <x v="369"/>
    <s v="7 UNIDADES DE PISTÓN CROMADO DE ALTURA MEDIA 550/660 mm. PARA SILLA OPERATIVA ARIN. INCLUYE PORTES Y MANO DE OBRA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3"/>
  </r>
  <r>
    <n v="220220005786"/>
    <s v="AD"/>
    <d v="2022-02-23T00:00:00"/>
    <n v="22022002358"/>
    <s v="2022 06 3232 212"/>
    <n v="336.43"/>
    <x v="493"/>
    <s v="REPARACION AVERIA ELECTRICA EN LAS PISTAS DE BALONCESTO C.P. GINER DE LOS RIOS. 1 DÍA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215"/>
    <s v="AD"/>
    <d v="2022-02-22T00:00:00"/>
    <n v="22022002273"/>
    <s v="2022 10 2313 22699"/>
    <n v="334.5"/>
    <x v="607"/>
    <s v="Compra de destructora de papel destinada a Secretaría Ejecutiva del Área de Servicios Sociales y Mediación Comunitar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3"/>
    <s v="2313. Dirección del área de servicios sociales"/>
    <s v="22"/>
    <s v="22699"/>
  </r>
  <r>
    <n v="220220000352"/>
    <s v="AD"/>
    <d v="2022-01-24T00:00:00"/>
    <n v="22022001410"/>
    <s v="2022 06 2315 22611"/>
    <n v="333.96"/>
    <x v="608"/>
    <s v="TALLERES PARA FAMILIAS REALIZADOS EN EL CENTRO MUNICIPAL DE LA IGUALDAD NAVIDAD 2021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8283"/>
    <s v="AD"/>
    <d v="2022-03-10T00:00:00"/>
    <n v="22022002696"/>
    <s v="2022 11 1361 22199"/>
    <n v="321.73"/>
    <x v="609"/>
    <s v="Regalos y chuches para el &quot;&quot;Día del Niño&quot;&quot; del Patrón de bomber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8635"/>
    <s v="AD"/>
    <d v="2022-03-11T00:00:00"/>
    <n v="22022002742"/>
    <s v="2022 11 1621 22104"/>
    <n v="319.44"/>
    <x v="610"/>
    <s v="COMPRA CASCOS PROTECCIÓN PARA EL PERSONAL DEL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20005811"/>
    <s v="AD"/>
    <d v="2022-02-23T00:00:00"/>
    <n v="22022002414"/>
    <s v="2022 03 9241 213"/>
    <n v="314.77"/>
    <x v="455"/>
    <s v="SUM. TERMO ELÉCTRICO VERTICAL 50 L PARA SUSTITUIR AL AVERIADO EN CIC SEGUNDO MONTES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9000538"/>
    <s v="AD"/>
    <d v="2022-01-01T00:00:00"/>
    <n v="22022001999"/>
    <s v="2022 04 9204 641"/>
    <n v="4742.75"/>
    <x v="611"/>
    <s v="SUSCRIPCIONES A AVID MEDIA COMPOSER, ADOBE:  CREATIVE CLOUD, PHOTOSHOP  Y A ACROBAT DC, LOTE 15"/>
    <s v="220"/>
    <s v="LLEIDA"/>
    <s v="LLEID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13427"/>
    <s v="AD"/>
    <d v="2022-03-31T00:00:00"/>
    <n v="22022003059"/>
    <s v="2022 10 2312 22199"/>
    <n v="143.19999999999999"/>
    <x v="612"/>
    <s v="SUMINISTRO DE KIT ATOMIZADOR Y BOBINAS SECAMANOS PARA LOS CPM DEL SERVICIO DE INICIATIVAS SOCIALES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9358"/>
    <s v="AD"/>
    <d v="2022-03-16T00:00:00"/>
    <n v="22022002791"/>
    <s v="2022 06 3231 633"/>
    <n v="314.54000000000002"/>
    <x v="590"/>
    <s v="REPOSICION BATIDORA INDUSTRIAL EIM FANTASIA"/>
    <s v="220"/>
    <s v="VALLADOLID"/>
    <s v="VALLADOLID"/>
    <x v="3"/>
    <s v="AdDirec - Adjudicación Directa"/>
    <s v="SinC - Sin Criterio"/>
    <x v="2"/>
    <x v="0"/>
    <s v="6"/>
    <s v="6. Inversiones reales"/>
    <s v="06"/>
    <x v="2"/>
    <s v="3231"/>
    <s v="3231. Escuelas infantiles"/>
    <s v="63"/>
    <s v="633"/>
  </r>
  <r>
    <n v="220220005776"/>
    <s v="AD"/>
    <d v="2022-02-23T00:00:00"/>
    <n v="22022002330"/>
    <s v="2022 11 3111 213"/>
    <n v="312.85000000000002"/>
    <x v="428"/>
    <s v="MANTENIMIENTO DE INSTALACION SISTEMA DE SEGURIDAD Y ALARMA EN EL CENTRO MUNICIPAL DE PROTECCIÓN ANIMAL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12368"/>
    <s v="AD"/>
    <d v="2022-03-23T00:00:00"/>
    <n v="22022002732"/>
    <s v="2022 10 2412 22199"/>
    <n v="306.69"/>
    <x v="536"/>
    <s v="SUMINISTRO DE MATERIAL , CLAVOS, CESPED... PRA EL CURSO DE PARQUES Y JARDINES III DEL C. DE F. PARA ELEMPLEO- DUR 1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12886"/>
    <s v="AD"/>
    <d v="2022-03-25T00:00:00"/>
    <n v="22022003039"/>
    <s v="2022 10 2311 213"/>
    <n v="306.5"/>
    <x v="613"/>
    <s v="Inspección periódica de alta tensión eléctrica en el Centro Integrado. 2022. COVID-19"/>
    <s v="220"/>
    <s v="BOECILLO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13427"/>
    <s v="AD"/>
    <d v="2022-03-31T00:00:00"/>
    <n v="22022003058"/>
    <s v="2022 10 2312 22199"/>
    <n v="108.9"/>
    <x v="612"/>
    <s v="SUMINISTRO DE KIT ATOMIZADOR Y BOBINAS SECAMANOS PARA LOS CPM DEL SERVICIO DE INICIATIVAS SOCIALES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09000690"/>
    <s v="AD"/>
    <d v="2022-01-01T00:00:00"/>
    <n v="22022000244"/>
    <s v="2022 02 9332 22700"/>
    <n v="52213.98"/>
    <x v="318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700"/>
  </r>
  <r>
    <n v="220220008965"/>
    <s v="AD"/>
    <d v="2022-03-15T00:00:00"/>
    <n v="22022002595"/>
    <s v="2022 01 9206 22001"/>
    <n v="304"/>
    <x v="614"/>
    <s v="SUSCRIPCIÓN ANUAL A REVISTA &quot;&quot;TRIBUTOS LOCALES&quot;&quot;. SERVICIO DE CONTROL DE INGRESOS.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5203"/>
    <s v="AD"/>
    <d v="2022-02-22T00:00:00"/>
    <n v="22022002181"/>
    <s v="2022 01 9206 22001"/>
    <n v="300.56"/>
    <x v="615"/>
    <s v="SUSCRIPCIÓN ANUAL A REVISTA DERECHO URBANÍSTICO Y MEDIO AMBIENTE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2260"/>
    <s v="AD"/>
    <d v="2022-01-31T00:00:00"/>
    <n v="22022001699"/>
    <s v="2022 10 2412 22110"/>
    <n v="300"/>
    <x v="540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0427"/>
    <s v="AD"/>
    <d v="2022-01-25T00:00:00"/>
    <n v="22022001619"/>
    <s v="2022 08 1532 22103"/>
    <n v="3000"/>
    <x v="616"/>
    <s v="Suministro de AUTOGAS para  vehículos del SEPI que funcionan con ese combustible, durante el año 2022.-"/>
    <s v="220"/>
    <s v="MADRID"/>
    <s v="MADR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2775"/>
    <s v="AD"/>
    <d v="2022-02-08T00:00:00"/>
    <n v="22022001917"/>
    <s v="2022 10 2312 22699"/>
    <n v="275.27999999999997"/>
    <x v="617"/>
    <s v="DISEÑO GRAFICO Y MAQUET. DELA CARTELERIA Y MATERIAL GRAFICO DEL PROGRAMA DE ACTIVID. GRUPALES DE INVIERNO DE LOS CPM-D 1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09000230"/>
    <s v="AD"/>
    <d v="2022-01-01T00:00:00"/>
    <n v="22022000180"/>
    <s v="2022 07 1701 22706"/>
    <n v="20158.330000000002"/>
    <x v="618"/>
    <s v="REAJUSTE ANUALID.CONTRATO DESARROLLO PROGRAMAS  EDUCACION AMBIENTAL. LOTE 1. COORD. Y DES. RED HUERTOS URBANOS V.25/2019"/>
    <s v="220"/>
    <s v="BARCELONA"/>
    <s v="BARCELONA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6"/>
  </r>
  <r>
    <n v="220219000709"/>
    <s v="AD"/>
    <d v="2022-01-01T00:00:00"/>
    <n v="22022000575"/>
    <s v="2022 10 2316 22616"/>
    <n v="3200"/>
    <x v="619"/>
    <s v="TALLERES PREVENCIÓN INTOLERANCIA Y DELITOS DE ODIO PARA ALUMNADO DE IES. ENERO A JUNI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20002775"/>
    <s v="AD"/>
    <d v="2022-02-08T00:00:00"/>
    <n v="22022001916"/>
    <s v="2022 10 2312 22699"/>
    <n v="275.27"/>
    <x v="617"/>
    <s v="DISEÑO GRAFICO Y MAQUET. DELA CARTELERIA Y MATERIAL GRAFICO DEL PROGRAMA DE ACTIVID. GRUPALES DE INVIERNO DE LOS CPM-D 1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07924"/>
    <s v="AD"/>
    <d v="2022-03-07T00:00:00"/>
    <n v="22022002559"/>
    <s v="2022 01 9207 22699"/>
    <n v="275"/>
    <x v="620"/>
    <s v="ADJUDICA PRESENTACIÓN Y CONDUCIR ACTO ENTREGA MEDALLA ORO DE LA CIUDAD A LOLA HERRERA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10078791"/>
    <s v="AD"/>
    <d v="2022-02-28T00:00:00"/>
    <n v="22021007321"/>
    <s v="2022 03 9241 632"/>
    <n v="268.29000000000002"/>
    <x v="496"/>
    <s v="DIRECCIÓN DE OBRA: INSTALACIÓN LÍNEA DE VIDA Y ESCALERAS EN C.C. ZONA ESTE Y C.C. ZONA SUR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3530"/>
    <s v="AD"/>
    <d v="2022-02-14T00:00:00"/>
    <n v="22022002274"/>
    <s v="2022 11 3111 22103"/>
    <n v="200"/>
    <x v="616"/>
    <s v="SUMINISTRO GAS VEHÍCULO HIBRIDO 0634 DHJ en 2022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3"/>
  </r>
  <r>
    <n v="220220000348"/>
    <s v="AD"/>
    <d v="2022-01-24T00:00:00"/>
    <n v="22022001264"/>
    <s v="2022 10 2316 22616"/>
    <n v="628.6"/>
    <x v="471"/>
    <s v="Impresión de elementos de información para personas usuarias del centro integrado de personas sin hogar/CAI. COVID-19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09000693"/>
    <s v="AD"/>
    <d v="2022-01-01T00:00:00"/>
    <n v="22022000246"/>
    <s v="2022 11 1321 22103"/>
    <n v="96000"/>
    <x v="616"/>
    <s v="CONTRATO SUMINISTRO DE GASÓLEO DE AUTOMOCIÓN PARA VEHÍCULOS DE POLICÍA EJERCICIOS 2021 Y 2022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09000692"/>
    <s v="AD"/>
    <d v="2022-01-01T00:00:00"/>
    <n v="22022000245"/>
    <s v="2022 07 1711 22103"/>
    <n v="50000"/>
    <x v="616"/>
    <s v="CONTRATO PARA SUMINISTRO DE GASÓLEO, SERVICIO DE PARQUES Y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0083630"/>
    <s v="AD"/>
    <d v="2022-02-28T00:00:00"/>
    <n v="22021008172"/>
    <s v="2022 05 4331 609"/>
    <n v="248.94"/>
    <x v="366"/>
    <s v="CONTRATO COORDINACIÒN, SEGURIDAD Y SALUD OBRAS INFRAESTRUCTURA VERDE &quot;&quot;BARRERAS ACÚSTICAS VEGETALES&quot;&quot;. PROY. URAN GreenUP.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2394"/>
    <s v="ADO"/>
    <d v="2022-02-02T00:00:00"/>
    <n v="22022001260"/>
    <s v="2022 11 1351 224"/>
    <n v="244.31"/>
    <x v="621"/>
    <s v="ACCIDENTES COLECTIVOS||&quot;&quot;PÓLIZA&quot;&quot;:0551780088803||&quot;&quot;RECIBO&quot;&quot;:8323075731||&quot;&quot;RIESGO&quot;&quot; SUMAS GRUPOS/ DEL 31-12-21 A 31-12-22///PC"/>
    <s v="24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51"/>
    <s v="1351. Protección civil"/>
    <s v="22"/>
    <s v="224"/>
  </r>
  <r>
    <n v="220220012359"/>
    <s v="AD"/>
    <d v="2022-03-23T00:00:00"/>
    <n v="22022002941"/>
    <s v="2022 02 1501 22602"/>
    <n v="239.99"/>
    <x v="492"/>
    <s v="ROLLER PUBLICIDAD JORNADA CORREDOR FERROVIARIO DE CERCANIAS MEDINA DEL CAMPO-VALLADOLID-PALENCIA"/>
    <s v="220"/>
    <s v="LA VALCUEVA"/>
    <s v="LEON"/>
    <x v="3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2"/>
    <s v="22602"/>
  </r>
  <r>
    <n v="220220006722"/>
    <s v="AD"/>
    <d v="2022-02-28T00:00:00"/>
    <n v="22021000729"/>
    <s v="2022 10 2312 622"/>
    <n v="238.75"/>
    <x v="366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2"/>
    <x v="0"/>
    <s v="6"/>
    <s v="6. Inversiones reales"/>
    <s v="10"/>
    <x v="0"/>
    <s v="2312"/>
    <s v="2312. Iniciativas sociales"/>
    <s v="62"/>
    <s v="622"/>
  </r>
  <r>
    <n v="220220006727"/>
    <s v="AD"/>
    <d v="2022-03-01T00:00:00"/>
    <n v="22022001176"/>
    <s v="2022 02 9332 22103"/>
    <n v="12000"/>
    <x v="616"/>
    <s v="SUMINISTRO GASOLEO VEHÍCULOS ÁREA PLANEAMIENTO URBANÍSTICO Y VIVIENDA AÑO 2022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3"/>
  </r>
  <r>
    <n v="220209000840"/>
    <s v="AD"/>
    <d v="2022-02-28T00:00:00"/>
    <n v="22021001291"/>
    <s v="2022 05 4331 609"/>
    <n v="236.62"/>
    <x v="366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5785"/>
    <s v="AD"/>
    <d v="2022-02-23T00:00:00"/>
    <n v="22022002357"/>
    <s v="2022 06 3231 213"/>
    <n v="200"/>
    <x v="428"/>
    <s v="REPARACIÓN Y COPIAS DE LLAVES DE SISTEMAS DE SEGURIDAD EN LAS ESCUELAS INFANTILES MUNICIPALES.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09000534"/>
    <s v="AD"/>
    <d v="2022-01-01T00:00:00"/>
    <n v="22022000211"/>
    <s v="2022 10 2412 22103"/>
    <n v="4000"/>
    <x v="616"/>
    <s v="SUMINISTRO DE GASÓLEO PARA VEHÍCULOS DEL CENTRO DE FORMACIÓN PARA EL EMPLEO &quot;&quot;JACINTO BENAVENTE&quot;&quot;. AÑO 2021 Y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50961"/>
    <s v="AD"/>
    <d v="2022-02-28T00:00:00"/>
    <n v="22021006430"/>
    <s v="2022 02 9332 632"/>
    <n v="1029.07"/>
    <x v="622"/>
    <s v="SUMINISTRO BOMBAS ACHIQUE AGUA DESDE TERCER SÓTANO A CALLE EN ARCHIVO MUNICIPAL"/>
    <s v="220"/>
    <s v="VALDELAFUENTE"/>
    <s v="LEON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20001769"/>
    <s v="D"/>
    <d v="2022-01-27T00:00:00"/>
    <n v="22022001641"/>
    <s v="2022 06 3232 212"/>
    <n v="888.47"/>
    <x v="622"/>
    <s v="SUMINISTRO DE MATERIALES PARA LOS COLEGIOS PÚBLICOS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201"/>
    <s v="D"/>
    <d v="2022-03-30T00:00:00"/>
    <n v="22022001623"/>
    <s v="2022 11 1361 22199"/>
    <n v="793.89"/>
    <x v="622"/>
    <s v="FLUXOR AQUALINE/ AMOLADORA RECTA/ KIT NRG502 18V 2BAT 5Ah+CARGA/ ECOPILA/ DESATASCADOR/ AMOLADORA RECTA/SEISPC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846"/>
    <s v="D"/>
    <d v="2022-03-02T00:00:00"/>
    <n v="22022001641"/>
    <s v="2022 06 3232 212"/>
    <n v="564.30999999999995"/>
    <x v="622"/>
    <s v="SUMINISTRO DE DIF. MATERIAL /// DESTINO COLEGIOS PUBLICOS MPALES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745"/>
    <s v="D"/>
    <d v="2022-03-02T00:00:00"/>
    <n v="22022001623"/>
    <s v="2022 11 1361 22199"/>
    <n v="463.32"/>
    <x v="622"/>
    <s v="TERMO COINTRA TBL-150 PLUS V/ LATIGUILLO/ LLAVE ESC.ISIS/ BOLSA FIJA LAVABO/ REDUCC. MARS LATÓN /EXTINCION INCENDIOS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0094"/>
    <s v="D"/>
    <d v="2022-03-18T00:00:00"/>
    <n v="22022001641"/>
    <s v="2022 06 3232 212"/>
    <n v="458.25"/>
    <x v="622"/>
    <s v="SUMINISTRO DE MATERIAL ///  DESTINOS: COLEGIOS PUBLICOS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189"/>
    <s v="D"/>
    <d v="2022-02-09T00:00:00"/>
    <n v="22022001641"/>
    <s v="2022 06 3232 212"/>
    <n v="394.68"/>
    <x v="622"/>
    <s v="SUMINISTRO DE MATERIALES PARA LOS COLEGIOS PÚBLICOS Y ESCUELA DE MÚSICA Mª DE MOLINA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526"/>
    <s v="D"/>
    <d v="2022-02-22T00:00:00"/>
    <n v="22022001179"/>
    <s v="2022 10 2311 212"/>
    <n v="315.70999999999998"/>
    <x v="622"/>
    <s v="F-762. S.GARCICHAO. SUMINISTRO MATERIAL DE FONTANERÍA. DESTINOS: C. INTEGRADO - VIV. GUTIERREZ DE CETINA 2 BJO D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29"/>
    <s v="D"/>
    <d v="2022-02-18T00:00:00"/>
    <n v="22022001456"/>
    <s v="2022 11 1321 22199"/>
    <n v="308.88"/>
    <x v="622"/>
    <s v="ACUERDO MARCO. SUMINISTRO DE TERMO ELECTR FLECK DUO 30L // PUNTO DE ENTREGA: POLICÍA MPAL, LA VICTOR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1756"/>
    <s v="D"/>
    <d v="2022-01-27T00:00:00"/>
    <n v="22022001640"/>
    <s v="2022 06 3231 212"/>
    <n v="291.45"/>
    <x v="622"/>
    <s v="MONOMANDO/ LATIGUILLO FLEX/ SILICONA/ MASILLA/ DESATASCADOR/ MANGUITO/ VERTEDERO/ REJA (E.I.CASAS NIÑO/AS-E.I.LA COMETA)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2404"/>
    <s v="D"/>
    <d v="2022-02-02T00:00:00"/>
    <n v="22022001184"/>
    <s v="2022 10 2312 212"/>
    <n v="247.97"/>
    <x v="622"/>
    <s v="PRESTO SOL ( A. REAL)/ MECANISMO ROCA DOBLE ( ZONA E)/ MANETA LAVABO (R. ESG.)/ ASIENTO ACERO (CPM HUERTA.)-DUR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7073"/>
    <s v="D"/>
    <d v="2022-03-03T00:00:00"/>
    <n v="22022001650"/>
    <s v="2022 11 3111 22199"/>
    <n v="236.48"/>
    <x v="622"/>
    <s v="A.M. V.36/2017 : ASIENTO INODORO LUCERNA BLANCO (4 UD) ///  ASIENTO VICTORIA BLANCO (1) ///CASA DEL BARCO PLANTA BAJ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7204"/>
    <s v="D"/>
    <d v="2022-03-03T00:00:00"/>
    <n v="22022001626"/>
    <s v="2022 03 9241 212"/>
    <n v="184.33"/>
    <x v="622"/>
    <s v="SUMINISTRO DE DIFERENTE MATERIAL /// DESTINOS C.C.: ESGUEVA-PARQUESOL-C.CUNA-PILARICA Y AA.VV. SANTOS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667"/>
    <s v="D"/>
    <d v="2022-03-24T00:00:00"/>
    <n v="22022001640"/>
    <s v="2022 06 3231 212"/>
    <n v="171.58"/>
    <x v="622"/>
    <s v="SUMINISTRO DE MATERIAL PARA E.I.M. PLATERO / E.I.M. EL PRINCIPITO. marz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12708"/>
    <s v="D"/>
    <d v="2022-03-24T00:00:00"/>
    <n v="22022001641"/>
    <s v="2022 06 3232 212"/>
    <n v="160.52000000000001"/>
    <x v="622"/>
    <s v="SUMINISTRO DE MATERIALES PARA CP TIERNO GALVÁN / CP FRAY LUIS DE LÉON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4"/>
    <s v="D"/>
    <d v="2022-02-02T00:00:00"/>
    <n v="22022001626"/>
    <s v="2022 03 9241 212"/>
    <n v="156.83000000000001"/>
    <x v="622"/>
    <s v="SUMINISTROS PARA CC CASA CUNA / CC PARQUESOL / CC DELICIAS / CC RONDILL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254"/>
    <s v="D"/>
    <d v="2022-03-30T00:00:00"/>
    <n v="22022002362"/>
    <s v="2022 07 1721 22104"/>
    <n v="149.91999999999999"/>
    <x v="622"/>
    <s v="ASIENTO INODORO LUCERNA BLANCO (3) // CASA DEL BARCO"/>
    <s v="300"/>
    <s v="VALDELAFUENTE"/>
    <s v="LEON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04"/>
  </r>
  <r>
    <n v="220220006874"/>
    <s v="D"/>
    <d v="2022-03-02T00:00:00"/>
    <n v="22022000030"/>
    <s v="2022 11 1621 22199"/>
    <n v="148.97999999999999"/>
    <x v="622"/>
    <s v="DOSIFICADOR JABÓN 1,4L/ DISPENS PAPEL/ ESCOBILLERO COMPLETO / AM EXP. V36-2017 / SERVICIO DE LIMPIEZA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185"/>
    <s v="D"/>
    <d v="2022-03-03T00:00:00"/>
    <n v="22022001640"/>
    <s v="2022 06 3231 212"/>
    <n v="133.93"/>
    <x v="622"/>
    <s v="ENLACE RECTO /// MTRS TUBO POLIET. ////  DESTINO: EL PRINCIPITO. FEBRER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2460"/>
    <s v="D"/>
    <d v="2022-02-02T00:00:00"/>
    <n v="22022001641"/>
    <s v="2022 06 3232 212"/>
    <n v="130.97999999999999"/>
    <x v="622"/>
    <s v="GRIFO FREGADERO/ VÁLVULA/ ALARGADERA/ MECANISMO/ GUIA/ TIRADOR (CP PABLO PICASSO / CP NARCISO ALONSO CORTÉS)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545"/>
    <s v="D"/>
    <d v="2022-02-22T00:00:00"/>
    <n v="22022001456"/>
    <s v="2022 11 1321 22199"/>
    <n v="81.92"/>
    <x v="622"/>
    <s v="ACUERDO MARCO. SUMINISTRO DE MATYERIAL DE FONTANERIA PARA DEPENDENCIAS DE POLICÍA MUNICIPAL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611"/>
    <s v="D"/>
    <d v="2022-03-11T00:00:00"/>
    <n v="22022001640"/>
    <s v="2022 06 3231 212"/>
    <n v="77.22"/>
    <x v="622"/>
    <s v="SUMINISTRO DE DIFERENTE MATERIAL // DESTINOS: EIM FANTASÍA Y EIM MAFALDA Y GUILLE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12755"/>
    <s v="D"/>
    <d v="2022-03-24T00:00:00"/>
    <n v="22022001626"/>
    <s v="2022 03 9241 212"/>
    <n v="73.180000000000007"/>
    <x v="622"/>
    <s v="ASIENTO VICTORIA ACERO BLANCO // CC DELICIAS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8766"/>
    <s v="D"/>
    <d v="2022-03-14T00:00:00"/>
    <n v="22022001626"/>
    <s v="2022 03 9241 212"/>
    <n v="71.150000000000006"/>
    <x v="622"/>
    <s v="SUMINISTRO DE MATERIAL /// DESTINOS:  CC DELICIAS - CC JOSE Mª LUELMO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4085"/>
    <s v="D"/>
    <d v="2022-02-18T00:00:00"/>
    <n v="22022000030"/>
    <s v="2022 11 1621 22199"/>
    <n v="67.489999999999995"/>
    <x v="622"/>
    <s v="AC MARCO EXP V36/2017: REDUCTOR PRESION 1/2 DRV15 / MANOMETRO 1/4 RAD. 6BAR ABS SERV. LIMPIEZA, C/ TOPACIO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044"/>
    <s v="D"/>
    <d v="2022-03-03T00:00:00"/>
    <n v="22022001183"/>
    <s v="2022 10 2312 212"/>
    <n v="60.38"/>
    <x v="622"/>
    <s v="MANT. SUMINISTRO DE ASIENTO ACERO BLANCO (CPM JOSE LUIS MOSQUERA) / PRESTO CABEZA URINARIO (CPM PUENTE COLGANTE)-D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9918"/>
    <s v="D"/>
    <d v="2022-03-18T00:00:00"/>
    <n v="22022001184"/>
    <s v="2022 10 2312 212"/>
    <n v="59.17"/>
    <x v="622"/>
    <s v="MANT. SUMINISTRO DE REPUESTO PALANCA/ FISCHER-MASILLA POLIMERO BLANCO // CPM RIO ESGUEVA- DURACION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733"/>
    <s v="D"/>
    <d v="2022-03-24T00:00:00"/>
    <n v="22022001450"/>
    <s v="2022 02 9332 213"/>
    <n v="51.91"/>
    <x v="622"/>
    <s v="BOMBONA GAS AZUL/ ESCOBILLERO COMPLETO // MANTENIMIENTO - CASA CONSISTORIAL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3"/>
  </r>
  <r>
    <n v="220220002425"/>
    <s v="D"/>
    <d v="2022-02-02T00:00:00"/>
    <n v="22022001169"/>
    <s v="2022 10 2412 212"/>
    <n v="45.21"/>
    <x v="622"/>
    <s v="SUMINISTRO DE VALVULA ESF.GENEBRE,ENLACE ROSCA METAL PARA EL C. DE FORMACION PARA EL EMPLEO JACINTO BENAVENTE- DUR1 DIA-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1762"/>
    <s v="D"/>
    <d v="2022-01-27T00:00:00"/>
    <n v="22022001640"/>
    <s v="2022 06 3231 212"/>
    <n v="41.58"/>
    <x v="622"/>
    <s v="(E.I.M. FANTASÍA) D2P CON TIRANTE PULSADOR ENRASADO / MECANISMO UNIVERSAL COMPA E/LATER . ENER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4192"/>
    <s v="D"/>
    <d v="2022-02-18T00:00:00"/>
    <n v="22022000030"/>
    <s v="2022 11 1621 22199"/>
    <n v="39.28"/>
    <x v="622"/>
    <s v="AC MARCO EXP V36/2017: MONOMANDO LAVABO VICTORIA PLUS (1 UNIDAD) //// DESTINO: SERV. LIMPIEZA - VALLE DE ARÁN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716"/>
    <s v="D"/>
    <d v="2022-03-14T00:00:00"/>
    <n v="22022001456"/>
    <s v="2022 11 1321 22199"/>
    <n v="39.28"/>
    <x v="622"/>
    <s v="ACUERDO MARCO. SUMINISTRO DE MATERIAL DE FONTANERÍA PARA DEPENDENCIAS DE POLICÍA MUNICIPAL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2472"/>
    <s v="D"/>
    <d v="2022-02-02T00:00:00"/>
    <n v="22022001626"/>
    <s v="2022 03 9241 212"/>
    <n v="38.72"/>
    <x v="622"/>
    <s v="KIT REPARACION DEPOSITOS REMOSA // CC JOSE LUIS MOSQUER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672"/>
    <s v="D"/>
    <d v="2022-03-24T00:00:00"/>
    <n v="22022001456"/>
    <s v="2022 11 1321 22199"/>
    <n v="38.03"/>
    <x v="622"/>
    <s v="ACUERDO MARCO. SUMINISTRO MATERIAL DE FONTANERÍA PARA DEPENDENCIAS POLICÍA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525"/>
    <s v="D"/>
    <d v="2022-03-16T00:00:00"/>
    <n v="22022001449"/>
    <s v="2022 02 9332 212"/>
    <n v="37.85"/>
    <x v="622"/>
    <s v="MASILLA POLÍMERO/ SILICONA ALTO REND./ GRIFO PISTON/ DESCARGADOR COMPL. // MANTENIMIENTO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044"/>
    <s v="D"/>
    <d v="2022-03-03T00:00:00"/>
    <n v="22022001184"/>
    <s v="2022 10 2312 212"/>
    <n v="36.590000000000003"/>
    <x v="622"/>
    <s v="MANT. SUMINISTRO DE ASIENTO ACERO BLANCO (CPM JOSE LUIS MOSQUERA) / PRESTO CABEZA URINARIO (CPM PUENTE COLGANTE)-D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526"/>
    <s v="D"/>
    <d v="2022-02-22T00:00:00"/>
    <n v="22022001178"/>
    <s v="2022 10 2311 212"/>
    <n v="32.75"/>
    <x v="622"/>
    <s v="F-762. S.GARCICHAO. SUMINISTRO MATERIAL DE FONTANERÍA. DESTINOS: C. INTEGRADO - VIV. GUTIERREZ DE CETINA 2 BJO D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387"/>
    <s v="D"/>
    <d v="2022-03-11T00:00:00"/>
    <n v="22022001178"/>
    <s v="2022 10 2311 212"/>
    <n v="30.44"/>
    <x v="622"/>
    <s v="F-1673. GARCICHAO, S.L. DESATASCADOR 1 LT ÁCIDO/ SIFÓN BIDET/ SIFÓN/ LLAVE ESC. VIVIENDA SOCIAL C/ MORADAS.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6821"/>
    <s v="D"/>
    <d v="2022-03-02T00:00:00"/>
    <n v="22022001456"/>
    <s v="2022 11 1321 22199"/>
    <n v="24.87"/>
    <x v="622"/>
    <s v="ACUERDO MARCO. MASILLA POLÍMERO BLANCO/ TELEDUCHA CROMETTA // PUNTO DE ENTREGA: POLICÍA MPAL, LA RUB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2412"/>
    <s v="D"/>
    <d v="2022-02-02T00:00:00"/>
    <n v="22022001178"/>
    <s v="2022 10 2311 212"/>
    <n v="22.97"/>
    <x v="622"/>
    <s v="F-335. SUM.GARCICHAO. GRIFO MANGUERA/LLAVE MINI MH 1/2/GEBERIT LLENADO NATURAL. VIV. C/ MACIZO DE GREDOS, 72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210"/>
    <s v="D"/>
    <d v="2022-03-30T00:00:00"/>
    <n v="22022002691"/>
    <s v="2022 09 4321 213"/>
    <n v="19.170000000000002"/>
    <x v="622"/>
    <s v="SUMINISTRO MATERIAL, ENLACE ROSCA Y VALVULAS,  PARA TRABAJOS DE MANTENIMIENTO AREA CULTURA Y TURISMO"/>
    <s v="300"/>
    <s v="VALDELAFUENTE"/>
    <s v="LEON"/>
    <x v="3"/>
    <s v="PrAbier - Procedimiento Abierto"/>
    <s v="MultiC - MultiCriterio"/>
    <x v="1"/>
    <x v="0"/>
    <s v="2"/>
    <s v="2. Gastos corrientes en bienes y servicios"/>
    <s v="09"/>
    <x v="10"/>
    <s v="4321"/>
    <s v="4321. Turismo"/>
    <s v="21"/>
    <s v="213"/>
  </r>
  <r>
    <n v="220220009501"/>
    <s v="D"/>
    <d v="2022-03-16T00:00:00"/>
    <n v="22022001449"/>
    <s v="2022 02 9332 212"/>
    <n v="12.97"/>
    <x v="622"/>
    <s v="CAMPANA UNIVERSAL ECO CYCLO (1 UNID.) /// DESTINO: CASA CONSISTORIAL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4156"/>
    <s v="D"/>
    <d v="2022-02-18T00:00:00"/>
    <n v="22022001456"/>
    <s v="2022 11 1321 22199"/>
    <n v="12.28"/>
    <x v="622"/>
    <s v="ACUERDO MARCO. SUMINISTRO MATERIAL PARA MANTENIMIENTO DEPENDENCIAS  POLICÍA MPAL, LA VICTOR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963"/>
    <s v="AD"/>
    <d v="2022-03-15T00:00:00"/>
    <n v="22022002546"/>
    <s v="2022 01 9206 22199"/>
    <n v="9.01"/>
    <x v="622"/>
    <s v="MATERIAL DE MANTENIMIENTO PARA EL ARCHIVO MUNICIPAL, FEBRERO 2022."/>
    <s v="220"/>
    <s v="VALDELAFUENTE"/>
    <s v="LEON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20000321"/>
    <s v="ADO"/>
    <d v="2022-01-21T00:00:00"/>
    <n v="22022001320"/>
    <s v="2022 03 9241 212"/>
    <n v="198.26"/>
    <x v="438"/>
    <s v="M/2 Chapado de espesor 4 cm, cortado a medida // Porte Campaspero-Valladolid. REPARACIÓN FACHADA LOCAL CONDE ARTECHE"/>
    <s v="240"/>
    <s v="CUELLAR"/>
    <s v="SEGOVIA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7106"/>
    <s v="AD"/>
    <d v="2022-03-03T00:00:00"/>
    <n v="22022002542"/>
    <s v="2022 10 2312 22699"/>
    <n v="190"/>
    <x v="574"/>
    <s v="UTILIZACION DEPOLIDEPORTIVO J. L. MOSQUERA PARA REALIZAR EL CPM HUERTA DEL REY  TALLER DE BALONCESTO ADAPTADO A MAYORE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08961"/>
    <s v="AD"/>
    <d v="2022-03-15T00:00:00"/>
    <n v="22022001957"/>
    <s v="2022 10 2316 22616"/>
    <n v="433.43"/>
    <x v="623"/>
    <s v="Impresión de carteles y trípticos para la campaña de sensibilización sector de servicio doméstic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20008327"/>
    <s v="D"/>
    <d v="2022-03-11T00:00:00"/>
    <n v="22022001623"/>
    <s v="2022 11 1361 22199"/>
    <n v="366.15"/>
    <x v="624"/>
    <s v="MACETA ANTICHISPAS ALUM/BRONCE 1 / CORTAFRIOS ANTICHISPAS/ JGO LLAVES /// DESTINO: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0098"/>
    <s v="D"/>
    <d v="2022-03-18T00:00:00"/>
    <n v="22022001641"/>
    <s v="2022 06 3232 212"/>
    <n v="180.51"/>
    <x v="624"/>
    <s v="ANTIPANICO TESA 1910908NV /////  DESTINO: CEIP MIGUEL DELIBE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519"/>
    <s v="D"/>
    <d v="2022-03-16T00:00:00"/>
    <n v="22022001449"/>
    <s v="2022 02 9332 212"/>
    <n v="156.09"/>
    <x v="624"/>
    <s v="CERRADURA CVL 615-35-6 ANTIPANICO  /// JGO MANILLAS 2000 NEGRO ///  DESTINO: 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2622"/>
    <s v="D"/>
    <d v="2022-03-24T00:00:00"/>
    <n v="22022000045"/>
    <s v="2022 11 1631 22199"/>
    <n v="86.02"/>
    <x v="624"/>
    <s v="JUEGO DE MANILLAS ROSETA/CERRADURA 5172 CVL/DESTINO: VESTURARIO VALLE DE ARAN/ AM EXP 36-2017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12736"/>
    <s v="D"/>
    <d v="2022-03-24T00:00:00"/>
    <n v="22022001449"/>
    <s v="2022 02 9332 212"/>
    <n v="84.22"/>
    <x v="624"/>
    <s v="RDTOS. RIGIDOS BOLAS 1 HILERA 625 (12 UNID.) ////  TALLER MANTENIMIENTO CERRAJERI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6823"/>
    <s v="D"/>
    <d v="2022-03-02T00:00:00"/>
    <n v="22022001456"/>
    <s v="2022 11 1321 22199"/>
    <n v="76.23"/>
    <x v="624"/>
    <s v="ACUERDO MARCO. CERRADURA MCM 1650-21 (1)  / PERNI GOTA AXIAL 20X120 (4) /////  DESTINO: POLICIA MPAL-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6848"/>
    <s v="D"/>
    <d v="2022-03-02T00:00:00"/>
    <n v="22022001641"/>
    <s v="2022 06 3232 212"/>
    <n v="54.45"/>
    <x v="624"/>
    <s v="BUZON CASTILLO VERDE 433X300X99 ( 1 UD ) ///  DESTINO: CEIP JORGE GUILLE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372"/>
    <s v="D"/>
    <d v="2022-02-25T00:00:00"/>
    <n v="22022001641"/>
    <s v="2022 06 3232 212"/>
    <n v="45.38"/>
    <x v="624"/>
    <s v="CERRADURA MCM 1301-2-50 (1 UD) +  MANECILLA ALMA 6085 NEGRO (1 UD) /////  UBICACION:  CP. ALLUE MO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0100"/>
    <s v="D"/>
    <d v="2022-03-18T00:00:00"/>
    <n v="22022001641"/>
    <s v="2022 06 3232 212"/>
    <n v="32.67"/>
    <x v="624"/>
    <s v="CERRADURA MCM 1301-2-45 ///  DESTINO: CEIP MIGUEL HERNANDEZ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54"/>
    <s v="D"/>
    <d v="2022-03-02T00:00:00"/>
    <n v="22022001641"/>
    <s v="2022 06 3232 212"/>
    <n v="29.04"/>
    <x v="624"/>
    <s v="CIERRE CONDENA 5204 NEGRO ( 2 UD ) ///  DESTINO: CEIP FRANCIS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2611"/>
    <s v="D"/>
    <d v="2022-03-24T00:00:00"/>
    <n v="22022000030"/>
    <s v="2022 11 1621 22199"/>
    <n v="18.91"/>
    <x v="624"/>
    <s v="JUEGO DE MANILLAS 1988-75 ////  DESTINO: SERV.LIMPIEZA VESTUARIO VALLE ARAN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2694"/>
    <s v="D"/>
    <d v="2022-03-24T00:00:00"/>
    <n v="22022001628"/>
    <s v="2022 03 9241 213"/>
    <n v="18.149999999999999"/>
    <x v="624"/>
    <s v="CERRADURA CORREDERA CRISTAL 354-200 ////  DESTINO: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6852"/>
    <s v="D"/>
    <d v="2022-03-02T00:00:00"/>
    <n v="22022001641"/>
    <s v="2022 06 3232 212"/>
    <n v="8.4700000000000006"/>
    <x v="624"/>
    <s v="TAPA JUNTAS CERAMICA 41 MM INOX (1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07"/>
    <s v="D"/>
    <d v="2022-03-02T00:00:00"/>
    <n v="22022000045"/>
    <s v="2022 11 1631 22199"/>
    <n v="6.05"/>
    <x v="624"/>
    <s v="MANETA REGULABLE 35.50 NEGRA ( 1 UD ) //// DESTINO: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515"/>
    <s v="D"/>
    <d v="2022-03-16T00:00:00"/>
    <n v="22022001449"/>
    <s v="2022 02 9332 212"/>
    <n v="5.26"/>
    <x v="624"/>
    <s v="CERRADURA KEYA 200024.S (1 UD)  //////  UBICACION: 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10081350"/>
    <s v="AD"/>
    <d v="2022-03-11T00:00:00"/>
    <n v="22021008500"/>
    <s v="2022 11 1631 634"/>
    <n v="7935.79"/>
    <x v="625"/>
    <s v="ADQUISICIÓN MÁQUINA ELÉCTRICA CON TRACCIÓN, CABEZAL 2 CEPILLOS, BATERÍAS Y CARGADOR BATERÍAS"/>
    <s v="220"/>
    <s v="VALLADOLID"/>
    <s v="VALLADOLID"/>
    <x v="3"/>
    <s v="AdDirec - Adjudicación Directa"/>
    <s v="SinC - Sin Criterio"/>
    <x v="2"/>
    <x v="0"/>
    <s v="6"/>
    <s v="6. Inversiones reales"/>
    <s v="11"/>
    <x v="6"/>
    <s v="1631"/>
    <s v="1631. Limpieza viaria"/>
    <s v="63"/>
    <s v="634"/>
  </r>
  <r>
    <n v="220220004188"/>
    <s v="D"/>
    <d v="2022-02-18T00:00:00"/>
    <n v="22022000026"/>
    <s v="2022 11 1621 214"/>
    <n v="2847.13"/>
    <x v="625"/>
    <s v="AC MARCO EXP V36-2017: REPUESTOS PARA REPARACIONES DE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2"/>
    <s v="D"/>
    <d v="2022-03-30T00:00:00"/>
    <n v="22022000026"/>
    <s v="2022 11 1621 214"/>
    <n v="1852.4"/>
    <x v="625"/>
    <s v="AC MARCO EXP V36/2017: REPUESTOS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703"/>
    <s v="D"/>
    <d v="2022-03-14T00:00:00"/>
    <n v="22022000044"/>
    <s v="2022 11 1631 22110"/>
    <n v="1808.95"/>
    <x v="625"/>
    <s v="BOLSA NEGRA 90X95 G-140 BDR PL (1000 unid)/BOLSA NEGRA 115X150 G-150 BDR PL (1000 UNID) AM EXP 36-2017.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6878"/>
    <s v="D"/>
    <d v="2022-03-02T00:00:00"/>
    <n v="22022000026"/>
    <s v="2022 11 1621 214"/>
    <n v="1768.05"/>
    <x v="625"/>
    <s v="VEHICULO E4374BFX/BOMBIN DE FRENO EJE DELANTERO/MOYEU REDUCTORA EJE TRAS/PREOSTATO/AM EXP V36/2017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37"/>
    <s v="D"/>
    <d v="2022-02-18T00:00:00"/>
    <n v="22022000026"/>
    <s v="2022 11 1621 214"/>
    <n v="1698.53"/>
    <x v="625"/>
    <s v="AC MARCO EXP V36-2017: REPUESTOS PARA REPARACION DE VEHÍ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880"/>
    <s v="D"/>
    <d v="2022-03-02T00:00:00"/>
    <n v="22022000045"/>
    <s v="2022 11 1631 22199"/>
    <n v="1295.01"/>
    <x v="625"/>
    <s v="MANG AGROIND/ABRAZADER/DETERGEN/TOMA ELECTR/CONMUT/COLGADOR/TERMOM/JGO RACOR/DESTRUCTORA/EXP 36-2017 SERVICIO DE LIMPIEZ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227"/>
    <s v="D"/>
    <d v="2022-02-18T00:00:00"/>
    <n v="22022000044"/>
    <s v="2022 11 1631 22110"/>
    <n v="943.8"/>
    <x v="625"/>
    <s v="ac marco exp v36/2017: BOLSA NEGRA 115X150 G-150 BDR PL TOTAL (1000 UNID) // TOTAL 5 UNIDADES /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4241"/>
    <s v="D"/>
    <d v="2022-02-18T00:00:00"/>
    <n v="22022000045"/>
    <s v="2022 11 1631 22199"/>
    <n v="886.88"/>
    <x v="625"/>
    <s v="AC MARCO EXP V36/2017: SUMINISTRO DE MATERIALES PARA EL SERVICIO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225"/>
    <s v="D"/>
    <d v="2022-02-18T00:00:00"/>
    <n v="22022000045"/>
    <s v="2022 11 1631 22199"/>
    <n v="400.8"/>
    <x v="625"/>
    <s v="ac marco exp v36/2017: PISTOLA SILICONA/ LAPIZ DETECTOR (2)/ POLIURETANO BLANCO (4)/ ALFOMBRA PROTEGE SUELO (3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8329"/>
    <s v="D"/>
    <d v="2022-03-11T00:00:00"/>
    <n v="22022001623"/>
    <s v="2022 11 1361 22199"/>
    <n v="265.62"/>
    <x v="625"/>
    <s v="DESENCOFRADOR ANTICHISPAS 19X60 (2 UNIDADES) /// DESTINO: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17"/>
    <s v="D"/>
    <d v="2022-03-11T00:00:00"/>
    <n v="22022001623"/>
    <s v="2022 11 1361 22199"/>
    <n v="231.07"/>
    <x v="625"/>
    <s v="METRO TUBO SUPER FLEXIBLE/REJA CIRCULAR EN ABS/EXTRACTOR/ ROLLO CINTA ALUMINIO/BOCA EXTRACCIÓN CON CUELLO MONTAJE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569"/>
    <s v="D"/>
    <d v="2022-03-11T00:00:00"/>
    <n v="22022000030"/>
    <s v="2022 11 1621 22199"/>
    <n v="176.96"/>
    <x v="625"/>
    <s v="AC MARCO EXP V36-2017. SUMINISTOS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2371"/>
    <s v="AD"/>
    <d v="2022-03-23T00:00:00"/>
    <n v="22022002824"/>
    <s v="2022 10 2312 213"/>
    <n v="179.3"/>
    <x v="626"/>
    <s v="SUMINISTRO DE BATERIAS Y DETECTOR INCENDIOS PARA EL ALMACEN DE COCINA DEL CPM SAN JUAN-DUR 1 DIA"/>
    <s v="220"/>
    <s v="ZARATAN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6897"/>
    <s v="D"/>
    <d v="2022-03-02T00:00:00"/>
    <n v="22022002423"/>
    <s v="2022 08 1341 214"/>
    <n v="182.7"/>
    <x v="627"/>
    <s v="ACUERDO MARCO_7614GSB: REVISION, SUSTITUIR ACEITE, FILTROS DE ACEITE Y ANTICONGELANTE Y LAVADO EXTERIOR E INTERIOR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341"/>
    <s v="1341. Movilidad"/>
    <s v="21"/>
    <s v="214"/>
  </r>
  <r>
    <n v="220220006899"/>
    <s v="D"/>
    <d v="2022-03-02T00:00:00"/>
    <n v="22022002423"/>
    <s v="2022 08 1341 214"/>
    <n v="152.54"/>
    <x v="627"/>
    <s v="ACUERDO MARCO_2543-HTB: REVISION SUSTITUIR ACEITE, FILTRO Y LIQUIDO DE FRENOS,  LAVADO INTERIOR Y EXTERIOR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341"/>
    <s v="1341. Movilidad"/>
    <s v="21"/>
    <s v="214"/>
  </r>
  <r>
    <n v="220220007086"/>
    <s v="D"/>
    <d v="2022-03-03T00:00:00"/>
    <n v="22022002197"/>
    <s v="2022 01 9203 214"/>
    <n v="108.9"/>
    <x v="627"/>
    <s v="(A.M.), REPARACION VEHICULO OFICIAL RENAULT LAGUNA 1426 DLN, R.I."/>
    <s v="30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3"/>
    <s v="9203. Unidad de régimen interior"/>
    <s v="21"/>
    <s v="214"/>
  </r>
  <r>
    <n v="220220004162"/>
    <s v="D"/>
    <d v="2022-02-18T00:00:00"/>
    <n v="22022001453"/>
    <s v="2022 11 1321 214"/>
    <n v="959.53"/>
    <x v="627"/>
    <s v="ACUERDO MARCO.- REPARACIÓN VEHÍCULO 2164HCN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64"/>
    <s v="D"/>
    <d v="2022-02-18T00:00:00"/>
    <n v="22022001453"/>
    <s v="2022 11 1321 214"/>
    <n v="127.59"/>
    <x v="627"/>
    <s v="ACUERDO MARCO REPARACIÓN VEHICULO: 7221-DLS POLICÍA MUNICIPAL TELEMANDO, CARCASA Y CODIFICACION LLAVE, SUSTITUIR LLAVE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654"/>
    <s v="D"/>
    <d v="2022-03-14T00:00:00"/>
    <n v="22022001453"/>
    <s v="2022 11 1321 214"/>
    <n v="1449.43"/>
    <x v="627"/>
    <s v="ACUERDO MARCO. REPARACIÓN DE VEHICULO 2168HCN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46"/>
    <s v="D"/>
    <d v="2022-03-16T00:00:00"/>
    <n v="22022001451"/>
    <s v="2022 02 9332 214"/>
    <n v="78.239999999999995"/>
    <x v="627"/>
    <s v="ACUERDO MARCO_0701DKW: SUSTITUIR PASTILLAS DE FRENO DELANTERA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66"/>
    <s v="D"/>
    <d v="2022-03-16T00:00:00"/>
    <n v="22022000901"/>
    <s v="2022 11 1621 214"/>
    <n v="701.8"/>
    <x v="628"/>
    <s v="TACÓGRAFO 7418LDY / 3241 FNW / 7419 LDY / 0999 FVN) / PILAS RESPALDO DATOS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2885"/>
    <s v="AD"/>
    <d v="2022-03-25T00:00:00"/>
    <n v="22022002980"/>
    <s v="2022 10 2311 212"/>
    <n v="169.4"/>
    <x v="629"/>
    <s v="Sustitución de unas persianas metálicas en el Centro Integrado. Marzo 2022. COVID-19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2190"/>
    <s v="AD"/>
    <d v="2022-01-31T00:00:00"/>
    <n v="22022001638"/>
    <s v="2022 11 1361 22199"/>
    <n v="152.07"/>
    <x v="562"/>
    <s v="REPARACIONES DE CAZADORAS Y PANTALONES DEL TRAJE DE RESCATE TÉCNICO Y FORESTAL;SEISYPC."/>
    <s v="220"/>
    <s v="ARNEDO"/>
    <s v="LA RIOJ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09000729"/>
    <s v="AD"/>
    <d v="2022-01-01T00:00:00"/>
    <n v="22022000264"/>
    <s v="2022 01 9203 22103"/>
    <n v="3100"/>
    <x v="616"/>
    <s v="ADJUDICACION CONTRATO GASÓLEO AÑO 2021 Y AÑO 2022 VEHICULOS UNIDAD DE REGIMEN INTERIOR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103"/>
  </r>
  <r>
    <n v="220220009347"/>
    <s v="AD"/>
    <d v="2022-03-16T00:00:00"/>
    <n v="22022002705"/>
    <s v="2022 01 9207 22699"/>
    <n v="121"/>
    <x v="630"/>
    <s v="ADJUDICA ADAPTACIÓN CREATIVIDAD &quot;&quot;VALLADOLID ERES TÚ&quot;&quot; PARA PUBLICACIÓN &quot;&quot;MUNICIPALISMO. LA HISTORIA MUNICIPIOS DE CyL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20002305"/>
    <s v="AD"/>
    <d v="2022-02-02T00:00:00"/>
    <n v="22022001786"/>
    <s v="2022 10 2311 22700"/>
    <n v="118.58"/>
    <x v="631"/>
    <s v="Retirada de residuos del Comedor Social para su traslado al punto limp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00"/>
  </r>
  <r>
    <n v="220219000434"/>
    <s v="AD"/>
    <d v="2022-01-01T00:00:00"/>
    <n v="22022000071"/>
    <s v="2022 01 9312 22706"/>
    <n v="5445"/>
    <x v="144"/>
    <s v="MANTENIMIENTO Y ASISTENCIA TECNICA DE LA APLICACION DE CONTABILIDAD ANALITICA (ANUALIDAD 2022)"/>
    <s v="220"/>
    <s v="ECIJA"/>
    <s v="SEVILLA"/>
    <x v="0"/>
    <s v="PrNegSP - Procedimiento Negociado Sin Publicidad"/>
    <s v="SinC - Sin Criterio"/>
    <x v="3"/>
    <x v="0"/>
    <s v="2"/>
    <s v="2. Gastos corrientes en bienes y servicios"/>
    <s v="01"/>
    <x v="9"/>
    <s v="9312"/>
    <s v="9312. Intervención general"/>
    <s v="22"/>
    <s v="22706"/>
  </r>
  <r>
    <n v="220220002490"/>
    <s v="D"/>
    <d v="2022-02-02T00:00:00"/>
    <n v="22022001636"/>
    <s v="2022 07 1711 213"/>
    <n v="81.12"/>
    <x v="63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94"/>
    <s v="D"/>
    <d v="2022-02-02T00:00:00"/>
    <n v="22022001636"/>
    <s v="2022 07 1711 213"/>
    <n v="51.11"/>
    <x v="63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96"/>
    <s v="D"/>
    <d v="2022-02-02T00:00:00"/>
    <n v="22022001636"/>
    <s v="2022 07 1711 213"/>
    <n v="36.299999999999997"/>
    <x v="63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42"/>
    <s v="D"/>
    <d v="2022-03-02T00:00:00"/>
    <n v="22022001636"/>
    <s v="2022 07 1711 213"/>
    <n v="218.32"/>
    <x v="63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8413"/>
    <s v="D"/>
    <d v="2022-03-11T00:00:00"/>
    <n v="22022001636"/>
    <s v="2022 07 1711 213"/>
    <n v="71.08"/>
    <x v="63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8422"/>
    <s v="D"/>
    <d v="2022-03-11T00:00:00"/>
    <n v="22022001636"/>
    <s v="2022 07 1711 213"/>
    <n v="637.08000000000004"/>
    <x v="632"/>
    <s v="ACUERDO MARCO 3/2020, REPARACIÓ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7197"/>
    <s v="D"/>
    <d v="2022-03-03T00:00:00"/>
    <n v="22022001769"/>
    <s v="2022 07 1711 203"/>
    <n v="2024.57"/>
    <x v="633"/>
    <s v="ACUERDO MARCO 14/21, ALQUILER DE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0"/>
    <s v="203"/>
  </r>
  <r>
    <n v="220209000533"/>
    <s v="AD"/>
    <d v="2022-01-01T00:00:00"/>
    <n v="22022000210"/>
    <s v="2022 11 3111 22103"/>
    <n v="2740"/>
    <x v="616"/>
    <s v="CONTRATO DE SUMINISTRO DE GASOLEO PARA LOS VEHÍCULOS DEL SERVICIO DE SALUD DURANTE LOS AÑOS 2021 Y 2022 - LOTE 4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10078785"/>
    <s v="AD"/>
    <d v="2022-02-28T00:00:00"/>
    <n v="22021007317"/>
    <s v="2022 03 9241 632"/>
    <n v="113.7"/>
    <x v="496"/>
    <s v="DIRECCIÓN DE OBRA INSTALACIÓN VENTANAS C.C. JOSÉ LUIS MOSQUERA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2260"/>
    <s v="AD"/>
    <d v="2022-01-31T00:00:00"/>
    <n v="22022001700"/>
    <s v="2022 10 2412 22110"/>
    <n v="100"/>
    <x v="540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1617"/>
    <s v="AD"/>
    <d v="2022-01-26T00:00:00"/>
    <n v="22022001250"/>
    <s v="2022 10 2412 22103"/>
    <n v="2090.5100000000002"/>
    <x v="61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68243"/>
    <s v="AD"/>
    <d v="2022-02-28T00:00:00"/>
    <n v="22021007331"/>
    <s v="2022 03 9241 633"/>
    <n v="15028.2"/>
    <x v="634"/>
    <s v="SUMINISTRO E INSTALACIÓN DE CALDERA DE CONDENSACIÓN DE GAS EN CM PUENTE DUERO"/>
    <s v="220"/>
    <s v="VALLADOLID"/>
    <s v="VALLADOL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3"/>
  </r>
  <r>
    <n v="220220013162"/>
    <s v="D"/>
    <d v="2022-03-29T00:00:00"/>
    <n v="22022000684"/>
    <s v="2022 11 1321 213"/>
    <n v="8985.25"/>
    <x v="634"/>
    <s v="PRESTACIONES BÁSICAS MANTENIM. Y CONSERV. INST. TÉRMICAS EDIFICIOS  POLICIA DEL  1-3-2022 AL 31-12-2022.  LOTE 1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0013163"/>
    <s v="D"/>
    <d v="2022-03-29T00:00:00"/>
    <n v="22022000685"/>
    <s v="2022 11 1321 213"/>
    <n v="6250"/>
    <x v="634"/>
    <s v="PREST. ACCESORIAS (REPAR. Y MATERIAL) MANTEN. Y CONSERV. INSTAL.  TÉRMICAS POLICÍA DEL 1-3-2022 AL 31-12-2022-. LOTE 1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0003934"/>
    <s v="AD"/>
    <d v="2022-02-17T00:00:00"/>
    <n v="22022002322"/>
    <s v="2022 11 1621 213"/>
    <n v="3000"/>
    <x v="634"/>
    <s v="MANTENIMIENTO DE LAS INSTALACIONES DE CALEFACCIÓN, CLIMATIZACIÓN Y ACS DEL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0390"/>
    <s v="AD"/>
    <d v="2022-01-25T00:00:00"/>
    <n v="22022000358"/>
    <s v="2022 10 2312 213"/>
    <n v="2758.8"/>
    <x v="634"/>
    <s v="CONTRATO DE MANTENIMIENTO DE CALEFACCIÓN PARA CPM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1"/>
    <s v="AD"/>
    <d v="2022-01-25T00:00:00"/>
    <n v="22022000378"/>
    <s v="2022 10 2312 213"/>
    <n v="2758.8"/>
    <x v="634"/>
    <s v="CONTRATO DE MANTENIMIENTO DE CALEFACCIÓN PARA CPM 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6"/>
    <s v="AD"/>
    <d v="2022-01-25T00:00:00"/>
    <n v="22022000322"/>
    <s v="2022 10 2311 213"/>
    <n v="2032.8"/>
    <x v="634"/>
    <s v="CONTRATO DE MANTENIMIENTO DE CALEFACCIÓN PARA LOS CEA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1612"/>
    <s v="AD"/>
    <d v="2022-01-26T00:00:00"/>
    <n v="22022001549"/>
    <s v="2022 10 2312 213"/>
    <n v="1331"/>
    <x v="634"/>
    <s v="BOMBA DE CALEFACCION PARA EL CPM ZONA ESTE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37"/>
    <s v="AD"/>
    <d v="2022-01-24T00:00:00"/>
    <n v="22022000730"/>
    <s v="2022 11 1361 213"/>
    <n v="1016.4"/>
    <x v="634"/>
    <s v="SERVICIO MANTENIMIENTO Y CONSERVACION DE INSTALACIONES DE CLIMATIZACIÓN DE PARQUES DE BOMBEROS/1ER. TRIMESTRE/SEISPC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3"/>
  </r>
  <r>
    <n v="220220012367"/>
    <s v="AD"/>
    <d v="2022-03-23T00:00:00"/>
    <n v="22022002608"/>
    <s v="2022 10 2312 213"/>
    <n v="580.79999999999995"/>
    <x v="634"/>
    <s v="SUMINISTRO DE VASO DE EXPANSION PARA LA CALEFACCION DEL CPM DELICIAS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5"/>
    <s v="AD"/>
    <d v="2022-01-25T00:00:00"/>
    <n v="22022000309"/>
    <s v="2022 10 2311 213"/>
    <n v="290.39999999999998"/>
    <x v="634"/>
    <s v="CONTRATO DE MANTENIMIENTO DE CALEFACCIÓN PARA COMEDOR SOCIAL Y CAI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6378"/>
    <s v="AD"/>
    <d v="2022-02-25T00:00:00"/>
    <n v="22022002452"/>
    <s v="2022 05 4331 213"/>
    <n v="181.5"/>
    <x v="634"/>
    <s v="TRASLADO UBICACIÓN TERMOSTATO EN LA AGENCIA DE INNOVACIÓN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3"/>
  </r>
  <r>
    <n v="220220013100"/>
    <s v="D"/>
    <d v="2022-03-29T00:00:00"/>
    <n v="22022001178"/>
    <s v="2022 10 2311 212"/>
    <n v="175.45"/>
    <x v="634"/>
    <s v="F-3054. TAHE. ACTUADOR DESMONTABLE Y CUERPO VÁLVULA DE ZONA EN EL CEAS DELICIAS. DÍA: 16-FEB-2022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2895"/>
    <s v="AD"/>
    <d v="2022-03-28T00:00:00"/>
    <n v="22022002975"/>
    <s v="2022 10 2312 213"/>
    <n v="128.26"/>
    <x v="634"/>
    <s v="SUMINISTRO DE DIFERENCIAL PARA EL CPM DELICIAS Y TERMOHIDRÓMETRO PARA LA CALDERA DELCPM FRAY LUIS DE LEON- DURAC.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3755"/>
    <s v="D"/>
    <d v="2022-02-16T00:00:00"/>
    <n v="22022001178"/>
    <s v="2022 10 2311 212"/>
    <n v="91.96"/>
    <x v="634"/>
    <s v="F-745.TAHE. SUSTITUCIÓN DE TERMOSTATO. EAF Y CEAS PAJARILLOS (C/ PATO, Nº 3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2895"/>
    <s v="AD"/>
    <d v="2022-03-28T00:00:00"/>
    <n v="22022002976"/>
    <s v="2022 10 2312 213"/>
    <n v="58.08"/>
    <x v="634"/>
    <s v="SUMINISTRO DE DIFERENCIAL PARA EL CPM DELICIAS Y TERMOHIDRÓMETRO PARA LA CALDERA DELCPM FRAY LUIS DE LEON- DURAC.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2770"/>
    <s v="AD"/>
    <d v="2022-03-24T00:00:00"/>
    <n v="22022002938"/>
    <s v="2022 05 4331 212"/>
    <n v="56.87"/>
    <x v="634"/>
    <s v="DESMONTAJE DE DIFUSOR DE AIRE Y CAJON DE FIBRA PARA BUSCAR GOTERA DE AGUA. AÑO 2022. GOTERA AGENCIA DE INNOVACION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2"/>
  </r>
  <r>
    <n v="220220002774"/>
    <s v="AD"/>
    <d v="2022-02-08T00:00:00"/>
    <n v="22022001915"/>
    <s v="2022 10 2312 213"/>
    <n v="41.14"/>
    <x v="634"/>
    <s v="SUSTITUCION DE PURGADOR EN SALA DE CALDERA DEL CPM DELICIAS Y REVISION DE FALCOIL Y SUSTITUCION LATIGULLODEL CPM Z. SUR-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2774"/>
    <s v="AD"/>
    <d v="2022-02-08T00:00:00"/>
    <n v="22022001914"/>
    <s v="2022 10 2312 213"/>
    <n v="18.149999999999999"/>
    <x v="634"/>
    <s v="SUSTITUCION DE PURGADOR EN SALA DE CALDERA DEL CPM DELICIAS Y REVISION DE FALCOIL Y SUSTITUCION LATIGULLODEL CPM Z. SUR-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2260"/>
    <s v="AD"/>
    <d v="2022-01-31T00:00:00"/>
    <n v="22022001702"/>
    <s v="2022 10 2412 22110"/>
    <n v="100"/>
    <x v="540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1615"/>
    <s v="AD"/>
    <d v="2022-01-26T00:00:00"/>
    <n v="22022001612"/>
    <s v="2022 11 1621 212"/>
    <n v="96.8"/>
    <x v="493"/>
    <s v="REPARACIÓN EN INSTALACIÓN ELÉCTRICA EN NAVE PARKING VEHÍCULOS DEL SERVICIO DE LIMPIEZA EN C/ TOPACIO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09000685"/>
    <s v="AD"/>
    <d v="2022-01-01T00:00:00"/>
    <n v="22022000239"/>
    <s v="2022 06 3261 22103"/>
    <n v="1300"/>
    <x v="616"/>
    <s v="CONTRATO SUMINISTRO DE GASOLEO. SUMINISTRO CENTRALIZADO. AÑOS 2021 Y 2022. VEHICULO VINCULADO A LA CONCEJALIA EDUCACION"/>
    <s v="220"/>
    <s v="MADRID"/>
    <s v="MADRID"/>
    <x v="3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103"/>
  </r>
  <r>
    <n v="220220012355"/>
    <s v="AD"/>
    <d v="2022-03-23T00:00:00"/>
    <n v="22022002583"/>
    <s v="2022 02 9331 22000"/>
    <n v="84.64"/>
    <x v="607"/>
    <s v="ADQUISICIÓN CINCO ALFOMBRILLAS REPOSAMANOS TECLADO ORDENADOR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1"/>
    <s v="9331. Gestión del patrimonio"/>
    <s v="22"/>
    <s v="22000"/>
  </r>
  <r>
    <n v="220210078788"/>
    <s v="AD"/>
    <d v="2022-02-28T00:00:00"/>
    <n v="22021007319"/>
    <s v="2022 03 9241 632"/>
    <n v="84.54"/>
    <x v="496"/>
    <s v="DIRECCIÓN DE OBRA: REPARACIÓN FILTRACIONES DE AGUA C.C. JOSÉ MARÍA LUELMO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1617"/>
    <s v="AD"/>
    <d v="2022-01-26T00:00:00"/>
    <n v="22022001251"/>
    <s v="2022 10 2412 22103"/>
    <n v="868.4"/>
    <x v="61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5216"/>
    <s v="AD"/>
    <d v="2022-02-22T00:00:00"/>
    <n v="22022002303"/>
    <s v="2022 03 9241 212"/>
    <n v="81.23"/>
    <x v="635"/>
    <s v="SUMINISTRO PIEDRA DE CAMPASPERO PARA REPARACIÓN PELDAÑO EN CM PUENTE DUERO"/>
    <s v="220"/>
    <s v="PEÑAFIEL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1617"/>
    <s v="AD"/>
    <d v="2022-01-26T00:00:00"/>
    <n v="22022001249"/>
    <s v="2022 10 2412 22103"/>
    <n v="529.95000000000005"/>
    <x v="61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1617"/>
    <s v="AD"/>
    <d v="2022-01-26T00:00:00"/>
    <n v="22022000211"/>
    <s v="2022 10 2412 22103"/>
    <n v="511.14"/>
    <x v="61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2395"/>
    <s v="ADO"/>
    <d v="2022-02-02T00:00:00"/>
    <n v="22022001262"/>
    <s v="2022 11 1351 224"/>
    <n v="72.81"/>
    <x v="636"/>
    <s v="EMBARCACIONES DEPORTIVAS/ PÓLIZA&quot;&quot;:0631770003062 / CHD - 9219||&quot;&quot;RIESGO&quot;&quot;: VANDUARD D / PERIODO: DE 01-01-22 AL 01-01-23/"/>
    <s v="240"/>
    <s v="MAJADAHONDA"/>
    <s v="MADRID"/>
    <x v="0"/>
    <s v="PrAbier - Procedimiento Abierto"/>
    <s v="MultiC - MultiCriterio"/>
    <x v="0"/>
    <x v="0"/>
    <s v="2"/>
    <s v="2. Gastos corrientes en bienes y servicios"/>
    <s v="11"/>
    <x v="6"/>
    <s v="1351"/>
    <s v="1351. Protección civil"/>
    <s v="22"/>
    <s v="224"/>
  </r>
  <r>
    <n v="220220002396"/>
    <s v="ADO"/>
    <d v="2022-02-02T00:00:00"/>
    <n v="22022001263"/>
    <s v="2022 11 1351 224"/>
    <n v="72.81"/>
    <x v="636"/>
    <s v="EMBARCACIONES DEPORTIVAS/ PÓLIZA&quot;&quot;:0631770004865/ MATRICULA:En trámite/ RIESGO&quot;&quot;: ZODIAC PRO 470 / DEL 01-01-22 A 01-01-23"/>
    <s v="240"/>
    <s v="MAJADAHONDA"/>
    <s v="MADRID"/>
    <x v="0"/>
    <s v="PrAbier - Procedimiento Abierto"/>
    <s v="MultiC - MultiCriterio"/>
    <x v="0"/>
    <x v="0"/>
    <s v="2"/>
    <s v="2. Gastos corrientes en bienes y servicios"/>
    <s v="11"/>
    <x v="6"/>
    <s v="1351"/>
    <s v="1351. Protección civil"/>
    <s v="22"/>
    <s v="224"/>
  </r>
  <r>
    <n v="220220006736"/>
    <s v="AD"/>
    <d v="2022-03-01T00:00:00"/>
    <n v="22022002521"/>
    <s v="2022 06 3231 212"/>
    <n v="66.55"/>
    <x v="591"/>
    <s v="SUMINISTRO PIEZA PARA CARPINTERÍA METÁLICA. RETENEDOR COMPÁS EXTENSIBLE. EIM CASCANUECES. EJECUCIÓN 1 DÍA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7925"/>
    <s v="AD"/>
    <d v="2022-03-07T00:00:00"/>
    <n v="22022002566"/>
    <s v="2022 09 3341 22701"/>
    <n v="47.57"/>
    <x v="428"/>
    <s v="CONTRATO DE SUMINISTRO DE 2 LLAVES ELECTRONICAS DE LA ALARMA DE GALERIAS VA"/>
    <s v="220"/>
    <s v="VALLADOLID"/>
    <s v="VALLADOLID"/>
    <x v="3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05927"/>
    <s v="AD"/>
    <d v="2022-02-24T00:00:00"/>
    <n v="22022002336"/>
    <s v="2022 10 2316 22699"/>
    <n v="948"/>
    <x v="637"/>
    <s v="Adquisición 15 guitarras clásicas para Taller de Percusión en CIC Santiago López - Aula Intercultural - Plan de Conviv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20001616"/>
    <s v="AD/"/>
    <d v="2022-01-26T00:00:00"/>
    <n v="22022000211"/>
    <s v="2022 10 2412 22103"/>
    <n v="-4000"/>
    <x v="616"/>
    <s v="SUMINISTRO DE GASÓLEO PARA VEHÍCULOS DEL CENTRO DE FORMACIÓN PARA EL EMPLEO &quot;&quot;JACINTO BENAVENTE&quot;&quot;. AÑO 2021 Y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7943"/>
    <s v="AD"/>
    <d v="2022-03-08T00:00:00"/>
    <n v="22022002614"/>
    <s v="2022 03 9241 213"/>
    <n v="29.23"/>
    <x v="428"/>
    <s v="LLAVE ELECTRÓNICA DE SEGURIDAD CON NUMERACIÓN USUARIO ICQ2 CIC SANTIAGO LÓPEZ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13186"/>
    <s v="AD"/>
    <d v="2022-03-30T00:00:00"/>
    <n v="22022003054"/>
    <s v="2022 11 3111 22199"/>
    <n v="29.23"/>
    <x v="428"/>
    <s v="LLAVE ALARMA CENTRO MUNICIPAL DE PROTECCION ANIMAL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10077822"/>
    <s v="AD"/>
    <d v="2022-03-11T00:00:00"/>
    <n v="22021008222"/>
    <s v="2022 11 1361 623"/>
    <n v="10.82"/>
    <x v="638"/>
    <s v="Equipos y materiales para intervención en rescates a diferente altura; SEISYPC."/>
    <s v="220"/>
    <s v="BEJAR"/>
    <s v="SALAMANCA"/>
    <x v="3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19001070"/>
    <s v="AD"/>
    <d v="2022-01-01T00:00:00"/>
    <n v="22022000492"/>
    <s v="2022 08 1651 213"/>
    <n v="51576.27"/>
    <x v="639"/>
    <s v="Adjudicación Suministro de material fungible para instalaciones de Alumbrado Público. LOTE 2  SEMEU 28/2021.-"/>
    <s v="220"/>
    <s v="LEGANES"/>
    <s v="MADRID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1"/>
    <s v="213"/>
  </r>
  <r>
    <n v="220220000402"/>
    <s v="AD"/>
    <d v="2022-01-25T00:00:00"/>
    <n v="22022000031"/>
    <s v="2022 10 2412 213"/>
    <n v="641.96"/>
    <x v="428"/>
    <s v="CONTRATO MANTENIMIENTO DEL SISTEMA DE SEGURIDAD Y VIDEO-VIGILANCIA DEL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09000120"/>
    <s v="AD"/>
    <d v="2022-01-01T00:00:00"/>
    <n v="22022000175"/>
    <s v="2022 05 4331 22799"/>
    <n v="347.6"/>
    <x v="640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03541"/>
    <s v="ADO"/>
    <d v="2022-02-15T00:00:00"/>
    <n v="22022001839"/>
    <s v="2022 05 4331 22799"/>
    <n v="347.6"/>
    <x v="640"/>
    <s v="AUDITORIA 1º NIVEL - PROY. EUROPEO CIUDADES VERDES &quot;&quot;0485 CIUDADES CENCYL 3 E&quot;&quot; POCTEP INTERREG. ESP-PORTGL (3º JUSTIFIC.)"/>
    <s v="24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12892"/>
    <s v="AD"/>
    <d v="2022-03-28T00:00:00"/>
    <n v="22022002849"/>
    <s v="2022 06 3232 213"/>
    <n v="300"/>
    <x v="428"/>
    <s v="SUSTITUCIÓN DE PIEZAS Y LLAVES DE LOS SISTEMAS DE SEGURIDAD DE LOS COLEGIOS PÚBLICOS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0030272"/>
    <s v="AD"/>
    <d v="2022-03-11T00:00:00"/>
    <n v="22021004358"/>
    <s v="2022 07 1711 619"/>
    <n v="278.86"/>
    <x v="366"/>
    <s v="COORDINACION SEGURIDAD Y SALUD, OBRA REMODELACION PARQUE ALAMEDA COMO ESPACIO VERDE MULTIFUNCIONAL."/>
    <s v="220"/>
    <s v="MADRID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0403"/>
    <s v="AD"/>
    <d v="2022-01-25T00:00:00"/>
    <n v="22022000033"/>
    <s v="2022 10 2412 213"/>
    <n v="266.67"/>
    <x v="428"/>
    <s v="CONTRATO MANTENIMIENTO DE SEGURIDAD Y VIDEO-VIGILANCIA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9001147"/>
    <s v="AD"/>
    <d v="2022-01-01T00:00:00"/>
    <n v="22022000526"/>
    <s v="2022 10 2312 216"/>
    <n v="266.58999999999997"/>
    <x v="461"/>
    <s v="AMPLIACION MTO. Y REPARACION DE EQ. INFORMATICOS DE CPM LA VICTORIA, (1-ENE A 28-FEB). EXPTE. 12/19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20000338"/>
    <s v="AD"/>
    <d v="2022-01-24T00:00:00"/>
    <n v="22022001166"/>
    <s v="2022 10 2412 22199"/>
    <n v="112.51"/>
    <x v="641"/>
    <s v="CIRCULOS CROMATICOS, 15 UNID. PARA LOS ALUMNOS DEL CURSO DE PINTURA DECORAT. IV DELC. DE F. PARA EL EMPLEO- DURAC 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7929"/>
    <s v="AD"/>
    <d v="2022-03-07T00:00:00"/>
    <n v="22022002599"/>
    <s v="2022 02 9332 213"/>
    <n v="252.19"/>
    <x v="246"/>
    <s v="REPARACIÓN SISTEMA CLIMATIZACIÓN EN EL ARCHIVO MUNICIPAL"/>
    <s v="22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0341"/>
    <s v="AD"/>
    <d v="2022-01-24T00:00:00"/>
    <n v="22022001238"/>
    <s v="2022 10 2412 22199"/>
    <n v="2750"/>
    <x v="64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19001133"/>
    <s v="AD"/>
    <d v="2022-01-01T00:00:00"/>
    <n v="22022000296"/>
    <s v="2022 07 1721 213"/>
    <n v="234.86"/>
    <x v="473"/>
    <s v="Contrato extintores Servicio de Medio Ambiente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10041558"/>
    <s v="AD"/>
    <d v="2022-03-11T00:00:00"/>
    <n v="22021002556"/>
    <s v="2022 11 3111 632"/>
    <n v="220.53"/>
    <x v="386"/>
    <s v="CONTRATO DE OBRAS DE REFORMA DEL CENTRO MUNICIPAL DE PROTECCION ANIMAL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3111"/>
    <s v="3111. Protección de la salubridad pública"/>
    <s v="63"/>
    <s v="632"/>
  </r>
  <r>
    <n v="220219000660"/>
    <s v="AD"/>
    <d v="2022-01-01T00:00:00"/>
    <n v="22022002213"/>
    <s v="2022 08 1341 619"/>
    <n v="116666.68"/>
    <x v="643"/>
    <s v="PRÓRROGA LOTE 1 SEÑALIZACIÓN VERTICAL &quot;&quot;CONTRATO SEÑALIZACIÓN VIAL EN VALLADOLID&quot;&quot; EXP 11/2018 (PS 1) Enero-Julio 2022"/>
    <s v="220"/>
    <s v="GUARROMAN"/>
    <s v="JAEN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5791"/>
    <s v="AD"/>
    <d v="2022-02-23T00:00:00"/>
    <n v="22022002304"/>
    <s v="2022 02 9332 212"/>
    <n v="208.73"/>
    <x v="246"/>
    <s v="REPARACION ACUMULADOR HIDRONEUMÁTICO- CASA CONSISTORIAL"/>
    <s v="22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2264"/>
    <s v="AD"/>
    <d v="2022-01-31T00:00:00"/>
    <n v="22022001745"/>
    <s v="2022 10 2312 213"/>
    <n v="208.59"/>
    <x v="428"/>
    <s v="MANTENIMIENTO DURANTE 2022 DE LAS CAMARAS EXTERIORES DEL CPM DELICIAS Y HUERTA DEL REY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19000435"/>
    <s v="AD"/>
    <d v="2022-01-01T00:00:00"/>
    <n v="22022000558"/>
    <s v="2022 01 9312 22706"/>
    <n v="2722.5"/>
    <x v="144"/>
    <s v="REAJUSTE ANUALIDADES CONTRATO MANTENIMIENTO Y ASISTENCIA TECNICA APLICACION DE CONTABILIDAD ANALITICA (ANUALIDAD 2022)"/>
    <s v="220"/>
    <s v="ECIJA"/>
    <s v="SEVILLA"/>
    <x v="0"/>
    <s v="PrNegSP - Procedimiento Negociado Sin Publicidad"/>
    <s v="SinC - Sin Criterio"/>
    <x v="3"/>
    <x v="0"/>
    <s v="2"/>
    <s v="2. Gastos corrientes en bienes y servicios"/>
    <s v="01"/>
    <x v="9"/>
    <s v="9312"/>
    <s v="9312. Intervención general"/>
    <s v="22"/>
    <s v="22706"/>
  </r>
  <r>
    <n v="220199000159"/>
    <s v="AD"/>
    <d v="2022-01-01T00:00:00"/>
    <n v="22022000153"/>
    <s v="2022 10 2311 22706"/>
    <n v="2016.64"/>
    <x v="542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10"/>
    <x v="0"/>
    <s v="2311"/>
    <s v="2311. Intervención social"/>
    <s v="22"/>
    <s v="22706"/>
  </r>
  <r>
    <n v="220220003791"/>
    <s v="D"/>
    <d v="2022-02-16T00:00:00"/>
    <n v="22022002149"/>
    <s v="2022 06 3321 629"/>
    <n v="1362.23"/>
    <x v="644"/>
    <s v="SUMINISTRO DE DIFERENTES EJEMPLARES ///  DESTINO: BIBLIOTECAS PUBLICAS MUNICIPALES"/>
    <s v="300"/>
    <s v="SANTANDER"/>
    <s v="SANTANDER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10056286"/>
    <s v="AD"/>
    <d v="2022-02-28T00:00:00"/>
    <n v="22021005169"/>
    <s v="2022 08 1341 619"/>
    <n v="4527.5600000000004"/>
    <x v="643"/>
    <s v="PRÓRROGA LOTE 1 SEÑALIZACIÓN VERTICAL &quot;&quot;CONTRATO SEÑALIZACIÓN VIAL DE VALLADOLID&quot;&quot;_ EXP 11/2018 (P.S Nº 1)_Agosto-Dic'2021"/>
    <s v="220"/>
    <s v="GUARROMAN"/>
    <s v="JAEN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0341"/>
    <s v="AD"/>
    <d v="2022-01-24T00:00:00"/>
    <n v="22022001239"/>
    <s v="2022 10 2412 22199"/>
    <n v="1750"/>
    <x v="64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2264"/>
    <s v="AD"/>
    <d v="2022-01-31T00:00:00"/>
    <n v="22022001746"/>
    <s v="2022 10 2312 213"/>
    <n v="208.58"/>
    <x v="428"/>
    <s v="MANTENIMIENTO DURANTE 2022 DE LAS CAMARAS EXTERIORES DEL CPM DELICIAS Y HUERTA DEL REY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41"/>
    <s v="AD"/>
    <d v="2022-01-24T00:00:00"/>
    <n v="22022001237"/>
    <s v="2022 10 2412 22199"/>
    <n v="1000"/>
    <x v="64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0341"/>
    <s v="AD"/>
    <d v="2022-01-24T00:00:00"/>
    <n v="22022001240"/>
    <s v="2022 10 2412 22199"/>
    <n v="500"/>
    <x v="64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19001139"/>
    <s v="AD"/>
    <d v="2022-01-01T00:00:00"/>
    <n v="22022000302"/>
    <s v="2022 10 2412 213"/>
    <n v="207.08"/>
    <x v="534"/>
    <s v="mant. inst.proteccion contra incendios C.FORM.EMPLO JAC.BENAV.AÑO 22 (L4:514-L5:255)-AÑO 23Y24 L4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7104"/>
    <s v="AD"/>
    <d v="2022-03-03T00:00:00"/>
    <n v="22022002523"/>
    <s v="2022 10 2311 22699"/>
    <n v="200"/>
    <x v="645"/>
    <s v="Compra de pequeños electrodomésticos para los proyectos socioeducativos de los CEAS Rondilla y Ceas Belén Pilarica.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4094"/>
    <s v="D"/>
    <d v="2022-02-18T00:00:00"/>
    <n v="22022001643"/>
    <s v="2022 06 3321 212"/>
    <n v="193.6"/>
    <x v="353"/>
    <s v="IID 4P 40A 30MA A-SI (1 UNIDAD) ///  DESTINO: BIBLIOTECAS PUBLICAS"/>
    <s v="300"/>
    <s v="BARCELONA"/>
    <s v="BARCELONA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19000218"/>
    <s v="AD"/>
    <d v="2022-01-01T00:00:00"/>
    <n v="22022000051"/>
    <s v="2022 03 9241 22700"/>
    <n v="5009.3999999999996"/>
    <x v="317"/>
    <s v="LOTE 6: CONTROL DE PLAGAS, DESINSECTACIÓN EDIFICIOS DEPENDIENTES SERVICIO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00"/>
  </r>
  <r>
    <n v="220219000527"/>
    <s v="AD"/>
    <d v="2022-01-01T00:00:00"/>
    <n v="22022001995"/>
    <s v="2022 04 9204 641"/>
    <n v="11664.4"/>
    <x v="145"/>
    <s v="SISTEMA DE GESTIÓN DE INVENTARIO Y DE CARTOGRAFÍA: INVEN Y e-Map, LOTE 3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09000747"/>
    <s v="AD"/>
    <d v="2022-01-01T00:00:00"/>
    <n v="22022000268"/>
    <s v="2022 06 3232 213"/>
    <n v="1167.8800000000001"/>
    <x v="646"/>
    <s v="CTTO MANTENIMIENTO ASCENSORES COLEGIOS MUNICIPALES 2021 Y 2022 LOTE 4 INSPECCION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56"/>
    <s v="AD"/>
    <d v="2022-01-01T00:00:00"/>
    <n v="22022000277"/>
    <s v="2022 02 9332 213"/>
    <n v="64.89"/>
    <x v="646"/>
    <s v="ADJ. EXPTE. INSPECCIÓN TÉCNICA ASCENSORES URBANISMO (OCAS) LOTE 4"/>
    <s v="220"/>
    <s v="TRES CANTOS"/>
    <s v="MADR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09000749"/>
    <s v="AD"/>
    <d v="2022-01-01T00:00:00"/>
    <n v="22022000270"/>
    <s v="2022 06 3261 213"/>
    <n v="64.88"/>
    <x v="646"/>
    <s v="CTTO MANTENIMIENTO ASCENSORES EM MUSICA MARIANO DE LAS HERAS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09000754"/>
    <s v="AD"/>
    <d v="2022-01-01T00:00:00"/>
    <n v="22022000275"/>
    <s v="2022 06 2314 213"/>
    <n v="64.88"/>
    <x v="646"/>
    <s v="CTTO MANTENIMIENTO ASCENSORES ESPACIO JOVEN NORTE Y SUR 2021 Y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09000751"/>
    <s v="AD"/>
    <d v="2022-01-01T00:00:00"/>
    <n v="22022000272"/>
    <s v="2022 06 3231 213"/>
    <n v="0.01"/>
    <x v="646"/>
    <s v="CTTO MANTENIMIENTO ASCENSORES EIM LA COMETA 2021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0000401"/>
    <s v="AD"/>
    <d v="2022-01-25T00:00:00"/>
    <n v="22022000023"/>
    <s v="2022 10 2412 213"/>
    <n v="162.74"/>
    <x v="428"/>
    <s v="CONTRATO MANTENIMIENTO DEL SISTEMA DE SEGURIDAD Y VIDEO-VIGILANCIA DEL CFE &quot;&quot;JACINTO BENAVENTE&quot;&quot;, PROG. PARQUES Y JARDINE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4"/>
    <s v="AD"/>
    <d v="2022-01-25T00:00:00"/>
    <n v="22022000057"/>
    <s v="2022 10 2412 213"/>
    <n v="156.94999999999999"/>
    <x v="428"/>
    <s v="CONTRATO MANTENIMIENTO DEL SISTEMA DE SEGURIDAD Y VIDEO-VIGILANCIA D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6720"/>
    <s v="AD"/>
    <d v="2022-02-28T00:00:00"/>
    <n v="22021000726"/>
    <s v="2022 06 3321 622"/>
    <n v="118.26"/>
    <x v="366"/>
    <s v="EXPTE. 10S-SS-55/20. ESTUDIO DE SEGURIDAD Y SALUD. OBRA NUEVA. BIBLIOTECA EN PARCELA 143 F DE PAQUESOL. AÑOS 2021 Y 2022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3551"/>
    <s v="D"/>
    <d v="2022-02-15T00:00:00"/>
    <n v="22022001628"/>
    <s v="2022 03 9241 213"/>
    <n v="113.26"/>
    <x v="353"/>
    <s v="PANELTECH HP A 1848 33W 4K CELL BLANCO UGR&lt;19 (4) // PARTICIPACIÓN CIUDADANA CC JOSÉ Mª LUELMO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19000227"/>
    <s v="AD"/>
    <d v="2022-01-01T00:00:00"/>
    <n v="22022000415"/>
    <s v="2022 04 9204 22200"/>
    <n v="59506.41"/>
    <x v="647"/>
    <s v="SERVICIO DE TELECOMUNICACIONES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19000224"/>
    <s v="AD"/>
    <d v="2022-01-01T00:00:00"/>
    <n v="22022000412"/>
    <s v="2022 03 9241 22200"/>
    <n v="9252.86"/>
    <x v="647"/>
    <s v="PRÓRROGA SERVICIO DE TELEFONÍA FIJA Y MÓVIL DEL CENTRO DE PARTICIPACIÓN CIUDADANA"/>
    <s v="220"/>
    <s v="MADRID"/>
    <s v="MADRID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200"/>
  </r>
  <r>
    <n v="220219000230"/>
    <s v="AD"/>
    <d v="2022-01-01T00:00:00"/>
    <n v="22022000418"/>
    <s v="2022 10 2311 22200"/>
    <n v="5760.2"/>
    <x v="647"/>
    <s v="PRORROGA CONTRATO COMUNICACIONES SERV.INTERVENCION SOCIAL HASTA ADJUDICNUEVO CONTRATO. RESTO CEAS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19000221"/>
    <s v="AD"/>
    <d v="2022-01-01T00:00:00"/>
    <n v="22022000409"/>
    <s v="2022 10 2312 22200"/>
    <n v="4006.26"/>
    <x v="647"/>
    <s v="PRORROGA CONTRATO TELECOMUNICACIONES HASTA ADJUDICACION NUEVO CONTRA- CPM TRANSFERIDOS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9000228"/>
    <s v="AD"/>
    <d v="2022-01-01T00:00:00"/>
    <n v="22022000416"/>
    <s v="2022 11 1321 22200"/>
    <n v="3218.84"/>
    <x v="647"/>
    <s v="CONTRATO TELECOMUNICACIONES LOTE Nº 1 p. 26/2014. P. TRANSITORIO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200"/>
  </r>
  <r>
    <n v="220219000222"/>
    <s v="AD"/>
    <d v="2022-01-01T00:00:00"/>
    <n v="22022000410"/>
    <s v="2022 10 2312 22200"/>
    <n v="3035.16"/>
    <x v="647"/>
    <s v="PRORROGA CONTRATO TELECOMUNICACIONES HASTA ADJUDICACION NUEVO CONTRATO - CPM SIN  TRANSFERIR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9000220"/>
    <s v="AD"/>
    <d v="2022-01-01T00:00:00"/>
    <n v="22022000408"/>
    <s v="2022 05 4331 22200"/>
    <n v="1759.68"/>
    <x v="647"/>
    <s v="Prorroga de Contrato de Telecomunicasiones (SE PC-40/2016) - Ejercicio 2022 -  Agencia de Innovación"/>
    <s v="220"/>
    <s v="MADRID"/>
    <s v="MADR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200"/>
  </r>
  <r>
    <n v="220220005784"/>
    <s v="AD"/>
    <d v="2022-02-23T00:00:00"/>
    <n v="22022002353"/>
    <s v="2022 06 3231 22602"/>
    <n v="72.599999999999994"/>
    <x v="427"/>
    <s v="ADAPTACION FOLLETO ESCUELAS INFANTILES MUNICIPALES PARA LA ESCOLARIZACIÓN DEL NUEVO CURSO 2022-2023. 1 DÍA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02"/>
  </r>
  <r>
    <n v="220220012358"/>
    <s v="AD"/>
    <d v="2022-03-23T00:00:00"/>
    <n v="22022002920"/>
    <s v="2022 02 9332 213"/>
    <n v="100.79"/>
    <x v="260"/>
    <s v="SUMINISTRO Y SUSTITUCIÓN DEL VENTILADOR DEL MOTOR  DE EXTRACCIÓN DE  VIRUTA DEL TALLER DE CARPINTERÍA DEL CMEI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3796"/>
    <s v="D"/>
    <d v="2022-02-16T00:00:00"/>
    <n v="22022002150"/>
    <s v="2022 06 3321 629"/>
    <n v="87.65"/>
    <x v="648"/>
    <s v="FRENCH EXIT / FRITZI: UN CUENTO / HELLO WORLD // TOTAL: 6 // MONASTERIO DE SAN BENITO // MES DE FEBRERO 2022"/>
    <s v="300"/>
    <s v="BARCELONA"/>
    <s v="BARCELONA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20009503"/>
    <s v="D"/>
    <d v="2022-03-16T00:00:00"/>
    <n v="22022001449"/>
    <s v="2022 02 9332 212"/>
    <n v="80.95"/>
    <x v="353"/>
    <s v="PANELTECH HP A 1848 33W 4K CELL BLANCO UGR&lt;19  (2 UNIDADES) /// DESTINO.: MANTENIMIENTO DE EDIF. E INST. MPALES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1659"/>
    <s v="ADO"/>
    <d v="2022-01-27T00:00:00"/>
    <n v="22022001498"/>
    <s v="2022 06 3261 213"/>
    <n v="64.28"/>
    <x v="16"/>
    <s v="MNTO CENTRO APRENDIZAJE A LO LARGO DE LA VIDA// MES DE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3855"/>
    <s v="AD"/>
    <d v="2022-02-16T00:00:00"/>
    <n v="22022002269"/>
    <s v="2022 09 3341 22699"/>
    <n v="62.92"/>
    <x v="649"/>
    <s v="REALIZACION PLACA VALLADOLID CITY OF FILM UNESCO. FEBRERO 2022"/>
    <s v="220"/>
    <s v="MEDINA DE RIOSECO"/>
    <s v="VALLADOLID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99"/>
  </r>
  <r>
    <n v="220200044944"/>
    <s v="AD"/>
    <d v="2022-02-28T00:00:00"/>
    <n v="22020003695"/>
    <s v="2022 06 3321 622"/>
    <n v="63.74"/>
    <x v="366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7395"/>
    <s v="AD"/>
    <d v="2022-03-04T00:00:00"/>
    <n v="22022002553"/>
    <s v="2022 03 9241 22199"/>
    <n v="53.36"/>
    <x v="641"/>
    <s v="SUMINISTRO DE PEQUEÑO MATERIAL PARA ACTIVIDADES EN CC ESGUEVA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226"/>
    <s v="AD"/>
    <d v="2022-01-01T00:00:00"/>
    <n v="22022000414"/>
    <s v="2022 06 3232 22200"/>
    <n v="888.27"/>
    <x v="647"/>
    <s v="EXPTE P 26/2014. CONTINUIDAD SERVICIOS VINCULADOS CON CONTRATACION SERVICIO DE TELECOMUNICACIONES. PERIODO TRANSFERENCIA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200"/>
  </r>
  <r>
    <n v="220219000229"/>
    <s v="AD"/>
    <d v="2022-01-01T00:00:00"/>
    <n v="22022000417"/>
    <s v="2022 10 2311 22200"/>
    <n v="640"/>
    <x v="647"/>
    <s v="PRORROGA CONTRATO COMUNICACIONES SERV.INTERVENCION SOCIAL HASTA ADJUDICACION NUEVO CONTRATO.COMEDOR SOCIAL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19000223"/>
    <s v="AD"/>
    <d v="2022-01-01T00:00:00"/>
    <n v="22022000411"/>
    <s v="2022 10 2412 22200"/>
    <n v="555.16999999999996"/>
    <x v="647"/>
    <s v="PRORROGA CONTRATO TELECOMUNICACIONES  HASTA ADJUDICACION NUEVO CONTRATO PARAEL  C. DE FORMACION PARA EL EMPLEO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9000225"/>
    <s v="AD"/>
    <d v="2022-01-01T00:00:00"/>
    <n v="22022000413"/>
    <s v="2022 11 1361 22200"/>
    <n v="370.11"/>
    <x v="647"/>
    <s v="Ampliación Expte: 26_2014; Lote 1; Contrato Telecomunicaciones; SEISYPC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200"/>
  </r>
  <r>
    <n v="220220000351"/>
    <s v="AD"/>
    <d v="2022-01-24T00:00:00"/>
    <n v="22022001279"/>
    <s v="2022 10 2412 22200"/>
    <n v="226.7"/>
    <x v="64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1"/>
    <s v="AD"/>
    <d v="2022-01-24T00:00:00"/>
    <n v="22022001280"/>
    <s v="2022 10 2412 22200"/>
    <n v="181.36"/>
    <x v="64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1"/>
    <s v="AD"/>
    <d v="2022-01-24T00:00:00"/>
    <n v="22022001278"/>
    <s v="2022 10 2412 22200"/>
    <n v="147.11000000000001"/>
    <x v="64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0"/>
    <s v="AD/"/>
    <d v="2022-01-24T00:00:00"/>
    <n v="22022000411"/>
    <s v="2022 10 2412 22200"/>
    <n v="-555.16999999999996"/>
    <x v="647"/>
    <s v="PRORROGA CONTRATO TELECOMUNICACIONES  HASTA ADJUDICACION NUEVO CONTRATO PARAEL  C. DE FORMACION PARA EL EMPLEO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10309"/>
    <s v="AD"/>
    <d v="2022-03-21T00:00:00"/>
    <n v="22022002868"/>
    <s v="2022 03 9241 22602"/>
    <n v="51.47"/>
    <x v="650"/>
    <s v="CARTELES A COLOR PARA PUBLICIDAD PROGRAMAS PARTICIPACIÓN CIUDADANA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0339"/>
    <s v="AD"/>
    <d v="2022-01-24T00:00:00"/>
    <n v="22022001168"/>
    <s v="2022 10 2412 22199"/>
    <n v="48.76"/>
    <x v="651"/>
    <s v="CARTULINAS EN COLOR ROSA Y LILA DE DIFERENTES TAMAÑOS PARA EL CURSO DE PINTURA DECORATIVA IV, DEL C.F.E 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09000772"/>
    <s v="AD"/>
    <d v="2022-01-01T00:00:00"/>
    <n v="22022000280"/>
    <s v="2022 09 3341 22700"/>
    <n v="7946.07"/>
    <x v="304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00"/>
  </r>
  <r>
    <n v="220220012882"/>
    <s v="AD"/>
    <d v="2022-03-25T00:00:00"/>
    <n v="22022002914"/>
    <s v="2022 05 4312 22199"/>
    <n v="53.52"/>
    <x v="598"/>
    <s v="SUSTITUCION EN 2022 DE LAS UNIDADES HIGIENICAS AZULES EN C/ HOSTIEROS, S/N"/>
    <s v="220"/>
    <s v="SAN FERNANDO DE HENARES"/>
    <s v="MADR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199"/>
  </r>
  <r>
    <n v="220220006375"/>
    <s v="AD"/>
    <d v="2022-02-25T00:00:00"/>
    <n v="22022002365"/>
    <s v="2022 05 4331 204"/>
    <n v="818.4"/>
    <x v="652"/>
    <s v="ALQUILER BATERIA VEHICULO ELECTRICO RENAULT TWIZY, MATRICULA 2499HKJ, PROPIEDAD DEL AYUNTAMIENTO, PARA EL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4"/>
  </r>
  <r>
    <n v="220210085332"/>
    <s v="AD"/>
    <d v="2022-02-28T00:00:00"/>
    <n v="22021005526"/>
    <s v="2022 02 9332 624"/>
    <n v="56760.74"/>
    <x v="652"/>
    <s v="ADJ.EXPTE.ADQUISICIÓN DE TRES VEHÍCULOS CENTRO DE MANTENIMIENTO EXPTE. 21/2021"/>
    <s v="220"/>
    <s v="VALLADOLID"/>
    <s v="VALLADOLID"/>
    <x v="3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2"/>
    <s v="624"/>
  </r>
  <r>
    <n v="220220004123"/>
    <s v="D"/>
    <d v="2022-02-18T00:00:00"/>
    <n v="22022001453"/>
    <s v="2022 11 1321 214"/>
    <n v="97.72"/>
    <x v="652"/>
    <s v="ACUERDO MARCO. REPARACIÓN DE VEHÍCULO 6230JKP POLICÍA MUNICIPAL. PLETINA ELEVALUNAS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25"/>
    <s v="D"/>
    <d v="2022-02-18T00:00:00"/>
    <n v="22022001453"/>
    <s v="2022 11 1321 214"/>
    <n v="27"/>
    <x v="652"/>
    <s v="ACUERDO MARCO. REPARACIÓN DE VEHÍCULO 3706 KGD DE POLICÍA MUNICIPAL // PLETINA SERVICIOS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4"/>
    <s v="D"/>
    <d v="2022-02-22T00:00:00"/>
    <n v="22022001453"/>
    <s v="2022 11 1321 214"/>
    <n v="70.83"/>
    <x v="652"/>
    <s v="ACUERDO MARCO. REPARACIÓN PALETA DE MANDOS // VEHÍCULO 0649 HHG DE POLICÍ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6"/>
    <s v="D"/>
    <d v="2022-02-22T00:00:00"/>
    <n v="22022001453"/>
    <s v="2022 11 1321 214"/>
    <n v="50.88"/>
    <x v="652"/>
    <s v="ACUERDO MARCO. REPARACIÓN MOTOR ACCIONADOR (1) ///  VEHICULO MATRICULA:  7221-DLS /// POLICIA MUNICI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420"/>
    <s v="D"/>
    <d v="2022-03-11T00:00:00"/>
    <n v="22022001637"/>
    <s v="2022 07 1711 214"/>
    <n v="52.37"/>
    <x v="652"/>
    <s v="BATERIA VEHICULO ELECTRICO JARDINE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438"/>
    <s v="D"/>
    <d v="2022-03-16T00:00:00"/>
    <n v="22022001637"/>
    <s v="2022 07 1711 214"/>
    <n v="50.36"/>
    <x v="652"/>
    <s v="ACUERDO MARCO 3/2020,  BATERIA PARA VEHICUL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86"/>
    <s v="D"/>
    <d v="2022-03-16T00:00:00"/>
    <n v="22022001637"/>
    <s v="2022 07 1711 214"/>
    <n v="52.37"/>
    <x v="652"/>
    <s v="ACUERDO MARCO 3/2020, BATERIA PARA VEHÍCUL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2639"/>
    <s v="D"/>
    <d v="2022-03-24T00:00:00"/>
    <n v="22022001453"/>
    <s v="2022 11 1321 214"/>
    <n v="133.37"/>
    <x v="652"/>
    <s v="ACUERDO MARCO. REPARACIÓN VEHÍCULO POLICÍA  3706KGD 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12641"/>
    <s v="D"/>
    <d v="2022-03-24T00:00:00"/>
    <n v="22022000684"/>
    <s v="2022 11 1321 213"/>
    <n v="121.47"/>
    <x v="652"/>
    <s v="ACUERDO MARCO. REPARACIÓN  VEHICULO MATRÍCULA: 2169-HCN. POLEA ARBOL LEVAS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8968"/>
    <s v="AD"/>
    <d v="2022-03-15T00:00:00"/>
    <n v="22022002768"/>
    <s v="2022 02 9332 22699"/>
    <n v="47.57"/>
    <x v="428"/>
    <s v="Suministro de Llave electrónica -Sstema de alarma en Nave de propiedad Municipal Nº9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699"/>
  </r>
  <r>
    <n v="220220000325"/>
    <s v="ADO"/>
    <d v="2022-01-21T00:00:00"/>
    <n v="22022001423"/>
    <s v="2022 06 3232 213"/>
    <n v="43.62"/>
    <x v="505"/>
    <s v="Contrato/PR: ORONA-B - 486467 ////  PSO JUAN CARLOS I 84 - CEIP NARCISO ALONSO /// MES DICIEMBRE 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0327"/>
    <s v="ADO"/>
    <d v="2022-01-21T00:00:00"/>
    <n v="22022001444"/>
    <s v="2022 06 3231 213"/>
    <n v="41.42"/>
    <x v="505"/>
    <s v="Contrato/PR: ORONA SB + TELEFONIA ( ELEVADOR + MONTACARGAS ) //  EIM LA COMETA / PERIODO: DICIEMBR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0001722"/>
    <s v="ADO"/>
    <d v="2022-01-27T00:00:00"/>
    <n v="22022001492"/>
    <s v="2022 06 2314 213"/>
    <n v="41.42"/>
    <x v="505"/>
    <s v="Contrato/PR:ORONA SB + TELEFONIA //  ESPACIO JOVEN ZONA SUR - PSO ZORRILLA 101 //  PERIODO: DICIEMBRE D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8536"/>
    <s v="D"/>
    <d v="2022-03-11T00:00:00"/>
    <n v="22022001626"/>
    <s v="2022 03 9241 212"/>
    <n v="41.38"/>
    <x v="353"/>
    <s v="RODA BASIC 1784 LED 18W CLD CELL L600 // PARTICIPACIÓN CIUDADANA CC ESGUEVA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5528"/>
    <s v="D"/>
    <d v="2022-02-22T00:00:00"/>
    <n v="22022001178"/>
    <s v="2022 10 2311 212"/>
    <n v="32.89"/>
    <x v="353"/>
    <s v="F-776.. GRUPO ELECTRO STOCKS, S.L.MATERIAL DE ELECTRICIDAD. CEAS SUR LA RUBIA.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69"/>
    <s v="D"/>
    <d v="2022-02-18T00:00:00"/>
    <n v="22022001649"/>
    <s v="2022 11 3111 214"/>
    <n v="282.12"/>
    <x v="653"/>
    <s v="A.M. EXPTE. 23/2020 : VEHICULO 1672DMP // ALTERNADOR (MAT.) / MANO DE OBR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1"/>
    <s v="214"/>
  </r>
  <r>
    <n v="220220009906"/>
    <s v="D"/>
    <d v="2022-03-18T00:00:00"/>
    <n v="22022001184"/>
    <s v="2022 10 2312 212"/>
    <n v="30.43"/>
    <x v="353"/>
    <s v="MANT. SUMINISTRO DE MASTER PL-C 26W/840/2P 1CT/5X10BOX  (10 UNIDADES)PARA EL CENTRO OCUPACIONAL--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0182"/>
    <s v="AD"/>
    <d v="2022-03-18T00:00:00"/>
    <n v="22022002779"/>
    <s v="2022 01 9207 22602"/>
    <n v="145.19999999999999"/>
    <x v="654"/>
    <s v="ADJUDICA DIFUSIÓN DIGITAL BANCO ALCALDÍA SOBRE INVASIÓN UCRANIA (funcionamiento ayuda solidaria al pueblo) EL DÍA VALLAD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10181"/>
    <s v="AD"/>
    <d v="2022-03-18T00:00:00"/>
    <n v="22022002759"/>
    <s v="2022 01 9207 22001"/>
    <n v="108.16"/>
    <x v="654"/>
    <s v="ADJUDICA RENOVACIÓN SUSCRIPCIÓN ANUAL PERIÓDICO EL DÍA DE VALLADOLID - MEDIOS DE COMUNICACIÓN -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4057"/>
    <s v="D"/>
    <d v="2022-02-18T00:00:00"/>
    <n v="22022001184"/>
    <s v="2022 10 2312 212"/>
    <n v="29.16"/>
    <x v="353"/>
    <s v="SUMINISTRO DE CAJA 2 MINI CANAL,TECLA INTERRUP., BASE ENCHUFE/ CLAVIJA PARA EL CPM ZUR Y RIO ESGUEVA- DURACION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0305"/>
    <s v="AD"/>
    <d v="2022-03-21T00:00:00"/>
    <n v="22022002724"/>
    <s v="2022 01 9207 22602"/>
    <n v="363"/>
    <x v="655"/>
    <s v="ADJUDICA DIFUSIÓN DIGITAL BANDO ALCALDÍA SOBRE INVASIÓN UCRANIA (funcionamiento ayuda solidaria al pueblo)"/>
    <s v="220"/>
    <s v="SALAMANCA"/>
    <s v="SALAMANCA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3806"/>
    <s v="D"/>
    <d v="2022-02-16T00:00:00"/>
    <n v="22022001637"/>
    <s v="2022 07 1711 214"/>
    <n v="1131.94"/>
    <x v="656"/>
    <s v="ACUERDO MARCO 3/2020, TRABAJOS EN CAMIÓN 6747-KLN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90"/>
    <s v="D"/>
    <d v="2022-02-18T00:00:00"/>
    <n v="22022000901"/>
    <s v="2022 11 1621 214"/>
    <n v="122.22"/>
    <x v="656"/>
    <s v="AC MARCO EXP SPSC 23/2020: REVISION GRUA FASSI - MATRICULA 2756 LLV // FILTRO RETORNO (MATERIALES) / M.O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428"/>
    <s v="D"/>
    <d v="2022-03-11T00:00:00"/>
    <n v="22022001637"/>
    <s v="2022 07 1711 214"/>
    <n v="148.47"/>
    <x v="656"/>
    <s v="ACUERDO MARCO 3/2020, TRABAJOS EN VEHICULO 3856-DDD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983"/>
    <s v="D"/>
    <d v="2022-03-18T00:00:00"/>
    <n v="22022001178"/>
    <s v="2022 10 2311 212"/>
    <n v="10.1"/>
    <x v="353"/>
    <s v="F-2119. GRUPO ELECTRO STOCKS, S.L. BASE 5 TOMAS 16A 250V  POT 3600W. CEAS RONDILLA.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09000674"/>
    <s v="AD"/>
    <d v="2022-03-11T00:00:00"/>
    <n v="22021000531"/>
    <s v="2022 07 1711 619"/>
    <n v="0.16"/>
    <x v="70"/>
    <s v="ACUERDO MARCO V6/2020, ARREGLO PASEOS AVDA. SALAMANCA Y ESCALERAS ACCESO A PARQUE MEDIODIA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84913"/>
    <s v="AD"/>
    <d v="2022-03-11T00:00:00"/>
    <n v="22021007934"/>
    <s v="2022 07 1711 619"/>
    <n v="0.09"/>
    <x v="70"/>
    <s v="EJECUCION DE ROCKGARDEN EN CERRO DE LAS CONTIENDAS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09000291"/>
    <s v="AD"/>
    <d v="2022-03-11T00:00:00"/>
    <n v="22021000730"/>
    <s v="2022 07 1721 633"/>
    <n v="0.02"/>
    <x v="39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09000671"/>
    <s v="AD"/>
    <d v="2022-03-11T00:00:00"/>
    <n v="22021000528"/>
    <s v="2022 07 1711 619"/>
    <n v="0.01"/>
    <x v="70"/>
    <s v="ACUERDO MARCO V6/2020, MEJORA DE INSTALACIONES DE JUEGOS INFANTILES EN DIVERSAS ZONAS DE LA CIUDA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3501"/>
    <s v="AD"/>
    <d v="2022-02-14T00:00:00"/>
    <n v="22022002233"/>
    <s v="2022 07 1701 22699"/>
    <n v="1503.37"/>
    <x v="657"/>
    <s v="RENOVACIÓN PÓLIZA COLECTIVOS (ACCIDENTES) SEGUROS HUERTOS URBANOS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699"/>
  </r>
  <r>
    <n v="220219000766"/>
    <s v="AD"/>
    <d v="2022-01-01T00:00:00"/>
    <n v="22022000597"/>
    <s v="2022 01 9206 224"/>
    <n v="125.83"/>
    <x v="657"/>
    <s v="PRIMA DE PÓLIZA DE SEGURO PARA TRASLADO DE DOCUMENTACIÓN DEL ARCHIVO MUNICIPAL, PARA SU DIGITALIZACIÓN. AÑ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2"/>
    <s v="224"/>
  </r>
  <r>
    <n v="220199000494"/>
    <s v="AD"/>
    <d v="2022-01-01T00:00:00"/>
    <n v="22022000160"/>
    <s v="2022 09 3301 22799"/>
    <n v="0.01"/>
    <x v="408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19000185"/>
    <s v="AD"/>
    <d v="2022-01-01T00:00:00"/>
    <n v="22022000046"/>
    <s v="2022 02 1501 224"/>
    <n v="29000"/>
    <x v="658"/>
    <s v="ADJ. EXPTE.CONTRATO SEGUROS DE RESPONSABILIDAD CIVIL TECNICOS DEL AREA 1.05 A 31.10.22 Y 1.11.22 A 30.04.23"/>
    <s v="220"/>
    <s v="MADRID"/>
    <s v="MADRID"/>
    <x v="0"/>
    <s v="PrAbier - Procedimiento Abierto"/>
    <s v="MultiC - MultiCriterio"/>
    <x v="1"/>
    <x v="0"/>
    <s v="2"/>
    <s v="2. Gastos corrientes en bienes y servicios"/>
    <s v="02"/>
    <x v="7"/>
    <s v="1501"/>
    <s v="1501. Dirección del área de urbanismo"/>
    <s v="22"/>
    <s v="224"/>
  </r>
  <r>
    <n v="220220012878"/>
    <s v="AD/"/>
    <d v="2022-03-25T00:00:00"/>
    <n v="22022000543"/>
    <s v="2022 05 4314 22706"/>
    <n v="-1452"/>
    <x v="48"/>
    <s v="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06"/>
  </r>
  <r>
    <n v="220209000755"/>
    <s v="AD"/>
    <d v="2022-01-01T00:00:00"/>
    <n v="22022000276"/>
    <s v="2022 02 9332 213"/>
    <n v="5323.03"/>
    <x v="659"/>
    <s v="ADJ.. EXPTE. MANTENIMIENTO ASCENSORES LOTE 3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12876"/>
    <s v="AD/"/>
    <d v="2022-03-25T00:00:00"/>
    <n v="22022000599"/>
    <s v="2022 05 4314 22799"/>
    <n v="-5390.4"/>
    <x v="458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2292"/>
    <s v="AD"/>
    <d v="2022-02-01T00:00:00"/>
    <n v="22022001835"/>
    <s v="2022 07 1701 22706"/>
    <n v="7199.5"/>
    <x v="660"/>
    <s v="ASISTENCIA TÉCNICA PARA ELABORAR  LA DOCUMENTACIÓN DE LA CONVOCATORIA DE SUBVENCIONES DE LA FUNDACIÓN BIODIVERSIDAD."/>
    <s v="220"/>
    <s v="VILLAMURIEL DE CERRATO"/>
    <s v="PALENCIA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706"/>
  </r>
  <r>
    <n v="220210050019"/>
    <s v="AD"/>
    <d v="2022-02-28T00:00:00"/>
    <n v="22021006185"/>
    <s v="2022 05 4331 609"/>
    <n v="5419.84"/>
    <x v="660"/>
    <s v="Direccion de Obras de &quot;&quot; Corredor Verde &quot;&quot; URBAN GreenUP (G.A. 730426 )"/>
    <s v="220"/>
    <s v="VILLAMURIEL DE CERRATO"/>
    <s v="PALENCIA"/>
    <x v="1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1601"/>
    <s v="AD/"/>
    <d v="2022-01-26T00:00:00"/>
    <n v="22022000121"/>
    <s v="2022 10 2412 22100"/>
    <n v="-13500"/>
    <x v="5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12877"/>
    <s v="AD/"/>
    <d v="2022-03-25T00:00:00"/>
    <n v="22022000504"/>
    <s v="2022 05 4314 22799"/>
    <n v="-5390.55"/>
    <x v="457"/>
    <s v="APOYO AL AYTO EN EL PROCESO REFORMA DE LAS INSTALACIONES DE LA RONDILLA DURANTE EL AÑO 21-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0342"/>
    <s v="AD/"/>
    <d v="2022-01-24T00:00:00"/>
    <n v="22022000252"/>
    <s v="2022 10 2412 22799"/>
    <n v="-15001.5"/>
    <x v="391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0887"/>
    <s v="AD"/>
    <d v="2022-01-01T00:00:00"/>
    <n v="22022000104"/>
    <s v="2022 02 9331 224"/>
    <n v="179986.12"/>
    <x v="661"/>
    <s v="EXPTE.70/2021. SEGURO RESPONSABILIDAD CIVIL DEL 01/02/2022 AL 31/07/2022. ACUERDO MARCO FEMP. AYUNTAMIENTO VALLADOLID."/>
    <s v="220"/>
    <s v="BARCELONA"/>
    <s v="BARCELONA"/>
    <x v="7"/>
    <s v="PrAbier - Procedimiento Abierto"/>
    <s v="MultiC - MultiCriterio"/>
    <x v="1"/>
    <x v="0"/>
    <s v="2"/>
    <s v="2. Gastos corrientes en bienes y servicios"/>
    <s v="02"/>
    <x v="7"/>
    <s v="9331"/>
    <s v="9331. Gestión del patrimonio"/>
    <s v="22"/>
    <s v="2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438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1954">
        <item m="1" x="1546"/>
        <item m="1" x="1211"/>
        <item x="41"/>
        <item m="1" x="1088"/>
        <item x="47"/>
        <item m="1" x="1072"/>
        <item m="1" x="1834"/>
        <item m="1" x="1076"/>
        <item m="1" x="1430"/>
        <item m="1" x="693"/>
        <item x="10"/>
        <item x="50"/>
        <item m="1" x="1167"/>
        <item m="1" x="1750"/>
        <item x="53"/>
        <item m="1" x="1727"/>
        <item m="1" x="773"/>
        <item m="1" x="1714"/>
        <item x="59"/>
        <item x="60"/>
        <item x="64"/>
        <item m="1" x="1398"/>
        <item x="65"/>
        <item x="66"/>
        <item x="40"/>
        <item m="1" x="687"/>
        <item x="67"/>
        <item m="1" x="1832"/>
        <item m="1" x="1861"/>
        <item m="1" x="1378"/>
        <item m="1" x="1876"/>
        <item m="1" x="916"/>
        <item x="71"/>
        <item m="1" x="1136"/>
        <item m="1" x="894"/>
        <item m="1" x="1108"/>
        <item x="73"/>
        <item m="1" x="766"/>
        <item x="74"/>
        <item m="1" x="1053"/>
        <item x="72"/>
        <item x="76"/>
        <item m="1" x="909"/>
        <item m="1" x="1863"/>
        <item x="79"/>
        <item x="43"/>
        <item m="1" x="1353"/>
        <item x="168"/>
        <item x="82"/>
        <item m="1" x="1864"/>
        <item x="83"/>
        <item m="1" x="1701"/>
        <item m="1" x="1783"/>
        <item m="1" x="1038"/>
        <item m="1" x="1297"/>
        <item x="85"/>
        <item x="86"/>
        <item x="87"/>
        <item m="1" x="863"/>
        <item m="1" x="1486"/>
        <item x="170"/>
        <item m="1" x="664"/>
        <item x="89"/>
        <item m="1" x="806"/>
        <item m="1" x="785"/>
        <item x="90"/>
        <item m="1" x="1487"/>
        <item m="1" x="997"/>
        <item m="1" x="1074"/>
        <item x="91"/>
        <item x="93"/>
        <item x="173"/>
        <item m="1" x="1448"/>
        <item m="1" x="1381"/>
        <item m="1" x="1494"/>
        <item x="42"/>
        <item m="1" x="1815"/>
        <item x="100"/>
        <item m="1" x="841"/>
        <item m="1" x="1155"/>
        <item m="1" x="757"/>
        <item x="101"/>
        <item m="1" x="777"/>
        <item x="174"/>
        <item x="102"/>
        <item m="1" x="1462"/>
        <item x="37"/>
        <item m="1" x="1758"/>
        <item m="1" x="842"/>
        <item x="84"/>
        <item m="1" x="1804"/>
        <item m="1" x="1290"/>
        <item m="1" x="1272"/>
        <item m="1" x="852"/>
        <item x="113"/>
        <item x="118"/>
        <item m="1" x="1764"/>
        <item m="1" x="1628"/>
        <item m="1" x="1938"/>
        <item m="1" x="881"/>
        <item m="1" x="907"/>
        <item m="1" x="699"/>
        <item m="1" x="713"/>
        <item m="1" x="1249"/>
        <item m="1" x="1182"/>
        <item m="1" x="1472"/>
        <item m="1" x="1425"/>
        <item m="1" x="790"/>
        <item x="125"/>
        <item m="1" x="748"/>
        <item m="1" x="1597"/>
        <item m="1" x="1572"/>
        <item m="1" x="1556"/>
        <item m="1" x="1901"/>
        <item m="1" x="1177"/>
        <item m="1" x="1765"/>
        <item m="1" x="1665"/>
        <item x="126"/>
        <item m="1" x="1590"/>
        <item m="1" x="1475"/>
        <item m="1" x="755"/>
        <item m="1" x="1759"/>
        <item m="1" x="1400"/>
        <item m="1" x="741"/>
        <item m="1" x="1066"/>
        <item m="1" x="1935"/>
        <item m="1" x="1640"/>
        <item m="1" x="1582"/>
        <item m="1" x="1847"/>
        <item m="1" x="1454"/>
        <item m="1" x="1904"/>
        <item m="1" x="814"/>
        <item x="130"/>
        <item m="1" x="1137"/>
        <item m="1" x="942"/>
        <item m="1" x="1862"/>
        <item m="1" x="885"/>
        <item x="132"/>
        <item m="1" x="919"/>
        <item m="1" x="1162"/>
        <item x="45"/>
        <item m="1" x="1347"/>
        <item m="1" x="791"/>
        <item x="137"/>
        <item x="106"/>
        <item m="1" x="784"/>
        <item m="1" x="991"/>
        <item m="1" x="1641"/>
        <item m="1" x="1394"/>
        <item m="1" x="1128"/>
        <item x="139"/>
        <item x="140"/>
        <item m="1" x="1228"/>
        <item m="1" x="1399"/>
        <item x="142"/>
        <item x="178"/>
        <item x="179"/>
        <item x="144"/>
        <item x="147"/>
        <item x="119"/>
        <item m="1" x="1850"/>
        <item x="183"/>
        <item m="1" x="941"/>
        <item m="1" x="1257"/>
        <item m="1" x="774"/>
        <item m="1" x="703"/>
        <item m="1" x="1047"/>
        <item x="148"/>
        <item m="1" x="1889"/>
        <item m="1" x="1082"/>
        <item m="1" x="1124"/>
        <item x="149"/>
        <item m="1" x="1357"/>
        <item m="1" x="1185"/>
        <item x="150"/>
        <item m="1" x="1949"/>
        <item m="1" x="1183"/>
        <item x="152"/>
        <item m="1" x="1671"/>
        <item x="109"/>
        <item x="156"/>
        <item m="1" x="889"/>
        <item x="157"/>
        <item m="1" x="1023"/>
        <item m="1" x="706"/>
        <item x="158"/>
        <item m="1" x="710"/>
        <item m="1" x="956"/>
        <item x="159"/>
        <item m="1" x="831"/>
        <item x="78"/>
        <item m="1" x="844"/>
        <item x="163"/>
        <item x="180"/>
        <item x="234"/>
        <item m="1" x="1588"/>
        <item m="1" x="1722"/>
        <item x="171"/>
        <item m="1" x="1259"/>
        <item x="243"/>
        <item m="1" x="1368"/>
        <item m="1" x="1458"/>
        <item m="1" x="753"/>
        <item x="189"/>
        <item m="1" x="1307"/>
        <item m="1" x="1658"/>
        <item m="1" x="832"/>
        <item m="1" x="1865"/>
        <item x="190"/>
        <item m="1" x="1757"/>
        <item m="1" x="1282"/>
        <item x="192"/>
        <item m="1" x="865"/>
        <item m="1" x="1039"/>
        <item m="1" x="1314"/>
        <item x="193"/>
        <item m="1" x="751"/>
        <item x="176"/>
        <item m="1" x="1393"/>
        <item m="1" x="1805"/>
        <item m="1" x="1104"/>
        <item m="1" x="1033"/>
        <item m="1" x="1345"/>
        <item m="1" x="1094"/>
        <item x="134"/>
        <item x="194"/>
        <item x="195"/>
        <item m="1" x="1403"/>
        <item x="196"/>
        <item m="1" x="990"/>
        <item m="1" x="1599"/>
        <item m="1" x="719"/>
        <item m="1" x="1718"/>
        <item m="1" x="1342"/>
        <item x="199"/>
        <item m="1" x="1592"/>
        <item m="1" x="1048"/>
        <item m="1" x="823"/>
        <item m="1" x="890"/>
        <item m="1" x="1153"/>
        <item m="1" x="1316"/>
        <item x="200"/>
        <item m="1" x="1773"/>
        <item x="201"/>
        <item m="1" x="1107"/>
        <item m="1" x="1268"/>
        <item x="248"/>
        <item m="1" x="1774"/>
        <item x="25"/>
        <item m="1" x="1120"/>
        <item m="1" x="1495"/>
        <item m="1" x="1222"/>
        <item m="1" x="1869"/>
        <item m="1" x="1517"/>
        <item m="1" x="1213"/>
        <item m="1" x="974"/>
        <item x="202"/>
        <item x="203"/>
        <item x="191"/>
        <item x="204"/>
        <item m="1" x="1325"/>
        <item m="1" x="1821"/>
        <item m="1" x="1134"/>
        <item m="1" x="1018"/>
        <item x="205"/>
        <item x="206"/>
        <item x="207"/>
        <item m="1" x="1846"/>
        <item m="1" x="1303"/>
        <item x="208"/>
        <item m="1" x="1006"/>
        <item m="1" x="1777"/>
        <item x="112"/>
        <item m="1" x="1158"/>
        <item m="1" x="1527"/>
        <item m="1" x="1318"/>
        <item x="212"/>
        <item x="9"/>
        <item m="1" x="756"/>
        <item m="1" x="1174"/>
        <item x="268"/>
        <item x="213"/>
        <item x="214"/>
        <item m="1" x="964"/>
        <item m="1" x="1070"/>
        <item m="1" x="801"/>
        <item x="215"/>
        <item m="1" x="834"/>
        <item x="216"/>
        <item x="217"/>
        <item m="1" x="1499"/>
        <item x="209"/>
        <item m="1" x="1756"/>
        <item m="1" x="1450"/>
        <item m="1" x="1214"/>
        <item m="1" x="678"/>
        <item m="1" x="1560"/>
        <item x="220"/>
        <item x="221"/>
        <item m="1" x="840"/>
        <item m="1" x="1288"/>
        <item m="1" x="1042"/>
        <item m="1" x="1046"/>
        <item m="1" x="736"/>
        <item m="1" x="1468"/>
        <item m="1" x="1574"/>
        <item m="1" x="1789"/>
        <item m="1" x="1294"/>
        <item m="1" x="1871"/>
        <item x="226"/>
        <item m="1" x="796"/>
        <item m="1" x="1148"/>
        <item m="1" x="817"/>
        <item m="1" x="1550"/>
        <item x="211"/>
        <item x="227"/>
        <item m="1" x="1652"/>
        <item x="228"/>
        <item x="229"/>
        <item m="1" x="1063"/>
        <item m="1" x="1330"/>
        <item m="1" x="1913"/>
        <item m="1" x="1927"/>
        <item m="1" x="1409"/>
        <item x="231"/>
        <item x="232"/>
        <item m="1" x="1855"/>
        <item x="17"/>
        <item m="1" x="1234"/>
        <item m="1" x="1099"/>
        <item m="1" x="1424"/>
        <item m="1" x="1762"/>
        <item x="218"/>
        <item m="1" x="1410"/>
        <item x="236"/>
        <item m="1" x="1426"/>
        <item m="1" x="1289"/>
        <item x="237"/>
        <item x="3"/>
        <item x="238"/>
        <item m="1" x="1627"/>
        <item m="1" x="818"/>
        <item x="242"/>
        <item m="1" x="775"/>
        <item m="1" x="1561"/>
        <item m="1" x="688"/>
        <item x="566"/>
        <item x="58"/>
        <item m="1" x="1688"/>
        <item m="1" x="917"/>
        <item m="1" x="1728"/>
        <item m="1" x="1598"/>
        <item m="1" x="724"/>
        <item m="1" x="1341"/>
        <item m="1" x="1411"/>
        <item x="244"/>
        <item x="525"/>
        <item x="537"/>
        <item m="1" x="1189"/>
        <item m="1" x="971"/>
        <item m="1" x="729"/>
        <item x="246"/>
        <item x="247"/>
        <item x="249"/>
        <item m="1" x="1321"/>
        <item x="250"/>
        <item x="251"/>
        <item x="258"/>
        <item m="1" x="1045"/>
        <item x="7"/>
        <item m="1" x="1699"/>
        <item x="260"/>
        <item m="1" x="1096"/>
        <item x="262"/>
        <item m="1" x="930"/>
        <item m="1" x="1697"/>
        <item m="1" x="1455"/>
        <item m="1" x="1743"/>
        <item x="311"/>
        <item m="1" x="672"/>
        <item m="1" x="1608"/>
        <item x="269"/>
        <item m="1" x="1625"/>
        <item m="1" x="666"/>
        <item m="1" x="848"/>
        <item x="305"/>
        <item x="272"/>
        <item m="1" x="1405"/>
        <item x="39"/>
        <item m="1" x="901"/>
        <item m="1" x="1267"/>
        <item m="1" x="1200"/>
        <item m="1" x="745"/>
        <item x="97"/>
        <item x="275"/>
        <item m="1" x="1008"/>
        <item m="1" x="1596"/>
        <item x="393"/>
        <item m="1" x="856"/>
        <item m="1" x="1112"/>
        <item x="16"/>
        <item x="115"/>
        <item m="1" x="824"/>
        <item m="1" x="1456"/>
        <item m="1" x="692"/>
        <item x="413"/>
        <item m="1" x="1659"/>
        <item m="1" x="1867"/>
        <item x="289"/>
        <item m="1" x="1212"/>
        <item x="435"/>
        <item m="1" x="1114"/>
        <item x="270"/>
        <item m="1" x="1013"/>
        <item x="271"/>
        <item x="95"/>
        <item m="1" x="1775"/>
        <item m="1" x="838"/>
        <item m="1" x="1172"/>
        <item m="1" x="735"/>
        <item x="31"/>
        <item m="1" x="1720"/>
        <item m="1" x="959"/>
        <item m="1" x="1828"/>
        <item m="1" x="1093"/>
        <item m="1" x="1383"/>
        <item x="296"/>
        <item m="1" x="1634"/>
        <item m="1" x="1662"/>
        <item m="1" x="1195"/>
        <item m="1" x="1811"/>
        <item x="538"/>
        <item m="1" x="812"/>
        <item m="1" x="1283"/>
        <item m="1" x="1565"/>
        <item x="291"/>
        <item m="1" x="1385"/>
        <item m="1" x="1660"/>
        <item m="1" x="871"/>
        <item m="1" x="883"/>
        <item x="114"/>
        <item m="1" x="1740"/>
        <item x="299"/>
        <item x="300"/>
        <item m="1" x="1246"/>
        <item m="1" x="1332"/>
        <item m="1" x="1600"/>
        <item m="1" x="1220"/>
        <item m="1" x="1188"/>
        <item m="1" x="1244"/>
        <item m="1" x="1343"/>
        <item x="303"/>
        <item m="1" x="1849"/>
        <item m="1" x="1061"/>
        <item m="1" x="1140"/>
        <item m="1" x="1384"/>
        <item x="545"/>
        <item x="431"/>
        <item m="1" x="1726"/>
        <item m="1" x="1888"/>
        <item x="309"/>
        <item x="21"/>
        <item m="1" x="1084"/>
        <item m="1" x="1474"/>
        <item x="574"/>
        <item m="1" x="1434"/>
        <item x="484"/>
        <item m="1" x="1269"/>
        <item m="1" x="1793"/>
        <item m="1" x="1335"/>
        <item m="1" x="1687"/>
        <item x="23"/>
        <item m="1" x="1352"/>
        <item m="1" x="1192"/>
        <item x="488"/>
        <item x="323"/>
        <item m="1" x="855"/>
        <item m="1" x="1338"/>
        <item m="1" x="923"/>
        <item x="465"/>
        <item m="1" x="1686"/>
        <item m="1" x="1036"/>
        <item x="470"/>
        <item x="476"/>
        <item x="351"/>
        <item m="1" x="1736"/>
        <item m="1" x="721"/>
        <item m="1" x="769"/>
        <item x="471"/>
        <item m="1" x="955"/>
        <item m="1" x="813"/>
        <item m="1" x="1206"/>
        <item x="650"/>
        <item m="1" x="1286"/>
        <item m="1" x="981"/>
        <item x="633"/>
        <item m="1" x="1250"/>
        <item m="1" x="1536"/>
        <item x="474"/>
        <item x="353"/>
        <item m="1" x="1670"/>
        <item x="34"/>
        <item m="1" x="663"/>
        <item m="1" x="1408"/>
        <item m="1" x="949"/>
        <item m="1" x="1439"/>
        <item m="1" x="1677"/>
        <item m="1" x="1531"/>
        <item m="1" x="697"/>
        <item x="412"/>
        <item x="642"/>
        <item m="1" x="1406"/>
        <item m="1" x="1642"/>
        <item x="410"/>
        <item x="544"/>
        <item m="1" x="1461"/>
        <item m="1" x="1684"/>
        <item m="1" x="1420"/>
        <item m="1" x="1241"/>
        <item m="1" x="1414"/>
        <item m="1" x="1591"/>
        <item m="1" x="1163"/>
        <item x="341"/>
        <item x="528"/>
        <item m="1" x="1326"/>
        <item m="1" x="828"/>
        <item m="1" x="1551"/>
        <item m="1" x="1187"/>
        <item m="1" x="1464"/>
        <item m="1" x="845"/>
        <item x="400"/>
        <item m="1" x="1568"/>
        <item x="577"/>
        <item x="24"/>
        <item m="1" x="1859"/>
        <item m="1" x="1312"/>
        <item x="5"/>
        <item m="1" x="1302"/>
        <item x="441"/>
        <item m="1" x="1366"/>
        <item m="1" x="1459"/>
        <item x="352"/>
        <item x="501"/>
        <item m="1" x="1265"/>
        <item m="1" x="1231"/>
        <item m="1" x="1350"/>
        <item x="6"/>
        <item m="1" x="1296"/>
        <item x="542"/>
        <item m="1" x="1519"/>
        <item x="117"/>
        <item m="1" x="1373"/>
        <item m="1" x="1552"/>
        <item x="623"/>
        <item m="1" x="1415"/>
        <item m="1" x="1465"/>
        <item m="1" x="1872"/>
        <item x="432"/>
        <item x="30"/>
        <item x="366"/>
        <item m="1" x="1285"/>
        <item x="446"/>
        <item m="1" x="1799"/>
        <item m="1" x="858"/>
        <item x="591"/>
        <item x="416"/>
        <item x="99"/>
        <item m="1" x="1715"/>
        <item m="1" x="723"/>
        <item x="121"/>
        <item x="535"/>
        <item m="1" x="772"/>
        <item m="1" x="1106"/>
        <item m="1" x="1852"/>
        <item m="1" x="1281"/>
        <item x="506"/>
        <item m="1" x="1004"/>
        <item x="120"/>
        <item m="1" x="809"/>
        <item x="493"/>
        <item m="1" x="1910"/>
        <item m="1" x="931"/>
        <item m="1" x="684"/>
        <item m="1" x="718"/>
        <item x="425"/>
        <item m="1" x="1766"/>
        <item x="550"/>
        <item m="1" x="1633"/>
        <item m="1" x="1274"/>
        <item m="1" x="1240"/>
        <item x="428"/>
        <item m="1" x="988"/>
        <item m="1" x="1169"/>
        <item x="402"/>
        <item m="1" x="700"/>
        <item m="1" x="893"/>
        <item x="456"/>
        <item m="1" x="1609"/>
        <item x="439"/>
        <item m="1" x="1784"/>
        <item x="489"/>
        <item m="1" x="1032"/>
        <item m="1" x="1034"/>
        <item m="1" x="1237"/>
        <item m="1" x="1731"/>
        <item m="1" x="740"/>
        <item m="1" x="1251"/>
        <item m="1" x="686"/>
        <item m="1" x="1123"/>
        <item m="1" x="1612"/>
        <item m="1" x="857"/>
        <item x="407"/>
        <item m="1" x="1364"/>
        <item m="1" x="669"/>
        <item m="1" x="786"/>
        <item m="1" x="1007"/>
        <item m="1" x="1744"/>
        <item x="548"/>
        <item m="1" x="978"/>
        <item m="1" x="1858"/>
        <item m="1" x="683"/>
        <item m="1" x="1907"/>
        <item x="418"/>
        <item m="1" x="670"/>
        <item m="1" x="904"/>
        <item x="421"/>
        <item m="1" x="1068"/>
        <item m="1" x="1825"/>
        <item m="1" x="1885"/>
        <item m="1" x="1839"/>
        <item m="1" x="1445"/>
        <item m="1" x="1367"/>
        <item x="426"/>
        <item x="477"/>
        <item m="1" x="816"/>
        <item m="1" x="1299"/>
        <item m="1" x="962"/>
        <item m="1" x="1837"/>
        <item m="1" x="1776"/>
        <item x="443"/>
        <item m="1" x="873"/>
        <item m="1" x="1553"/>
        <item x="492"/>
        <item m="1" x="1480"/>
        <item m="1" x="963"/>
        <item m="1" x="1050"/>
        <item x="496"/>
        <item m="1" x="878"/>
        <item m="1" x="1431"/>
        <item m="1" x="825"/>
        <item m="1" x="1144"/>
        <item m="1" x="1629"/>
        <item m="1" x="1695"/>
        <item m="1" x="1489"/>
        <item m="1" x="1523"/>
        <item m="1" x="860"/>
        <item m="1" x="1354"/>
        <item x="561"/>
        <item x="510"/>
        <item x="12"/>
        <item x="440"/>
        <item m="1" x="982"/>
        <item m="1" x="1700"/>
        <item x="565"/>
        <item x="610"/>
        <item m="1" x="1725"/>
        <item m="1" x="1277"/>
        <item m="1" x="1262"/>
        <item m="1" x="1734"/>
        <item m="1" x="937"/>
        <item m="1" x="1308"/>
        <item x="482"/>
        <item m="1" x="1920"/>
        <item m="1" x="1668"/>
        <item m="1" x="1040"/>
        <item m="1" x="1506"/>
        <item m="1" x="1808"/>
        <item m="1" x="1138"/>
        <item m="1" x="1512"/>
        <item m="1" x="924"/>
        <item m="1" x="1429"/>
        <item x="631"/>
        <item x="516"/>
        <item x="460"/>
        <item m="1" x="1360"/>
        <item x="462"/>
        <item x="580"/>
        <item m="1" x="1620"/>
        <item m="1" x="1031"/>
        <item m="1" x="829"/>
        <item m="1" x="1800"/>
        <item m="1" x="1358"/>
        <item m="1" x="950"/>
        <item m="1" x="1484"/>
        <item m="1" x="689"/>
        <item m="1" x="1087"/>
        <item m="1" x="1544"/>
        <item m="1" x="701"/>
        <item m="1" x="1918"/>
        <item m="1" x="849"/>
        <item m="1" x="1295"/>
        <item m="1" x="1706"/>
        <item x="536"/>
        <item x="430"/>
        <item m="1" x="1160"/>
        <item m="1" x="1113"/>
        <item m="1" x="1156"/>
        <item m="1" x="1002"/>
        <item m="1" x="965"/>
        <item m="1" x="1457"/>
        <item x="543"/>
        <item x="445"/>
        <item m="1" x="734"/>
        <item m="1" x="1513"/>
        <item m="1" x="1737"/>
        <item x="554"/>
        <item m="1" x="1001"/>
        <item m="1" x="742"/>
        <item m="1" x="1719"/>
        <item m="1" x="869"/>
        <item m="1" x="1365"/>
        <item m="1" x="1538"/>
        <item m="1" x="948"/>
        <item m="1" x="749"/>
        <item m="1" x="1619"/>
        <item m="1" x="1796"/>
        <item x="497"/>
        <item x="408"/>
        <item x="472"/>
        <item x="427"/>
        <item x="575"/>
        <item m="1" x="1071"/>
        <item x="388"/>
        <item m="1" x="1075"/>
        <item m="1" x="1624"/>
        <item m="1" x="1791"/>
        <item x="480"/>
        <item m="1" x="1899"/>
        <item m="1" x="1615"/>
        <item m="1" x="704"/>
        <item x="635"/>
        <item m="1" x="1555"/>
        <item m="1" x="1842"/>
        <item m="1" x="1730"/>
        <item m="1" x="1836"/>
        <item m="1" x="1543"/>
        <item m="1" x="1168"/>
        <item x="541"/>
        <item m="1" x="1203"/>
        <item x="590"/>
        <item m="1" x="744"/>
        <item m="1" x="1567"/>
        <item m="1" x="1803"/>
        <item m="1" x="992"/>
        <item m="1" x="1225"/>
        <item m="1" x="1819"/>
        <item x="522"/>
        <item x="494"/>
        <item x="526"/>
        <item x="420"/>
        <item m="1" x="998"/>
        <item m="1" x="1279"/>
        <item x="466"/>
        <item m="1" x="1771"/>
        <item m="1" x="1207"/>
        <item m="1" x="1463"/>
        <item m="1" x="1179"/>
        <item x="455"/>
        <item m="1" x="1657"/>
        <item m="1" x="800"/>
        <item m="1" x="1284"/>
        <item x="359"/>
        <item x="609"/>
        <item m="1" x="1643"/>
        <item x="619"/>
        <item m="1" x="803"/>
        <item m="1" x="1327"/>
        <item m="1" x="1149"/>
        <item m="1" x="690"/>
        <item m="1" x="767"/>
        <item m="1" x="892"/>
        <item x="390"/>
        <item m="1" x="1704"/>
        <item m="1" x="1100"/>
        <item x="539"/>
        <item x="504"/>
        <item m="1" x="715"/>
        <item m="1" x="1893"/>
        <item m="1" x="932"/>
        <item m="1" x="1103"/>
        <item m="1" x="731"/>
        <item m="1" x="980"/>
        <item m="1" x="1654"/>
        <item m="1" x="1333"/>
        <item m="1" x="1412"/>
        <item x="396"/>
        <item m="1" x="902"/>
        <item m="1" x="1143"/>
        <item x="524"/>
        <item m="1" x="1806"/>
        <item m="1" x="945"/>
        <item x="397"/>
        <item m="1" x="1142"/>
        <item m="1" x="1951"/>
        <item x="534"/>
        <item x="641"/>
        <item m="1" x="1477"/>
        <item x="27"/>
        <item m="1" x="1613"/>
        <item m="1" x="1010"/>
        <item x="529"/>
        <item m="1" x="1792"/>
        <item x="589"/>
        <item m="1" x="1868"/>
        <item m="1" x="1593"/>
        <item m="1" x="732"/>
        <item m="1" x="993"/>
        <item m="1" x="915"/>
        <item m="1" x="1176"/>
        <item x="560"/>
        <item m="1" x="1618"/>
        <item x="505"/>
        <item m="1" x="1674"/>
        <item x="597"/>
        <item m="1" x="1751"/>
        <item m="1" x="1380"/>
        <item x="595"/>
        <item m="1" x="1948"/>
        <item m="1" x="1521"/>
        <item x="491"/>
        <item m="1" x="851"/>
        <item x="513"/>
        <item m="1" x="1418"/>
        <item m="1" x="1255"/>
        <item m="1" x="968"/>
        <item x="607"/>
        <item m="1" x="1716"/>
        <item m="1" x="1305"/>
        <item m="1" x="1151"/>
        <item m="1" x="987"/>
        <item m="1" x="1632"/>
        <item m="1" x="1922"/>
        <item m="1" x="1818"/>
        <item m="1" x="1709"/>
        <item m="1" x="1638"/>
        <item m="1" x="754"/>
        <item m="1" x="1065"/>
        <item m="1" x="747"/>
        <item m="1" x="1557"/>
        <item x="602"/>
        <item m="1" x="1083"/>
        <item m="1" x="1493"/>
        <item m="1" x="1782"/>
        <item x="499"/>
        <item m="1" x="1095"/>
        <item m="1" x="921"/>
        <item m="1" x="1856"/>
        <item m="1" x="1554"/>
        <item m="1" x="1780"/>
        <item m="1" x="1301"/>
        <item m="1" x="709"/>
        <item m="1" x="986"/>
        <item m="1" x="1678"/>
        <item m="1" x="1739"/>
        <item m="1" x="1503"/>
        <item m="1" x="1826"/>
        <item x="422"/>
        <item m="1" x="1092"/>
        <item m="1" x="1880"/>
        <item x="540"/>
        <item m="1" x="1712"/>
        <item x="592"/>
        <item x="562"/>
        <item x="626"/>
        <item m="1" x="1894"/>
        <item m="1" x="1052"/>
        <item m="1" x="1545"/>
        <item x="571"/>
        <item m="1" x="1655"/>
        <item m="1" x="1705"/>
        <item x="555"/>
        <item x="556"/>
        <item m="1" x="1666"/>
        <item m="1" x="1304"/>
        <item m="1" x="1064"/>
        <item m="1" x="1827"/>
        <item m="1" x="1320"/>
        <item m="1" x="1844"/>
        <item m="1" x="1232"/>
        <item m="1" x="1030"/>
        <item m="1" x="1623"/>
        <item m="1" x="995"/>
        <item m="1" x="1216"/>
        <item m="1" x="1402"/>
        <item x="478"/>
        <item x="572"/>
        <item m="1" x="1473"/>
        <item x="401"/>
        <item x="468"/>
        <item x="386"/>
        <item x="614"/>
        <item x="598"/>
        <item m="1" x="1479"/>
        <item m="1" x="1496"/>
        <item x="564"/>
        <item x="563"/>
        <item x="615"/>
        <item m="1" x="1239"/>
        <item m="1" x="1710"/>
        <item m="1" x="1339"/>
        <item m="1" x="1331"/>
        <item m="1" x="1724"/>
        <item x="385"/>
        <item m="1" x="1626"/>
        <item m="1" x="761"/>
        <item x="384"/>
        <item m="1" x="1273"/>
        <item m="1" x="1604"/>
        <item x="383"/>
        <item m="1" x="763"/>
        <item x="380"/>
        <item m="1" x="1928"/>
        <item x="377"/>
        <item m="1" x="1830"/>
        <item m="1" x="952"/>
        <item x="20"/>
        <item x="375"/>
        <item x="594"/>
        <item m="1" x="1276"/>
        <item m="1" x="1011"/>
        <item m="1" x="1563"/>
        <item m="1" x="1594"/>
        <item x="576"/>
        <item x="373"/>
        <item x="372"/>
        <item m="1" x="1044"/>
        <item m="1" x="1824"/>
        <item x="409"/>
        <item m="1" x="976"/>
        <item m="1" x="1584"/>
        <item x="29"/>
        <item m="1" x="1135"/>
        <item x="138"/>
        <item x="367"/>
        <item x="365"/>
        <item m="1" x="1883"/>
        <item m="1" x="1306"/>
        <item m="1" x="1492"/>
        <item m="1" x="1729"/>
        <item m="1" x="1661"/>
        <item x="362"/>
        <item m="1" x="815"/>
        <item x="13"/>
        <item m="1" x="1253"/>
        <item x="360"/>
        <item m="1" x="1801"/>
        <item m="1" x="1359"/>
        <item x="358"/>
        <item x="391"/>
        <item x="318"/>
        <item m="1" x="1646"/>
        <item m="1" x="1798"/>
        <item x="357"/>
        <item m="1" x="1703"/>
        <item m="1" x="698"/>
        <item m="1" x="765"/>
        <item m="1" x="888"/>
        <item m="1" x="1141"/>
        <item m="1" x="1340"/>
        <item m="1" x="1595"/>
        <item m="1" x="1194"/>
        <item x="405"/>
        <item x="399"/>
        <item m="1" x="787"/>
        <item x="355"/>
        <item x="48"/>
        <item m="1" x="1930"/>
        <item x="14"/>
        <item m="1" x="1681"/>
        <item m="1" x="1585"/>
        <item x="616"/>
        <item x="640"/>
        <item x="348"/>
        <item m="1" x="1184"/>
        <item m="1" x="1707"/>
        <item m="1" x="1243"/>
        <item m="1" x="1639"/>
        <item m="1" x="1490"/>
        <item m="1" x="675"/>
        <item x="346"/>
        <item m="1" x="1204"/>
        <item m="1" x="1022"/>
        <item m="1" x="1663"/>
        <item m="1" x="1723"/>
        <item m="1" x="662"/>
        <item m="1" x="760"/>
        <item x="622"/>
        <item x="345"/>
        <item m="1" x="926"/>
        <item x="624"/>
        <item x="625"/>
        <item x="342"/>
        <item x="340"/>
        <item m="1" x="1000"/>
        <item m="1" x="947"/>
        <item m="1" x="1224"/>
        <item m="1" x="1025"/>
        <item m="1" x="1476"/>
        <item m="1" x="1581"/>
        <item x="521"/>
        <item m="1" x="1116"/>
        <item m="1" x="1471"/>
        <item m="1" x="1278"/>
        <item x="627"/>
        <item m="1" x="1191"/>
        <item x="338"/>
        <item m="1" x="1028"/>
        <item x="146"/>
        <item m="1" x="1024"/>
        <item m="1" x="912"/>
        <item x="567"/>
        <item x="336"/>
        <item x="648"/>
        <item m="1" x="870"/>
        <item m="1" x="1089"/>
        <item m="1" x="1884"/>
        <item m="1" x="730"/>
        <item x="632"/>
        <item x="634"/>
        <item m="1" x="1522"/>
        <item m="1" x="958"/>
        <item m="1" x="1691"/>
        <item x="333"/>
        <item m="1" x="1236"/>
        <item m="1" x="910"/>
        <item m="1" x="1432"/>
        <item m="1" x="925"/>
        <item x="332"/>
        <item m="1" x="1891"/>
        <item m="1" x="1336"/>
        <item x="331"/>
        <item m="1" x="884"/>
        <item m="1" x="1511"/>
        <item m="1" x="1648"/>
        <item x="643"/>
        <item m="1" x="1016"/>
        <item m="1" x="1929"/>
        <item m="1" x="1943"/>
        <item x="329"/>
        <item x="328"/>
        <item m="1" x="1887"/>
        <item m="1" x="1882"/>
        <item x="326"/>
        <item x="70"/>
        <item m="1" x="1745"/>
        <item m="1" x="975"/>
        <item x="324"/>
        <item x="322"/>
        <item m="1" x="778"/>
        <item m="1" x="1795"/>
        <item x="321"/>
        <item m="1" x="1921"/>
        <item x="320"/>
        <item m="1" x="1433"/>
        <item x="319"/>
        <item x="655"/>
        <item m="1" x="935"/>
        <item x="145"/>
        <item m="1" x="1569"/>
        <item m="1" x="1201"/>
        <item x="646"/>
        <item m="1" x="906"/>
        <item m="1" x="1683"/>
        <item m="1" x="1062"/>
        <item x="647"/>
        <item m="1" x="680"/>
        <item m="1" x="1816"/>
        <item m="1" x="1488"/>
        <item x="314"/>
        <item m="1" x="1127"/>
        <item x="313"/>
        <item x="312"/>
        <item x="32"/>
        <item m="1" x="1749"/>
        <item m="1" x="1932"/>
        <item m="1" x="1539"/>
        <item m="1" x="1130"/>
        <item m="1" x="1738"/>
        <item m="1" x="1170"/>
        <item m="1" x="743"/>
        <item m="1" x="979"/>
        <item m="1" x="1840"/>
        <item m="1" x="864"/>
        <item m="1" x="1210"/>
        <item x="293"/>
        <item x="652"/>
        <item x="292"/>
        <item x="287"/>
        <item m="1" x="1558"/>
        <item m="1" x="1205"/>
        <item m="1" x="872"/>
        <item x="653"/>
        <item x="286"/>
        <item m="1" x="1126"/>
        <item m="1" x="1895"/>
        <item m="1" x="1605"/>
        <item m="1" x="1449"/>
        <item m="1" x="750"/>
        <item m="1" x="1541"/>
        <item x="254"/>
        <item x="656"/>
        <item x="253"/>
        <item m="1" x="1617"/>
        <item x="657"/>
        <item m="1" x="780"/>
        <item m="1" x="1587"/>
        <item m="1" x="1292"/>
        <item m="1" x="1755"/>
        <item m="1" x="1132"/>
        <item m="1" x="833"/>
        <item x="4"/>
        <item x="660"/>
        <item x="245"/>
        <item x="230"/>
        <item m="1" x="1518"/>
        <item m="1" x="826"/>
        <item m="1" x="1219"/>
        <item m="1" x="1693"/>
        <item m="1" x="836"/>
        <item m="1" x="1650"/>
        <item m="1" x="1788"/>
        <item m="1" x="1909"/>
        <item m="1" x="1924"/>
        <item m="1" x="1481"/>
        <item m="1" x="1797"/>
        <item m="1" x="1315"/>
        <item m="1" x="679"/>
        <item x="599"/>
        <item x="330"/>
        <item m="1" x="1428"/>
        <item m="1" x="1374"/>
        <item x="553"/>
        <item x="354"/>
        <item m="1" x="1351"/>
        <item m="1" x="1890"/>
        <item m="1" x="966"/>
        <item m="1" x="1752"/>
        <item x="661"/>
        <item m="1" x="1443"/>
        <item x="263"/>
        <item m="1" x="782"/>
        <item m="1" x="1897"/>
        <item m="1" x="1875"/>
        <item x="514"/>
        <item m="1" x="1896"/>
        <item x="283"/>
        <item x="424"/>
        <item m="1" x="1166"/>
        <item m="1" x="913"/>
        <item m="1" x="1451"/>
        <item m="1" x="835"/>
        <item m="1" x="843"/>
        <item x="197"/>
        <item m="1" x="1275"/>
        <item m="1" x="1178"/>
        <item x="654"/>
        <item m="1" x="1520"/>
        <item m="1" x="696"/>
        <item m="1" x="1390"/>
        <item m="1" x="1698"/>
        <item m="1" x="1102"/>
        <item m="1" x="1760"/>
        <item m="1" x="1814"/>
        <item m="1" x="1873"/>
        <item m="1" x="1770"/>
        <item m="1" x="1497"/>
        <item m="1" x="1356"/>
        <item m="1" x="1950"/>
        <item m="1" x="1653"/>
        <item m="1" x="1680"/>
        <item x="169"/>
        <item m="1" x="1035"/>
        <item x="520"/>
        <item m="1" x="887"/>
        <item m="1" x="1043"/>
        <item m="1" x="1051"/>
        <item m="1" x="1936"/>
        <item m="1" x="1675"/>
        <item x="35"/>
        <item m="1" x="714"/>
        <item m="1" x="1118"/>
        <item x="530"/>
        <item x="523"/>
        <item m="1" x="1287"/>
        <item m="1" x="1694"/>
        <item m="1" x="1787"/>
        <item m="1" x="1027"/>
        <item m="1" x="1741"/>
        <item m="1" x="985"/>
        <item x="442"/>
        <item x="240"/>
        <item x="284"/>
        <item x="368"/>
        <item x="261"/>
        <item x="154"/>
        <item m="1" x="1026"/>
        <item x="278"/>
        <item m="1" x="1337"/>
        <item m="1" x="1934"/>
        <item m="1" x="1754"/>
        <item m="1" x="1416"/>
        <item m="1" x="1407"/>
        <item m="1" x="898"/>
        <item m="1" x="789"/>
        <item m="1" x="1575"/>
        <item m="1" x="1422"/>
        <item m="1" x="1676"/>
        <item m="1" x="920"/>
        <item m="1" x="1940"/>
        <item x="317"/>
        <item m="1" x="897"/>
        <item m="1" x="1423"/>
        <item m="1" x="1436"/>
        <item x="166"/>
        <item x="404"/>
        <item m="1" x="1252"/>
        <item m="1" x="1470"/>
        <item m="1" x="1925"/>
        <item m="1" x="1080"/>
        <item x="461"/>
        <item m="1" x="1721"/>
        <item m="1" x="1886"/>
        <item m="1" x="1900"/>
        <item m="1" x="1779"/>
        <item m="1" x="1242"/>
        <item m="1" x="1603"/>
        <item m="1" x="1263"/>
        <item m="1" x="762"/>
        <item x="36"/>
        <item x="18"/>
        <item m="1" x="1742"/>
        <item m="1" x="1452"/>
        <item m="1" x="1767"/>
        <item m="1" x="918"/>
        <item m="1" x="1300"/>
        <item m="1" x="1413"/>
        <item m="1" x="1562"/>
        <item m="1" x="1578"/>
        <item m="1" x="1328"/>
        <item m="1" x="1790"/>
        <item m="1" x="1419"/>
        <item x="290"/>
        <item m="1" x="1926"/>
        <item m="1" x="1395"/>
        <item x="161"/>
        <item m="1" x="1524"/>
        <item m="1" x="1645"/>
        <item x="61"/>
        <item x="63"/>
        <item x="57"/>
        <item m="1" x="1208"/>
        <item x="96"/>
        <item x="116"/>
        <item x="103"/>
        <item m="1" x="1630"/>
        <item m="1" x="1577"/>
        <item m="1" x="1109"/>
        <item m="1" x="793"/>
        <item m="1" x="1230"/>
        <item x="175"/>
        <item x="184"/>
        <item x="155"/>
        <item m="1" x="899"/>
        <item x="188"/>
        <item m="1" x="799"/>
        <item x="187"/>
        <item m="1" x="1748"/>
        <item m="1" x="1199"/>
        <item m="1" x="1079"/>
        <item x="198"/>
        <item x="265"/>
        <item m="1" x="1939"/>
        <item x="15"/>
        <item m="1" x="1223"/>
        <item m="1" x="1019"/>
        <item m="1" x="722"/>
        <item m="1" x="1778"/>
        <item m="1" x="1438"/>
        <item m="1" x="1014"/>
        <item x="235"/>
        <item x="285"/>
        <item x="241"/>
        <item m="1" x="685"/>
        <item m="1" x="994"/>
        <item m="1" x="674"/>
        <item m="1" x="1427"/>
        <item x="344"/>
        <item m="1" x="1003"/>
        <item x="276"/>
        <item m="1" x="1453"/>
        <item x="135"/>
        <item m="1" x="1254"/>
        <item m="1" x="1564"/>
        <item m="1" x="1580"/>
        <item x="297"/>
        <item m="1" x="1171"/>
        <item m="1" x="746"/>
        <item x="307"/>
        <item m="1" x="1377"/>
        <item m="1" x="1049"/>
        <item x="387"/>
        <item m="1" x="1747"/>
        <item m="1" x="891"/>
        <item m="1" x="866"/>
        <item m="1" x="1198"/>
        <item x="361"/>
        <item x="8"/>
        <item x="22"/>
        <item m="1" x="795"/>
        <item x="38"/>
        <item x="327"/>
        <item x="141"/>
        <item m="1" x="1912"/>
        <item x="304"/>
        <item m="1" x="1622"/>
        <item x="398"/>
        <item m="1" x="720"/>
        <item x="452"/>
        <item m="1" x="908"/>
        <item x="612"/>
        <item m="1" x="1372"/>
        <item m="1" x="1914"/>
        <item m="1" x="711"/>
        <item x="395"/>
        <item m="1" x="1119"/>
        <item m="1" x="802"/>
        <item x="621"/>
        <item m="1" x="1507"/>
        <item m="1" x="1264"/>
        <item m="1" x="1573"/>
        <item m="1" x="1375"/>
        <item m="1" x="1444"/>
        <item x="605"/>
        <item x="423"/>
        <item m="1" x="1509"/>
        <item m="1" x="1942"/>
        <item x="618"/>
        <item x="593"/>
        <item m="1" x="1902"/>
        <item m="1" x="1483"/>
        <item m="1" x="846"/>
        <item x="569"/>
        <item x="583"/>
        <item m="1" x="1227"/>
        <item x="463"/>
        <item x="585"/>
        <item m="1" x="1812"/>
        <item m="1" x="1387"/>
        <item m="1" x="867"/>
        <item x="376"/>
        <item x="639"/>
        <item m="1" x="1181"/>
        <item m="1" x="677"/>
        <item m="1" x="874"/>
        <item m="1" x="702"/>
        <item x="108"/>
        <item x="310"/>
        <item x="469"/>
        <item m="1" x="1175"/>
        <item m="1" x="1866"/>
        <item m="1" x="1309"/>
        <item m="1" x="1349"/>
        <item m="1" x="1515"/>
        <item m="1" x="1362"/>
        <item m="1" x="1258"/>
        <item m="1" x="862"/>
        <item m="1" x="1810"/>
        <item x="334"/>
        <item m="1" x="827"/>
        <item x="659"/>
        <item m="1" x="1261"/>
        <item m="1" x="1672"/>
        <item m="1" x="983"/>
        <item m="1" x="776"/>
        <item m="1" x="1692"/>
        <item m="1" x="853"/>
        <item m="1" x="1860"/>
        <item m="1" x="1161"/>
        <item m="1" x="922"/>
        <item m="1" x="1835"/>
        <item x="512"/>
        <item m="1" x="1379"/>
        <item m="1" x="1215"/>
        <item m="1" x="1689"/>
        <item x="434"/>
        <item x="481"/>
        <item x="479"/>
        <item m="1" x="1945"/>
        <item m="1" x="954"/>
        <item x="628"/>
        <item m="1" x="1761"/>
        <item m="1" x="1510"/>
        <item m="1" x="1845"/>
        <item m="1" x="905"/>
        <item x="49"/>
        <item m="1" x="798"/>
        <item m="1" x="886"/>
        <item x="160"/>
        <item m="1" x="733"/>
        <item m="1" x="1446"/>
        <item m="1" x="1571"/>
        <item m="1" x="1401"/>
        <item m="1" x="1376"/>
        <item x="88"/>
        <item m="1" x="1579"/>
        <item x="584"/>
        <item m="1" x="1293"/>
        <item x="335"/>
        <item m="1" x="1054"/>
        <item m="1" x="1735"/>
        <item m="1" x="1334"/>
        <item m="1" x="1291"/>
        <item m="1" x="819"/>
        <item x="394"/>
        <item m="1" x="771"/>
        <item m="1" x="1498"/>
        <item m="1" x="668"/>
        <item x="381"/>
        <item m="1" x="1190"/>
        <item m="1" x="1601"/>
        <item m="1" x="1586"/>
        <item m="1" x="1877"/>
        <item x="389"/>
        <item m="1" x="691"/>
        <item m="1" x="1559"/>
        <item x="167"/>
        <item x="181"/>
        <item x="94"/>
        <item x="143"/>
        <item m="1" x="1502"/>
        <item m="1" x="1266"/>
        <item m="1" x="1664"/>
        <item x="658"/>
        <item m="1" x="1931"/>
        <item m="1" x="1371"/>
        <item m="1" x="1526"/>
        <item m="1" x="850"/>
        <item m="1" x="1769"/>
        <item m="1" x="1505"/>
        <item x="259"/>
        <item m="1" x="943"/>
        <item m="1" x="1583"/>
        <item m="1" x="1903"/>
        <item x="457"/>
        <item m="1" x="1690"/>
        <item m="1" x="1125"/>
        <item x="378"/>
        <item x="162"/>
        <item x="414"/>
        <item m="1" x="725"/>
        <item m="1" x="822"/>
        <item m="1" x="868"/>
        <item x="33"/>
        <item x="503"/>
        <item m="1" x="1549"/>
        <item m="1" x="1947"/>
        <item m="1" x="1647"/>
        <item m="1" x="1280"/>
        <item x="515"/>
        <item m="1" x="1809"/>
        <item x="449"/>
        <item m="1" x="875"/>
        <item m="1" x="1298"/>
        <item x="517"/>
        <item m="1" x="1542"/>
        <item x="551"/>
        <item m="1" x="1508"/>
        <item m="1" x="1060"/>
        <item x="104"/>
        <item m="1" x="1878"/>
        <item m="1" x="1621"/>
        <item m="1" x="1105"/>
        <item m="1" x="939"/>
        <item x="600"/>
        <item x="490"/>
        <item x="601"/>
        <item x="69"/>
        <item m="1" x="1514"/>
        <item x="559"/>
        <item x="339"/>
        <item x="347"/>
        <item m="1" x="707"/>
        <item m="1" x="1656"/>
        <item m="1" x="1091"/>
        <item x="62"/>
        <item m="1" x="1101"/>
        <item m="1" x="1651"/>
        <item m="1" x="1753"/>
        <item m="1" x="770"/>
        <item x="129"/>
        <item m="1" x="1763"/>
        <item m="1" x="1020"/>
        <item m="1" x="1817"/>
        <item m="1" x="1635"/>
        <item m="1" x="970"/>
        <item m="1" x="951"/>
        <item m="1" x="1369"/>
        <item m="1" x="759"/>
        <item x="225"/>
        <item m="1" x="1363"/>
        <item x="511"/>
        <item m="1" x="1090"/>
        <item x="547"/>
        <item m="1" x="1441"/>
        <item m="1" x="944"/>
        <item m="1" x="1649"/>
        <item m="1" x="1685"/>
        <item m="1" x="940"/>
        <item m="1" x="1478"/>
        <item x="282"/>
        <item m="1" x="1606"/>
        <item m="1" x="1129"/>
        <item m="1" x="1848"/>
        <item x="273"/>
        <item x="266"/>
        <item m="1" x="854"/>
        <item x="349"/>
        <item m="1" x="1768"/>
        <item m="1" x="1881"/>
        <item x="498"/>
        <item m="1" x="914"/>
        <item m="1" x="1669"/>
        <item m="1" x="1447"/>
        <item m="1" x="1131"/>
        <item m="1" x="1311"/>
        <item m="1" x="927"/>
        <item x="552"/>
        <item x="210"/>
        <item x="123"/>
        <item m="1" x="972"/>
        <item m="1" x="673"/>
        <item m="1" x="708"/>
        <item m="1" x="1485"/>
        <item m="1" x="1530"/>
        <item x="26"/>
        <item m="1" x="758"/>
        <item m="1" x="1952"/>
        <item m="1" x="1807"/>
        <item m="1" x="900"/>
        <item m="1" x="1917"/>
        <item m="1" x="1614"/>
        <item m="1" x="1005"/>
        <item m="1" x="1115"/>
        <item m="1" x="1073"/>
        <item m="1" x="1226"/>
        <item m="1" x="1838"/>
        <item x="280"/>
        <item m="1" x="1673"/>
        <item x="131"/>
        <item m="1" x="752"/>
        <item m="1" x="876"/>
        <item m="1" x="1159"/>
        <item m="1" x="810"/>
        <item m="1" x="1870"/>
        <item m="1" x="1802"/>
        <item x="219"/>
        <item m="1" x="880"/>
        <item m="1" x="1644"/>
        <item x="483"/>
        <item m="1" x="1529"/>
        <item m="1" x="928"/>
        <item m="1" x="1193"/>
        <item x="558"/>
        <item m="1" x="1841"/>
        <item m="1" x="973"/>
        <item x="549"/>
        <item m="1" x="1111"/>
        <item x="302"/>
        <item x="350"/>
        <item x="151"/>
        <item m="1" x="1843"/>
        <item m="1" x="1772"/>
        <item m="1" x="969"/>
        <item m="1" x="1329"/>
        <item m="1" x="1616"/>
        <item m="1" x="1248"/>
        <item m="1" x="1235"/>
        <item m="1" x="1145"/>
        <item x="636"/>
        <item x="52"/>
        <item x="19"/>
        <item m="1" x="984"/>
        <item m="1" x="837"/>
        <item x="77"/>
        <item m="1" x="1469"/>
        <item m="1" x="1139"/>
        <item x="222"/>
        <item m="1" x="1482"/>
        <item m="1" x="1021"/>
        <item x="177"/>
        <item m="1" x="1516"/>
        <item m="1" x="1534"/>
        <item m="1" x="1152"/>
        <item m="1" x="1501"/>
        <item m="1" x="1786"/>
        <item m="1" x="1610"/>
        <item m="1" x="1460"/>
        <item m="1" x="1525"/>
        <item x="0"/>
        <item m="1" x="779"/>
        <item x="264"/>
        <item m="1" x="1711"/>
        <item m="1" x="808"/>
        <item m="1" x="1157"/>
        <item m="1" x="1260"/>
        <item x="281"/>
        <item x="557"/>
        <item m="1" x="1682"/>
        <item m="1" x="1906"/>
        <item m="1" x="1361"/>
        <item m="1" x="1397"/>
        <item m="1" x="792"/>
        <item m="1" x="1055"/>
        <item m="1" x="1702"/>
        <item m="1" x="1833"/>
        <item m="1" x="1221"/>
        <item m="1" x="1879"/>
        <item m="1" x="694"/>
        <item x="294"/>
        <item m="1" x="861"/>
        <item m="1" x="934"/>
        <item m="1" x="783"/>
        <item m="1" x="1389"/>
        <item m="1" x="1238"/>
        <item m="1" x="788"/>
        <item m="1" x="665"/>
        <item x="644"/>
        <item m="1" x="1794"/>
        <item x="570"/>
        <item m="1" x="1164"/>
        <item m="1" x="1602"/>
        <item x="417"/>
        <item m="1" x="1233"/>
        <item m="1" x="1323"/>
        <item m="1" x="1537"/>
        <item x="475"/>
        <item m="1" x="738"/>
        <item x="578"/>
        <item m="1" x="705"/>
        <item m="1" x="1110"/>
        <item m="1" x="739"/>
        <item m="1" x="989"/>
        <item m="1" x="1310"/>
        <item x="604"/>
        <item m="1" x="895"/>
        <item x="448"/>
        <item m="1" x="681"/>
        <item m="1" x="1813"/>
        <item m="1" x="1058"/>
        <item m="1" x="1500"/>
        <item m="1" x="936"/>
        <item x="382"/>
        <item x="363"/>
        <item x="611"/>
        <item m="1" x="1570"/>
        <item m="1" x="1535"/>
        <item x="279"/>
        <item m="1" x="676"/>
        <item m="1" x="1229"/>
        <item x="165"/>
        <item x="256"/>
        <item x="185"/>
        <item m="1" x="1915"/>
        <item m="1" x="1933"/>
        <item m="1" x="1077"/>
        <item m="1" x="1941"/>
        <item m="1" x="1853"/>
        <item m="1" x="896"/>
        <item m="1" x="1256"/>
        <item m="1" x="830"/>
        <item m="1" x="716"/>
        <item m="1" x="1056"/>
        <item x="54"/>
        <item m="1" x="1086"/>
        <item m="1" x="1209"/>
        <item m="1" x="1785"/>
        <item m="1" x="946"/>
        <item x="581"/>
        <item m="1" x="737"/>
        <item m="1" x="1098"/>
        <item x="458"/>
        <item m="1" x="667"/>
        <item m="1" x="1059"/>
        <item m="1" x="1319"/>
        <item m="1" x="938"/>
        <item m="1" x="1637"/>
        <item x="111"/>
        <item m="1" x="957"/>
        <item m="1" x="1831"/>
        <item m="1" x="1417"/>
        <item m="1" x="903"/>
        <item x="392"/>
        <item m="1" x="1057"/>
        <item m="1" x="1009"/>
        <item m="1" x="820"/>
        <item m="1" x="1015"/>
        <item m="1" x="1898"/>
        <item m="1" x="933"/>
        <item m="1" x="961"/>
        <item m="1" x="1733"/>
        <item x="68"/>
        <item m="1" x="1147"/>
        <item m="1" x="1467"/>
        <item m="1" x="726"/>
        <item m="1" x="695"/>
        <item m="1" x="727"/>
        <item m="1" x="1466"/>
        <item m="1" x="781"/>
        <item m="1" x="1041"/>
        <item m="1" x="1346"/>
        <item m="1" x="1708"/>
        <item m="1" x="1121"/>
        <item m="1" x="1085"/>
        <item m="1" x="1313"/>
        <item m="1" x="1822"/>
        <item m="1" x="1069"/>
        <item m="1" x="1491"/>
        <item m="1" x="1097"/>
        <item m="1" x="1540"/>
        <item m="1" x="1396"/>
        <item m="1" x="1636"/>
        <item m="1" x="1679"/>
        <item x="436"/>
        <item x="172"/>
        <item x="257"/>
        <item x="444"/>
        <item m="1" x="1442"/>
        <item m="1" x="1133"/>
        <item m="1" x="1533"/>
        <item m="1" x="977"/>
        <item m="1" x="1324"/>
        <item m="1" x="1504"/>
        <item m="1" x="1322"/>
        <item m="1" x="1382"/>
        <item m="1" x="1548"/>
        <item m="1" x="1667"/>
        <item x="288"/>
        <item m="1" x="728"/>
        <item m="1" x="764"/>
        <item m="1" x="1270"/>
        <item m="1" x="1829"/>
        <item m="1" x="1180"/>
        <item m="1" x="1781"/>
        <item x="298"/>
        <item m="1" x="804"/>
        <item m="1" x="1017"/>
        <item x="464"/>
        <item m="1" x="1851"/>
        <item m="1" x="794"/>
        <item m="1" x="911"/>
        <item m="1" x="1746"/>
        <item x="459"/>
        <item m="1" x="1037"/>
        <item m="1" x="682"/>
        <item m="1" x="1388"/>
        <item m="1" x="1905"/>
        <item m="1" x="929"/>
        <item m="1" x="1589"/>
        <item m="1" x="1029"/>
        <item x="617"/>
        <item m="1" x="1916"/>
        <item m="1" x="1245"/>
        <item m="1" x="1820"/>
        <item m="1" x="1247"/>
        <item m="1" x="717"/>
        <item m="1" x="1919"/>
        <item m="1" x="1631"/>
        <item x="447"/>
        <item m="1" x="1165"/>
        <item m="1" x="1202"/>
        <item m="1" x="1404"/>
        <item m="1" x="1218"/>
        <item m="1" x="821"/>
        <item x="582"/>
        <item m="1" x="1348"/>
        <item m="1" x="953"/>
        <item x="596"/>
        <item m="1" x="1067"/>
        <item m="1" x="1696"/>
        <item x="586"/>
        <item x="136"/>
        <item m="1" x="1854"/>
        <item x="487"/>
        <item m="1" x="879"/>
        <item x="453"/>
        <item m="1" x="1146"/>
        <item x="638"/>
        <item m="1" x="1440"/>
        <item x="546"/>
        <item x="629"/>
        <item m="1" x="1923"/>
        <item x="438"/>
        <item m="1" x="1386"/>
        <item m="1" x="1392"/>
        <item m="1" x="1117"/>
        <item m="1" x="1547"/>
        <item x="630"/>
        <item m="1" x="1421"/>
        <item m="1" x="996"/>
        <item m="1" x="1271"/>
        <item x="356"/>
        <item m="1" x="811"/>
        <item m="1" x="882"/>
        <item m="1" x="1576"/>
        <item m="1" x="1528"/>
        <item m="1" x="1154"/>
        <item m="1" x="1713"/>
        <item m="1" x="1874"/>
        <item m="1" x="671"/>
        <item x="11"/>
        <item x="133"/>
        <item x="2"/>
        <item x="369"/>
        <item x="370"/>
        <item m="1" x="1607"/>
        <item m="1" x="1391"/>
        <item x="56"/>
        <item m="1" x="839"/>
        <item m="1" x="807"/>
        <item m="1" x="1197"/>
        <item m="1" x="1732"/>
        <item m="1" x="1908"/>
        <item x="124"/>
        <item m="1" x="1078"/>
        <item m="1" x="768"/>
        <item x="495"/>
        <item x="153"/>
        <item x="28"/>
        <item m="1" x="1532"/>
        <item m="1" x="1437"/>
        <item m="1" x="797"/>
        <item m="1" x="877"/>
        <item m="1" x="1937"/>
        <item x="224"/>
        <item m="1" x="805"/>
        <item m="1" x="1911"/>
        <item m="1" x="1081"/>
        <item m="1" x="1196"/>
        <item m="1" x="1344"/>
        <item m="1" x="1217"/>
        <item m="1" x="967"/>
        <item m="1" x="1355"/>
        <item m="1" x="1857"/>
        <item x="277"/>
        <item m="1" x="1173"/>
        <item m="1" x="1611"/>
        <item x="306"/>
        <item m="1" x="1370"/>
        <item m="1" x="1317"/>
        <item m="1" x="1566"/>
        <item x="651"/>
        <item m="1" x="1435"/>
        <item x="433"/>
        <item m="1" x="1892"/>
        <item x="507"/>
        <item m="1" x="960"/>
        <item m="1" x="1122"/>
        <item m="1" x="999"/>
        <item m="1" x="1944"/>
        <item x="379"/>
        <item x="371"/>
        <item m="1" x="859"/>
        <item m="1" x="1186"/>
        <item m="1" x="1150"/>
        <item m="1" x="712"/>
        <item x="92"/>
        <item m="1" x="1717"/>
        <item m="1" x="1946"/>
        <item x="527"/>
        <item m="1" x="1012"/>
        <item m="1" x="847"/>
        <item m="1" x="1823"/>
        <item x="1"/>
        <item x="44"/>
        <item x="46"/>
        <item x="51"/>
        <item x="55"/>
        <item x="75"/>
        <item x="80"/>
        <item x="81"/>
        <item x="98"/>
        <item x="105"/>
        <item x="107"/>
        <item x="110"/>
        <item x="122"/>
        <item x="127"/>
        <item x="128"/>
        <item x="164"/>
        <item x="182"/>
        <item x="186"/>
        <item x="223"/>
        <item x="233"/>
        <item x="239"/>
        <item x="252"/>
        <item x="255"/>
        <item x="267"/>
        <item x="274"/>
        <item x="295"/>
        <item x="301"/>
        <item x="308"/>
        <item x="315"/>
        <item x="316"/>
        <item x="325"/>
        <item x="337"/>
        <item x="343"/>
        <item x="364"/>
        <item x="374"/>
        <item x="403"/>
        <item x="406"/>
        <item x="411"/>
        <item x="415"/>
        <item x="419"/>
        <item x="429"/>
        <item x="437"/>
        <item x="450"/>
        <item x="451"/>
        <item x="454"/>
        <item x="467"/>
        <item x="473"/>
        <item x="485"/>
        <item x="486"/>
        <item x="500"/>
        <item x="502"/>
        <item x="508"/>
        <item x="509"/>
        <item x="518"/>
        <item x="519"/>
        <item x="531"/>
        <item x="532"/>
        <item x="533"/>
        <item x="568"/>
        <item x="573"/>
        <item x="579"/>
        <item x="587"/>
        <item x="588"/>
        <item x="603"/>
        <item x="606"/>
        <item x="608"/>
        <item x="613"/>
        <item x="620"/>
        <item x="637"/>
        <item x="645"/>
        <item x="649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2">
        <item m="1" x="8"/>
        <item h="1" x="1"/>
        <item x="2"/>
        <item m="1" x="5"/>
        <item m="1" x="10"/>
        <item h="1" x="0"/>
        <item h="1" x="3"/>
        <item h="1" m="1" x="9"/>
        <item h="1"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34">
    <i>
      <x v="2"/>
    </i>
    <i>
      <x v="4"/>
    </i>
    <i>
      <x v="14"/>
    </i>
    <i>
      <x v="18"/>
    </i>
    <i>
      <x v="19"/>
    </i>
    <i>
      <x v="20"/>
    </i>
    <i>
      <x v="22"/>
    </i>
    <i>
      <x v="26"/>
    </i>
    <i>
      <x v="32"/>
    </i>
    <i>
      <x v="36"/>
    </i>
    <i>
      <x v="38"/>
    </i>
    <i>
      <x v="44"/>
    </i>
    <i>
      <x v="48"/>
    </i>
    <i>
      <x v="50"/>
    </i>
    <i>
      <x v="55"/>
    </i>
    <i>
      <x v="56"/>
    </i>
    <i>
      <x v="57"/>
    </i>
    <i>
      <x v="62"/>
    </i>
    <i>
      <x v="65"/>
    </i>
    <i>
      <x v="69"/>
    </i>
    <i>
      <x v="70"/>
    </i>
    <i>
      <x v="75"/>
    </i>
    <i>
      <x v="77"/>
    </i>
    <i>
      <x v="84"/>
    </i>
    <i>
      <x v="94"/>
    </i>
    <i>
      <x v="95"/>
    </i>
    <i>
      <x v="108"/>
    </i>
    <i>
      <x v="117"/>
    </i>
    <i>
      <x v="132"/>
    </i>
    <i>
      <x v="137"/>
    </i>
    <i>
      <x v="143"/>
    </i>
    <i>
      <x v="150"/>
    </i>
    <i>
      <x v="151"/>
    </i>
    <i>
      <x v="154"/>
    </i>
    <i>
      <x v="155"/>
    </i>
    <i>
      <x v="158"/>
    </i>
    <i>
      <x v="167"/>
    </i>
    <i>
      <x v="171"/>
    </i>
    <i>
      <x v="174"/>
    </i>
    <i>
      <x v="177"/>
    </i>
    <i>
      <x v="180"/>
    </i>
    <i>
      <x v="182"/>
    </i>
    <i>
      <x v="185"/>
    </i>
    <i>
      <x v="188"/>
    </i>
    <i>
      <x v="190"/>
    </i>
    <i>
      <x v="192"/>
    </i>
    <i>
      <x v="193"/>
    </i>
    <i>
      <x v="194"/>
    </i>
    <i>
      <x v="203"/>
    </i>
    <i>
      <x v="208"/>
    </i>
    <i>
      <x v="211"/>
    </i>
    <i>
      <x v="215"/>
    </i>
    <i>
      <x v="226"/>
    </i>
    <i>
      <x v="228"/>
    </i>
    <i>
      <x v="234"/>
    </i>
    <i>
      <x v="241"/>
    </i>
    <i>
      <x v="243"/>
    </i>
    <i>
      <x v="246"/>
    </i>
    <i>
      <x v="248"/>
    </i>
    <i>
      <x v="256"/>
    </i>
    <i>
      <x v="257"/>
    </i>
    <i>
      <x v="264"/>
    </i>
    <i>
      <x v="265"/>
    </i>
    <i>
      <x v="266"/>
    </i>
    <i>
      <x v="269"/>
    </i>
    <i>
      <x v="272"/>
    </i>
    <i>
      <x v="276"/>
    </i>
    <i>
      <x v="281"/>
    </i>
    <i>
      <x v="282"/>
    </i>
    <i>
      <x v="286"/>
    </i>
    <i>
      <x v="288"/>
    </i>
    <i>
      <x v="289"/>
    </i>
    <i>
      <x v="297"/>
    </i>
    <i>
      <x v="298"/>
    </i>
    <i>
      <x v="309"/>
    </i>
    <i>
      <x v="315"/>
    </i>
    <i>
      <x v="317"/>
    </i>
    <i>
      <x v="318"/>
    </i>
    <i>
      <x v="324"/>
    </i>
    <i>
      <x v="325"/>
    </i>
    <i>
      <x v="327"/>
    </i>
    <i>
      <x v="334"/>
    </i>
    <i>
      <x v="337"/>
    </i>
    <i>
      <x v="339"/>
    </i>
    <i>
      <x v="342"/>
    </i>
    <i>
      <x v="346"/>
    </i>
    <i>
      <x v="356"/>
    </i>
    <i>
      <x v="357"/>
    </i>
    <i>
      <x v="361"/>
    </i>
    <i>
      <x v="363"/>
    </i>
    <i>
      <x v="365"/>
    </i>
    <i>
      <x v="366"/>
    </i>
    <i>
      <x v="367"/>
    </i>
    <i>
      <x v="369"/>
    </i>
    <i>
      <x v="371"/>
    </i>
    <i>
      <x v="373"/>
    </i>
    <i>
      <x v="385"/>
    </i>
    <i>
      <x v="386"/>
    </i>
    <i>
      <x v="388"/>
    </i>
    <i>
      <x v="394"/>
    </i>
    <i>
      <x v="400"/>
    </i>
    <i>
      <x v="405"/>
    </i>
    <i>
      <x v="408"/>
    </i>
    <i>
      <x v="426"/>
    </i>
    <i>
      <x v="431"/>
    </i>
    <i>
      <x v="435"/>
    </i>
    <i>
      <x v="442"/>
    </i>
    <i>
      <x v="443"/>
    </i>
    <i>
      <x v="451"/>
    </i>
    <i>
      <x v="456"/>
    </i>
    <i>
      <x v="457"/>
    </i>
    <i>
      <x v="460"/>
    </i>
    <i>
      <x v="461"/>
    </i>
    <i>
      <x v="464"/>
    </i>
    <i>
      <x v="466"/>
    </i>
    <i>
      <x v="471"/>
    </i>
    <i>
      <x v="474"/>
    </i>
    <i>
      <x v="479"/>
    </i>
    <i>
      <x v="482"/>
    </i>
    <i>
      <x v="483"/>
    </i>
    <i>
      <x v="488"/>
    </i>
    <i>
      <x v="492"/>
    </i>
    <i>
      <x v="498"/>
    </i>
    <i>
      <x v="501"/>
    </i>
    <i>
      <x v="509"/>
    </i>
    <i>
      <x v="510"/>
    </i>
    <i>
      <x v="513"/>
    </i>
    <i>
      <x v="514"/>
    </i>
    <i>
      <x v="523"/>
    </i>
    <i>
      <x v="532"/>
    </i>
    <i>
      <x v="538"/>
    </i>
    <i>
      <x v="542"/>
    </i>
    <i>
      <x v="553"/>
    </i>
    <i>
      <x v="558"/>
    </i>
    <i>
      <x v="559"/>
    </i>
    <i>
      <x v="561"/>
    </i>
    <i>
      <x v="564"/>
    </i>
    <i>
      <x v="570"/>
    </i>
    <i>
      <x v="575"/>
    </i>
    <i>
      <x v="579"/>
    </i>
    <i>
      <x v="586"/>
    </i>
    <i>
      <x v="590"/>
    </i>
    <i>
      <x v="593"/>
    </i>
    <i>
      <x v="596"/>
    </i>
    <i>
      <x v="600"/>
    </i>
    <i>
      <x v="617"/>
    </i>
    <i>
      <x v="633"/>
    </i>
    <i>
      <x v="639"/>
    </i>
    <i>
      <x v="642"/>
    </i>
    <i>
      <x v="646"/>
    </i>
    <i>
      <x v="657"/>
    </i>
    <i>
      <x v="658"/>
    </i>
    <i>
      <x v="660"/>
    </i>
    <i>
      <x v="663"/>
    </i>
    <i>
      <x v="664"/>
    </i>
    <i>
      <x v="671"/>
    </i>
    <i>
      <x v="681"/>
    </i>
    <i>
      <x v="682"/>
    </i>
    <i>
      <x v="686"/>
    </i>
    <i>
      <x v="702"/>
    </i>
    <i>
      <x v="703"/>
    </i>
    <i>
      <x v="710"/>
    </i>
    <i>
      <x v="715"/>
    </i>
    <i>
      <x v="726"/>
    </i>
    <i>
      <x v="728"/>
    </i>
    <i>
      <x v="729"/>
    </i>
    <i>
      <x v="730"/>
    </i>
    <i>
      <x v="740"/>
    </i>
    <i>
      <x v="747"/>
    </i>
    <i>
      <x v="749"/>
    </i>
    <i>
      <x v="757"/>
    </i>
    <i>
      <x v="759"/>
    </i>
    <i>
      <x v="762"/>
    </i>
    <i>
      <x v="767"/>
    </i>
    <i>
      <x v="771"/>
    </i>
    <i>
      <x v="772"/>
    </i>
    <i>
      <x v="774"/>
    </i>
    <i>
      <x v="784"/>
    </i>
    <i>
      <x v="798"/>
    </i>
    <i>
      <x v="801"/>
    </i>
    <i>
      <x v="805"/>
    </i>
    <i>
      <x v="810"/>
    </i>
    <i>
      <x v="812"/>
    </i>
    <i>
      <x v="821"/>
    </i>
    <i>
      <x v="823"/>
    </i>
    <i>
      <x v="826"/>
    </i>
    <i>
      <x v="829"/>
    </i>
    <i>
      <x v="831"/>
    </i>
    <i>
      <x v="835"/>
    </i>
    <i>
      <x v="849"/>
    </i>
    <i>
      <x v="853"/>
    </i>
    <i>
      <x v="866"/>
    </i>
    <i>
      <x v="869"/>
    </i>
    <i>
      <x v="871"/>
    </i>
    <i>
      <x v="872"/>
    </i>
    <i>
      <x v="873"/>
    </i>
    <i>
      <x v="877"/>
    </i>
    <i>
      <x v="894"/>
    </i>
    <i>
      <x v="898"/>
    </i>
    <i>
      <x v="899"/>
    </i>
    <i>
      <x v="900"/>
    </i>
    <i>
      <x v="901"/>
    </i>
    <i>
      <x v="905"/>
    </i>
    <i>
      <x v="906"/>
    </i>
    <i>
      <x v="912"/>
    </i>
    <i>
      <x v="915"/>
    </i>
    <i>
      <x v="918"/>
    </i>
    <i>
      <x v="920"/>
    </i>
    <i>
      <x v="922"/>
    </i>
    <i>
      <x v="926"/>
    </i>
    <i>
      <x v="933"/>
    </i>
    <i>
      <x v="934"/>
    </i>
    <i>
      <x v="937"/>
    </i>
    <i>
      <x v="943"/>
    </i>
    <i>
      <x v="944"/>
    </i>
    <i>
      <x v="950"/>
    </i>
    <i>
      <x v="954"/>
    </i>
    <i>
      <x v="957"/>
    </i>
    <i>
      <x v="962"/>
    </i>
    <i>
      <x v="974"/>
    </i>
    <i>
      <x v="975"/>
    </i>
    <i>
      <x v="980"/>
    </i>
    <i>
      <x v="982"/>
    </i>
    <i>
      <x v="989"/>
    </i>
    <i>
      <x v="997"/>
    </i>
    <i>
      <x v="1000"/>
    </i>
    <i>
      <x v="1001"/>
    </i>
    <i>
      <x v="1002"/>
    </i>
    <i>
      <x v="1009"/>
    </i>
    <i>
      <x v="1015"/>
    </i>
    <i>
      <x v="1017"/>
    </i>
    <i>
      <x v="1020"/>
    </i>
    <i>
      <x v="1021"/>
    </i>
    <i>
      <x v="1028"/>
    </i>
    <i>
      <x v="1032"/>
    </i>
    <i>
      <x v="1037"/>
    </i>
    <i>
      <x v="1040"/>
    </i>
    <i>
      <x v="1048"/>
    </i>
    <i>
      <x v="1049"/>
    </i>
    <i>
      <x v="1052"/>
    </i>
    <i>
      <x v="1056"/>
    </i>
    <i>
      <x v="1057"/>
    </i>
    <i>
      <x v="1060"/>
    </i>
    <i>
      <x v="1062"/>
    </i>
    <i>
      <x v="1064"/>
    </i>
    <i>
      <x v="1067"/>
    </i>
    <i>
      <x v="1078"/>
    </i>
    <i>
      <x v="1080"/>
    </i>
    <i>
      <x v="1081"/>
    </i>
    <i>
      <x v="1094"/>
    </i>
    <i>
      <x v="1095"/>
    </i>
    <i>
      <x v="1097"/>
    </i>
    <i>
      <x v="1109"/>
    </i>
    <i>
      <x v="1111"/>
    </i>
    <i>
      <x v="1113"/>
    </i>
    <i>
      <x v="1121"/>
    </i>
    <i>
      <x v="1122"/>
    </i>
    <i>
      <x v="1123"/>
    </i>
    <i>
      <x v="1137"/>
    </i>
    <i>
      <x v="1138"/>
    </i>
    <i>
      <x v="1141"/>
    </i>
    <i>
      <x v="1142"/>
    </i>
    <i>
      <x v="1162"/>
    </i>
    <i>
      <x v="1165"/>
    </i>
    <i>
      <x v="1180"/>
    </i>
    <i>
      <x v="1182"/>
    </i>
    <i>
      <x v="1188"/>
    </i>
    <i>
      <x v="1191"/>
    </i>
    <i>
      <x v="1192"/>
    </i>
    <i>
      <x v="1199"/>
    </i>
    <i>
      <x v="1200"/>
    </i>
    <i>
      <x v="1201"/>
    </i>
    <i>
      <x v="1202"/>
    </i>
    <i>
      <x v="1203"/>
    </i>
    <i>
      <x v="1204"/>
    </i>
    <i>
      <x v="1206"/>
    </i>
    <i>
      <x v="1219"/>
    </i>
    <i>
      <x v="1257"/>
    </i>
    <i>
      <x v="1258"/>
    </i>
    <i>
      <x v="1261"/>
    </i>
    <i>
      <x v="1270"/>
    </i>
    <i>
      <x v="1271"/>
    </i>
    <i>
      <x v="1275"/>
    </i>
    <i>
      <x v="1280"/>
    </i>
    <i>
      <x v="1289"/>
    </i>
    <i>
      <x v="1291"/>
    </i>
    <i>
      <x v="1298"/>
    </i>
    <i>
      <x v="1304"/>
    </i>
    <i>
      <x v="1307"/>
    </i>
    <i>
      <x v="1315"/>
    </i>
    <i>
      <x v="1320"/>
    </i>
    <i>
      <x v="1327"/>
    </i>
    <i>
      <x v="1329"/>
    </i>
    <i>
      <x v="1347"/>
    </i>
    <i>
      <x v="1351"/>
    </i>
    <i>
      <x v="1352"/>
    </i>
    <i>
      <x v="1354"/>
    </i>
    <i>
      <x v="1355"/>
    </i>
    <i>
      <x v="1359"/>
    </i>
    <i>
      <x v="1366"/>
    </i>
    <i>
      <x v="1367"/>
    </i>
    <i>
      <x v="1377"/>
    </i>
    <i>
      <x v="1390"/>
    </i>
    <i>
      <x v="1395"/>
    </i>
    <i>
      <x v="1407"/>
    </i>
    <i>
      <x v="1415"/>
    </i>
    <i>
      <x v="1423"/>
    </i>
    <i>
      <x v="1436"/>
    </i>
    <i>
      <x v="1438"/>
    </i>
    <i>
      <x v="1449"/>
    </i>
    <i>
      <x v="1453"/>
    </i>
    <i>
      <x v="1470"/>
    </i>
    <i>
      <x v="1478"/>
    </i>
    <i>
      <x v="1484"/>
    </i>
    <i>
      <x v="1488"/>
    </i>
    <i>
      <x v="1490"/>
    </i>
    <i>
      <x v="1494"/>
    </i>
    <i>
      <x v="1499"/>
    </i>
    <i>
      <x v="1508"/>
    </i>
    <i>
      <x v="1510"/>
    </i>
    <i>
      <x v="1512"/>
    </i>
    <i>
      <x v="1523"/>
    </i>
    <i>
      <x v="1524"/>
    </i>
    <i>
      <x v="1526"/>
    </i>
    <i>
      <x v="1529"/>
    </i>
    <i>
      <x v="1536"/>
    </i>
    <i>
      <x v="1538"/>
    </i>
    <i>
      <x v="1556"/>
    </i>
    <i>
      <x v="1558"/>
    </i>
    <i>
      <x v="1568"/>
    </i>
    <i>
      <x v="1575"/>
    </i>
    <i>
      <x v="1577"/>
    </i>
    <i>
      <x v="1578"/>
    </i>
    <i>
      <x v="1579"/>
    </i>
    <i>
      <x v="1593"/>
    </i>
    <i>
      <x v="1616"/>
    </i>
    <i>
      <x v="1628"/>
    </i>
    <i>
      <x v="1645"/>
    </i>
    <i>
      <x v="1647"/>
    </i>
    <i>
      <x v="1655"/>
    </i>
    <i>
      <x v="1661"/>
    </i>
    <i>
      <x v="1662"/>
    </i>
    <i>
      <x v="1666"/>
    </i>
    <i>
      <x v="1687"/>
    </i>
    <i>
      <x v="1690"/>
    </i>
    <i>
      <x v="1710"/>
    </i>
    <i>
      <x v="1734"/>
    </i>
    <i>
      <x v="1735"/>
    </i>
    <i>
      <x v="1746"/>
    </i>
    <i>
      <x v="1753"/>
    </i>
    <i>
      <x v="1761"/>
    </i>
    <i>
      <x v="1769"/>
    </i>
    <i>
      <x v="1783"/>
    </i>
    <i>
      <x v="1786"/>
    </i>
    <i>
      <x v="1789"/>
    </i>
    <i>
      <x v="1792"/>
    </i>
    <i>
      <x v="1794"/>
    </i>
    <i>
      <x v="1796"/>
    </i>
    <i>
      <x v="1798"/>
    </i>
    <i>
      <x v="1799"/>
    </i>
    <i>
      <x v="1801"/>
    </i>
    <i>
      <x v="1806"/>
    </i>
    <i>
      <x v="1810"/>
    </i>
    <i>
      <x v="1822"/>
    </i>
    <i>
      <x v="1826"/>
    </i>
    <i>
      <x v="1832"/>
    </i>
    <i>
      <x v="1835"/>
    </i>
    <i>
      <x v="1836"/>
    </i>
    <i>
      <x v="1837"/>
    </i>
    <i>
      <x v="1843"/>
    </i>
    <i>
      <x v="1853"/>
    </i>
    <i>
      <x v="1856"/>
    </i>
    <i>
      <x v="1860"/>
    </i>
    <i>
      <x v="1862"/>
    </i>
    <i>
      <x v="1864"/>
    </i>
    <i>
      <x v="1869"/>
    </i>
    <i>
      <x v="1870"/>
    </i>
    <i>
      <x v="1878"/>
    </i>
    <i>
      <x v="1883"/>
    </i>
    <i>
      <x v="1885"/>
    </i>
    <i>
      <x v="1887"/>
    </i>
    <i>
      <x v="1888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9"/>
    </i>
    <i>
      <x v="1900"/>
    </i>
    <i>
      <x v="1903"/>
    </i>
    <i>
      <x v="1905"/>
    </i>
    <i>
      <x v="1906"/>
    </i>
    <i>
      <x v="1907"/>
    </i>
    <i>
      <x v="1908"/>
    </i>
    <i>
      <x v="1909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9"/>
    </i>
    <i>
      <x v="1930"/>
    </i>
    <i>
      <x v="1931"/>
    </i>
    <i>
      <x v="1932"/>
    </i>
    <i>
      <x v="1933"/>
    </i>
    <i>
      <x v="1934"/>
    </i>
    <i>
      <x v="1936"/>
    </i>
    <i>
      <x v="1938"/>
    </i>
    <i>
      <x v="1939"/>
    </i>
    <i>
      <x v="1940"/>
    </i>
    <i>
      <x v="1941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632">
      <pivotArea grandRow="1" outline="0" collapsedLevelsAreSubtotals="1" fieldPosition="0"/>
    </format>
    <format dxfId="1631">
      <pivotArea dataOnly="0" labelOnly="1" grandRow="1" outline="0" fieldPosition="0"/>
    </format>
    <format dxfId="1630">
      <pivotArea dataOnly="0" labelOnly="1" outline="0" axis="axisValues" fieldPosition="0"/>
    </format>
    <format dxfId="1629">
      <pivotArea dataOnly="0" labelOnly="1" outline="0" axis="axisValues" fieldPosition="0"/>
    </format>
    <format dxfId="1628">
      <pivotArea dataOnly="0" labelOnly="1" outline="0" axis="axisValues" fieldPosition="0"/>
    </format>
    <format dxfId="1627">
      <pivotArea dataOnly="0" labelOnly="1" outline="0" axis="axisValues" fieldPosition="0"/>
    </format>
    <format dxfId="1626">
      <pivotArea type="all" dataOnly="0" outline="0" fieldPosition="0"/>
    </format>
    <format dxfId="1625">
      <pivotArea outline="0" collapsedLevelsAreSubtotals="1" fieldPosition="0"/>
    </format>
    <format dxfId="1624">
      <pivotArea field="6" type="button" dataOnly="0" labelOnly="1" outline="0" axis="axisRow" fieldPosition="0"/>
    </format>
    <format dxfId="1623">
      <pivotArea dataOnly="0" labelOnly="1" outline="0" axis="axisValues" fieldPosition="0"/>
    </format>
    <format dxfId="1622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621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620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619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618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617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616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615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614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613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612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611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610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609">
      <pivotArea dataOnly="0" labelOnly="1" grandRow="1" outline="0" fieldPosition="0"/>
    </format>
    <format dxfId="160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:B19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2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showAll="0">
      <items count="19">
        <item x="9"/>
        <item m="1" x="12"/>
        <item m="1" x="13"/>
        <item m="1" x="14"/>
        <item m="1" x="15"/>
        <item m="1" x="16"/>
        <item m="1" x="11"/>
        <item x="10"/>
        <item m="1" x="17"/>
        <item x="3"/>
        <item x="6"/>
        <item x="7"/>
        <item x="8"/>
        <item x="5"/>
        <item x="1"/>
        <item x="0"/>
        <item x="2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518">
      <pivotArea type="all" dataOnly="0" outline="0" fieldPosition="0"/>
    </format>
    <format dxfId="1517">
      <pivotArea outline="0" collapsedLevelsAreSubtotals="1" fieldPosition="0"/>
    </format>
    <format dxfId="1516">
      <pivotArea type="origin" dataOnly="0" labelOnly="1" outline="0" fieldPosition="0"/>
    </format>
    <format dxfId="1515">
      <pivotArea field="19" type="button" dataOnly="0" labelOnly="1" outline="0"/>
    </format>
    <format dxfId="1514">
      <pivotArea type="topRight" dataOnly="0" labelOnly="1" outline="0" fieldPosition="0"/>
    </format>
    <format dxfId="1513">
      <pivotArea field="14" type="button" dataOnly="0" labelOnly="1" outline="0" axis="axisRow" fieldPosition="0"/>
    </format>
    <format dxfId="1512">
      <pivotArea dataOnly="0" labelOnly="1" fieldPosition="0">
        <references count="1">
          <reference field="14" count="0"/>
        </references>
      </pivotArea>
    </format>
    <format dxfId="1511">
      <pivotArea dataOnly="0" labelOnly="1" grandRow="1" outline="0" fieldPosition="0"/>
    </format>
    <format dxfId="1510">
      <pivotArea dataOnly="0" labelOnly="1" grandCol="1" outline="0" fieldPosition="0"/>
    </format>
    <format dxfId="1509">
      <pivotArea type="all" dataOnly="0" outline="0" fieldPosition="0"/>
    </format>
    <format dxfId="1508">
      <pivotArea outline="0" collapsedLevelsAreSubtotals="1" fieldPosition="0"/>
    </format>
    <format dxfId="1507">
      <pivotArea type="origin" dataOnly="0" labelOnly="1" outline="0" fieldPosition="0"/>
    </format>
    <format dxfId="1506">
      <pivotArea field="19" type="button" dataOnly="0" labelOnly="1" outline="0"/>
    </format>
    <format dxfId="1505">
      <pivotArea type="topRight" dataOnly="0" labelOnly="1" outline="0" fieldPosition="0"/>
    </format>
    <format dxfId="1504">
      <pivotArea field="14" type="button" dataOnly="0" labelOnly="1" outline="0" axis="axisRow" fieldPosition="0"/>
    </format>
    <format dxfId="1503">
      <pivotArea dataOnly="0" labelOnly="1" fieldPosition="0">
        <references count="1">
          <reference field="14" count="0"/>
        </references>
      </pivotArea>
    </format>
    <format dxfId="1502">
      <pivotArea dataOnly="0" labelOnly="1" grandRow="1" outline="0" fieldPosition="0"/>
    </format>
    <format dxfId="1501">
      <pivotArea dataOnly="0" labelOnly="1" grandCol="1" outline="0" fieldPosition="0"/>
    </format>
    <format dxfId="1500">
      <pivotArea type="all" dataOnly="0" outline="0" fieldPosition="0"/>
    </format>
    <format dxfId="1499">
      <pivotArea outline="0" collapsedLevelsAreSubtotals="1" fieldPosition="0"/>
    </format>
    <format dxfId="1498">
      <pivotArea type="origin" dataOnly="0" labelOnly="1" outline="0" fieldPosition="0"/>
    </format>
    <format dxfId="1497">
      <pivotArea field="19" type="button" dataOnly="0" labelOnly="1" outline="0"/>
    </format>
    <format dxfId="1496">
      <pivotArea type="topRight" dataOnly="0" labelOnly="1" outline="0" fieldPosition="0"/>
    </format>
    <format dxfId="1495">
      <pivotArea field="14" type="button" dataOnly="0" labelOnly="1" outline="0" axis="axisRow" fieldPosition="0"/>
    </format>
    <format dxfId="1494">
      <pivotArea dataOnly="0" labelOnly="1" fieldPosition="0">
        <references count="1">
          <reference field="14" count="0"/>
        </references>
      </pivotArea>
    </format>
    <format dxfId="1493">
      <pivotArea dataOnly="0" labelOnly="1" grandRow="1" outline="0" fieldPosition="0"/>
    </format>
    <format dxfId="1492">
      <pivotArea dataOnly="0" labelOnly="1" grandCol="1" outline="0" fieldPosition="0"/>
    </format>
    <format dxfId="1491">
      <pivotArea type="all" dataOnly="0" outline="0" fieldPosition="0"/>
    </format>
    <format dxfId="1490">
      <pivotArea outline="0" collapsedLevelsAreSubtotals="1" fieldPosition="0"/>
    </format>
    <format dxfId="1489">
      <pivotArea type="origin" dataOnly="0" labelOnly="1" outline="0" fieldPosition="0"/>
    </format>
    <format dxfId="1488">
      <pivotArea field="19" type="button" dataOnly="0" labelOnly="1" outline="0"/>
    </format>
    <format dxfId="1487">
      <pivotArea type="topRight" dataOnly="0" labelOnly="1" outline="0" fieldPosition="0"/>
    </format>
    <format dxfId="1486">
      <pivotArea field="14" type="button" dataOnly="0" labelOnly="1" outline="0" axis="axisRow" fieldPosition="0"/>
    </format>
    <format dxfId="1485">
      <pivotArea dataOnly="0" labelOnly="1" fieldPosition="0">
        <references count="1">
          <reference field="14" count="0"/>
        </references>
      </pivotArea>
    </format>
    <format dxfId="1484">
      <pivotArea dataOnly="0" labelOnly="1" grandRow="1" outline="0" fieldPosition="0"/>
    </format>
    <format dxfId="1483">
      <pivotArea dataOnly="0" labelOnly="1" grandCol="1" outline="0" fieldPosition="0"/>
    </format>
    <format dxfId="1482">
      <pivotArea outline="0" collapsedLevelsAreSubtotals="1" fieldPosition="0"/>
    </format>
    <format dxfId="1481">
      <pivotArea dataOnly="0" labelOnly="1" fieldPosition="0">
        <references count="1">
          <reference field="14" count="0"/>
        </references>
      </pivotArea>
    </format>
    <format dxfId="1480">
      <pivotArea dataOnly="0" labelOnly="1" grandRow="1" outline="0" fieldPosition="0"/>
    </format>
    <format dxfId="1479">
      <pivotArea dataOnly="0" labelOnly="1" grandCol="1" outline="0" fieldPosition="0"/>
    </format>
    <format dxfId="1478">
      <pivotArea field="14" type="button" dataOnly="0" labelOnly="1" outline="0" axis="axisRow" fieldPosition="0"/>
    </format>
    <format dxfId="1477">
      <pivotArea dataOnly="0" labelOnly="1" grandCol="1" outline="0" fieldPosition="0"/>
    </format>
    <format dxfId="1476">
      <pivotArea type="all" dataOnly="0" outline="0" fieldPosition="0"/>
    </format>
    <format dxfId="1475">
      <pivotArea outline="0" collapsedLevelsAreSubtotals="1" fieldPosition="0"/>
    </format>
    <format dxfId="1474">
      <pivotArea type="origin" dataOnly="0" labelOnly="1" outline="0" fieldPosition="0"/>
    </format>
    <format dxfId="1473">
      <pivotArea field="19" type="button" dataOnly="0" labelOnly="1" outline="0"/>
    </format>
    <format dxfId="1472">
      <pivotArea type="topRight" dataOnly="0" labelOnly="1" outline="0" fieldPosition="0"/>
    </format>
    <format dxfId="1471">
      <pivotArea field="14" type="button" dataOnly="0" labelOnly="1" outline="0" axis="axisRow" fieldPosition="0"/>
    </format>
    <format dxfId="1470">
      <pivotArea dataOnly="0" labelOnly="1" fieldPosition="0">
        <references count="1">
          <reference field="14" count="0"/>
        </references>
      </pivotArea>
    </format>
    <format dxfId="1469">
      <pivotArea dataOnly="0" labelOnly="1" grandRow="1" outline="0" fieldPosition="0"/>
    </format>
    <format dxfId="1468">
      <pivotArea dataOnly="0" labelOnly="1" grandCol="1" outline="0" fieldPosition="0"/>
    </format>
    <format dxfId="146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2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h="1" m="1" x="3"/>
        <item h="1" m="1" x="1"/>
        <item h="1" m="1" x="2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7"/>
        <item m="1" x="12"/>
        <item x="8"/>
        <item m="1" x="13"/>
        <item m="1" x="14"/>
        <item x="5"/>
        <item x="3"/>
        <item m="1" x="15"/>
        <item x="2"/>
        <item m="1" x="16"/>
        <item x="4"/>
        <item x="1"/>
        <item m="1" x="11"/>
        <item x="10"/>
        <item m="1" x="17"/>
        <item x="0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576">
      <pivotArea type="all" dataOnly="0" outline="0" fieldPosition="0"/>
    </format>
    <format dxfId="1575">
      <pivotArea outline="0" collapsedLevelsAreSubtotals="1" fieldPosition="0"/>
    </format>
    <format dxfId="1574">
      <pivotArea type="origin" dataOnly="0" labelOnly="1" outline="0" fieldPosition="0"/>
    </format>
    <format dxfId="1573">
      <pivotArea field="19" type="button" dataOnly="0" labelOnly="1" outline="0" axis="axisCol" fieldPosition="0"/>
    </format>
    <format dxfId="1572">
      <pivotArea type="topRight" dataOnly="0" labelOnly="1" outline="0" fieldPosition="0"/>
    </format>
    <format dxfId="1571">
      <pivotArea field="14" type="button" dataOnly="0" labelOnly="1" outline="0" axis="axisRow" fieldPosition="0"/>
    </format>
    <format dxfId="1570">
      <pivotArea dataOnly="0" labelOnly="1" fieldPosition="0">
        <references count="1">
          <reference field="14" count="0"/>
        </references>
      </pivotArea>
    </format>
    <format dxfId="1569">
      <pivotArea dataOnly="0" labelOnly="1" grandRow="1" outline="0" fieldPosition="0"/>
    </format>
    <format dxfId="1568">
      <pivotArea dataOnly="0" labelOnly="1" fieldPosition="0">
        <references count="1">
          <reference field="19" count="0"/>
        </references>
      </pivotArea>
    </format>
    <format dxfId="1567">
      <pivotArea dataOnly="0" labelOnly="1" grandCol="1" outline="0" fieldPosition="0"/>
    </format>
    <format dxfId="1566">
      <pivotArea type="all" dataOnly="0" outline="0" fieldPosition="0"/>
    </format>
    <format dxfId="1565">
      <pivotArea outline="0" collapsedLevelsAreSubtotals="1" fieldPosition="0"/>
    </format>
    <format dxfId="1564">
      <pivotArea type="origin" dataOnly="0" labelOnly="1" outline="0" fieldPosition="0"/>
    </format>
    <format dxfId="1563">
      <pivotArea field="19" type="button" dataOnly="0" labelOnly="1" outline="0" axis="axisCol" fieldPosition="0"/>
    </format>
    <format dxfId="1562">
      <pivotArea type="topRight" dataOnly="0" labelOnly="1" outline="0" fieldPosition="0"/>
    </format>
    <format dxfId="1561">
      <pivotArea field="14" type="button" dataOnly="0" labelOnly="1" outline="0" axis="axisRow" fieldPosition="0"/>
    </format>
    <format dxfId="1560">
      <pivotArea dataOnly="0" labelOnly="1" fieldPosition="0">
        <references count="1">
          <reference field="14" count="0"/>
        </references>
      </pivotArea>
    </format>
    <format dxfId="1559">
      <pivotArea dataOnly="0" labelOnly="1" grandRow="1" outline="0" fieldPosition="0"/>
    </format>
    <format dxfId="1558">
      <pivotArea dataOnly="0" labelOnly="1" fieldPosition="0">
        <references count="1">
          <reference field="19" count="0"/>
        </references>
      </pivotArea>
    </format>
    <format dxfId="1557">
      <pivotArea dataOnly="0" labelOnly="1" grandCol="1" outline="0" fieldPosition="0"/>
    </format>
    <format dxfId="1556">
      <pivotArea type="all" dataOnly="0" outline="0" fieldPosition="0"/>
    </format>
    <format dxfId="1555">
      <pivotArea outline="0" collapsedLevelsAreSubtotals="1" fieldPosition="0"/>
    </format>
    <format dxfId="1554">
      <pivotArea type="origin" dataOnly="0" labelOnly="1" outline="0" fieldPosition="0"/>
    </format>
    <format dxfId="1553">
      <pivotArea field="19" type="button" dataOnly="0" labelOnly="1" outline="0" axis="axisCol" fieldPosition="0"/>
    </format>
    <format dxfId="1552">
      <pivotArea type="topRight" dataOnly="0" labelOnly="1" outline="0" fieldPosition="0"/>
    </format>
    <format dxfId="1551">
      <pivotArea field="14" type="button" dataOnly="0" labelOnly="1" outline="0" axis="axisRow" fieldPosition="0"/>
    </format>
    <format dxfId="1550">
      <pivotArea dataOnly="0" labelOnly="1" fieldPosition="0">
        <references count="1">
          <reference field="14" count="0"/>
        </references>
      </pivotArea>
    </format>
    <format dxfId="1549">
      <pivotArea dataOnly="0" labelOnly="1" grandRow="1" outline="0" fieldPosition="0"/>
    </format>
    <format dxfId="1548">
      <pivotArea dataOnly="0" labelOnly="1" fieldPosition="0">
        <references count="1">
          <reference field="19" count="0"/>
        </references>
      </pivotArea>
    </format>
    <format dxfId="1547">
      <pivotArea dataOnly="0" labelOnly="1" grandCol="1" outline="0" fieldPosition="0"/>
    </format>
    <format dxfId="1546">
      <pivotArea type="all" dataOnly="0" outline="0" fieldPosition="0"/>
    </format>
    <format dxfId="1545">
      <pivotArea outline="0" collapsedLevelsAreSubtotals="1" fieldPosition="0"/>
    </format>
    <format dxfId="1544">
      <pivotArea type="origin" dataOnly="0" labelOnly="1" outline="0" fieldPosition="0"/>
    </format>
    <format dxfId="1543">
      <pivotArea field="19" type="button" dataOnly="0" labelOnly="1" outline="0" axis="axisCol" fieldPosition="0"/>
    </format>
    <format dxfId="1542">
      <pivotArea type="topRight" dataOnly="0" labelOnly="1" outline="0" fieldPosition="0"/>
    </format>
    <format dxfId="1541">
      <pivotArea field="14" type="button" dataOnly="0" labelOnly="1" outline="0" axis="axisRow" fieldPosition="0"/>
    </format>
    <format dxfId="1540">
      <pivotArea dataOnly="0" labelOnly="1" fieldPosition="0">
        <references count="1">
          <reference field="14" count="0"/>
        </references>
      </pivotArea>
    </format>
    <format dxfId="1539">
      <pivotArea dataOnly="0" labelOnly="1" grandRow="1" outline="0" fieldPosition="0"/>
    </format>
    <format dxfId="1538">
      <pivotArea dataOnly="0" labelOnly="1" fieldPosition="0">
        <references count="1">
          <reference field="19" count="0"/>
        </references>
      </pivotArea>
    </format>
    <format dxfId="1537">
      <pivotArea dataOnly="0" labelOnly="1" grandCol="1" outline="0" fieldPosition="0"/>
    </format>
    <format dxfId="1536">
      <pivotArea outline="0" collapsedLevelsAreSubtotals="1" fieldPosition="0"/>
    </format>
    <format dxfId="1535">
      <pivotArea dataOnly="0" labelOnly="1" fieldPosition="0">
        <references count="1">
          <reference field="14" count="0"/>
        </references>
      </pivotArea>
    </format>
    <format dxfId="1534">
      <pivotArea dataOnly="0" labelOnly="1" grandRow="1" outline="0" fieldPosition="0"/>
    </format>
    <format dxfId="1533">
      <pivotArea dataOnly="0" labelOnly="1" fieldPosition="0">
        <references count="1">
          <reference field="19" count="0"/>
        </references>
      </pivotArea>
    </format>
    <format dxfId="1532">
      <pivotArea dataOnly="0" labelOnly="1" grandCol="1" outline="0" fieldPosition="0"/>
    </format>
    <format dxfId="1531">
      <pivotArea field="14" type="button" dataOnly="0" labelOnly="1" outline="0" axis="axisRow" fieldPosition="0"/>
    </format>
    <format dxfId="1530">
      <pivotArea dataOnly="0" labelOnly="1" fieldPosition="0">
        <references count="1">
          <reference field="19" count="0"/>
        </references>
      </pivotArea>
    </format>
    <format dxfId="1529">
      <pivotArea dataOnly="0" labelOnly="1" grandCol="1" outline="0" fieldPosition="0"/>
    </format>
    <format dxfId="1528">
      <pivotArea type="all" dataOnly="0" outline="0" fieldPosition="0"/>
    </format>
    <format dxfId="1527">
      <pivotArea outline="0" collapsedLevelsAreSubtotals="1" fieldPosition="0"/>
    </format>
    <format dxfId="1526">
      <pivotArea type="origin" dataOnly="0" labelOnly="1" outline="0" fieldPosition="0"/>
    </format>
    <format dxfId="1525">
      <pivotArea field="19" type="button" dataOnly="0" labelOnly="1" outline="0" axis="axisCol" fieldPosition="0"/>
    </format>
    <format dxfId="1524">
      <pivotArea type="topRight" dataOnly="0" labelOnly="1" outline="0" fieldPosition="0"/>
    </format>
    <format dxfId="1523">
      <pivotArea field="14" type="button" dataOnly="0" labelOnly="1" outline="0" axis="axisRow" fieldPosition="0"/>
    </format>
    <format dxfId="1522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521">
      <pivotArea dataOnly="0" labelOnly="1" grandRow="1" outline="0" fieldPosition="0"/>
    </format>
    <format dxfId="1520">
      <pivotArea dataOnly="0" labelOnly="1" fieldPosition="0">
        <references count="1">
          <reference field="19" count="0"/>
        </references>
      </pivotArea>
    </format>
    <format dxfId="15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440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1954">
        <item x="35"/>
        <item m="1" x="1546"/>
        <item m="1" x="1211"/>
        <item m="1" x="1015"/>
        <item m="1" x="1931"/>
        <item m="1" x="1926"/>
        <item m="1" x="1391"/>
        <item m="1" x="1395"/>
        <item x="41"/>
        <item m="1" x="1088"/>
        <item x="161"/>
        <item x="44"/>
        <item x="47"/>
        <item x="162"/>
        <item m="1" x="1072"/>
        <item m="1" x="1834"/>
        <item m="1" x="1076"/>
        <item x="49"/>
        <item m="1" x="1898"/>
        <item m="1" x="1430"/>
        <item x="51"/>
        <item m="1" x="693"/>
        <item x="10"/>
        <item x="50"/>
        <item x="164"/>
        <item m="1" x="1167"/>
        <item m="1" x="1750"/>
        <item x="53"/>
        <item m="1" x="1727"/>
        <item m="1" x="1524"/>
        <item m="1" x="773"/>
        <item x="56"/>
        <item x="165"/>
        <item m="1" x="1645"/>
        <item m="1" x="1510"/>
        <item m="1" x="933"/>
        <item m="1" x="984"/>
        <item m="1" x="1714"/>
        <item x="59"/>
        <item m="1" x="1733"/>
        <item x="60"/>
        <item m="1" x="1875"/>
        <item x="61"/>
        <item x="166"/>
        <item m="1" x="1785"/>
        <item x="63"/>
        <item x="64"/>
        <item m="1" x="1770"/>
        <item m="1" x="1398"/>
        <item x="65"/>
        <item x="66"/>
        <item x="40"/>
        <item m="1" x="687"/>
        <item m="1" x="1080"/>
        <item x="67"/>
        <item m="1" x="1832"/>
        <item x="68"/>
        <item m="1" x="1861"/>
        <item x="167"/>
        <item m="1" x="1877"/>
        <item m="1" x="1378"/>
        <item m="1" x="1876"/>
        <item m="1" x="916"/>
        <item x="71"/>
        <item m="1" x="1136"/>
        <item m="1" x="894"/>
        <item m="1" x="1108"/>
        <item x="73"/>
        <item m="1" x="839"/>
        <item m="1" x="1614"/>
        <item m="1" x="766"/>
        <item x="74"/>
        <item m="1" x="789"/>
        <item x="75"/>
        <item m="1" x="1053"/>
        <item x="72"/>
        <item m="1" x="1843"/>
        <item m="1" x="837"/>
        <item x="76"/>
        <item x="77"/>
        <item m="1" x="909"/>
        <item m="1" x="1863"/>
        <item x="79"/>
        <item x="43"/>
        <item m="1" x="1353"/>
        <item x="168"/>
        <item x="80"/>
        <item x="169"/>
        <item x="82"/>
        <item m="1" x="1864"/>
        <item x="83"/>
        <item m="1" x="807"/>
        <item m="1" x="1701"/>
        <item m="1" x="1669"/>
        <item m="1" x="1428"/>
        <item m="1" x="1783"/>
        <item m="1" x="1038"/>
        <item x="57"/>
        <item m="1" x="1297"/>
        <item x="85"/>
        <item x="86"/>
        <item x="87"/>
        <item m="1" x="1610"/>
        <item m="1" x="1447"/>
        <item m="1" x="863"/>
        <item m="1" x="1486"/>
        <item m="1" x="1101"/>
        <item m="1" x="1208"/>
        <item x="170"/>
        <item m="1" x="1896"/>
        <item m="1" x="695"/>
        <item m="1" x="664"/>
        <item x="89"/>
        <item m="1" x="806"/>
        <item m="1" x="785"/>
        <item x="90"/>
        <item m="1" x="1487"/>
        <item m="1" x="997"/>
        <item m="1" x="1502"/>
        <item m="1" x="1074"/>
        <item x="91"/>
        <item m="1" x="1197"/>
        <item x="172"/>
        <item x="93"/>
        <item x="173"/>
        <item m="1" x="1448"/>
        <item x="96"/>
        <item m="1" x="1381"/>
        <item m="1" x="1494"/>
        <item x="42"/>
        <item m="1" x="1815"/>
        <item x="100"/>
        <item m="1" x="1732"/>
        <item m="1" x="1908"/>
        <item m="1" x="841"/>
        <item m="1" x="1155"/>
        <item m="1" x="757"/>
        <item x="116"/>
        <item x="101"/>
        <item m="1" x="1831"/>
        <item m="1" x="777"/>
        <item x="174"/>
        <item x="102"/>
        <item x="103"/>
        <item x="104"/>
        <item m="1" x="1462"/>
        <item x="105"/>
        <item x="98"/>
        <item x="107"/>
        <item x="37"/>
        <item m="1" x="1758"/>
        <item m="1" x="842"/>
        <item m="1" x="1534"/>
        <item m="1" x="1549"/>
        <item x="84"/>
        <item m="1" x="1804"/>
        <item m="1" x="1290"/>
        <item m="1" x="903"/>
        <item m="1" x="1630"/>
        <item m="1" x="1272"/>
        <item m="1" x="1897"/>
        <item x="110"/>
        <item m="1" x="852"/>
        <item x="113"/>
        <item m="1" x="1577"/>
        <item x="118"/>
        <item x="122"/>
        <item m="1" x="1497"/>
        <item x="123"/>
        <item m="1" x="1057"/>
        <item m="1" x="679"/>
        <item m="1" x="1764"/>
        <item m="1" x="1628"/>
        <item x="124"/>
        <item m="1" x="1078"/>
        <item m="1" x="768"/>
        <item m="1" x="691"/>
        <item m="1" x="1938"/>
        <item m="1" x="881"/>
        <item m="1" x="1009"/>
        <item m="1" x="907"/>
        <item m="1" x="699"/>
        <item m="1" x="1109"/>
        <item m="1" x="713"/>
        <item m="1" x="1249"/>
        <item m="1" x="1182"/>
        <item m="1" x="820"/>
        <item m="1" x="1472"/>
        <item m="1" x="1425"/>
        <item m="1" x="790"/>
        <item x="125"/>
        <item m="1" x="748"/>
        <item m="1" x="793"/>
        <item m="1" x="1597"/>
        <item m="1" x="1572"/>
        <item m="1" x="1556"/>
        <item m="1" x="1901"/>
        <item m="1" x="1177"/>
        <item m="1" x="1765"/>
        <item m="1" x="1665"/>
        <item x="126"/>
        <item m="1" x="1833"/>
        <item m="1" x="1315"/>
        <item m="1" x="1590"/>
        <item m="1" x="1475"/>
        <item m="1" x="755"/>
        <item m="1" x="1759"/>
        <item m="1" x="1400"/>
        <item m="1" x="961"/>
        <item m="1" x="741"/>
        <item m="1" x="1711"/>
        <item x="127"/>
        <item m="1" x="1066"/>
        <item m="1" x="1935"/>
        <item m="1" x="1640"/>
        <item m="1" x="1582"/>
        <item m="1" x="1847"/>
        <item m="1" x="1454"/>
        <item m="1" x="1147"/>
        <item m="1" x="1904"/>
        <item m="1" x="1482"/>
        <item m="1" x="1230"/>
        <item m="1" x="814"/>
        <item m="1" x="1021"/>
        <item m="1" x="1947"/>
        <item x="128"/>
        <item x="129"/>
        <item m="1" x="1467"/>
        <item x="130"/>
        <item m="1" x="1137"/>
        <item m="1" x="726"/>
        <item m="1" x="942"/>
        <item x="131"/>
        <item m="1" x="1862"/>
        <item m="1" x="885"/>
        <item x="132"/>
        <item x="175"/>
        <item m="1" x="919"/>
        <item m="1" x="1162"/>
        <item x="45"/>
        <item x="54"/>
        <item m="1" x="727"/>
        <item m="1" x="1219"/>
        <item m="1" x="1347"/>
        <item m="1" x="791"/>
        <item x="137"/>
        <item x="106"/>
        <item m="1" x="784"/>
        <item m="1" x="991"/>
        <item m="1" x="1641"/>
        <item m="1" x="1394"/>
        <item m="1" x="1128"/>
        <item x="177"/>
        <item x="139"/>
        <item x="140"/>
        <item m="1" x="1466"/>
        <item m="1" x="1228"/>
        <item m="1" x="1399"/>
        <item x="142"/>
        <item x="178"/>
        <item x="179"/>
        <item x="144"/>
        <item x="147"/>
        <item x="182"/>
        <item m="1" x="1516"/>
        <item x="119"/>
        <item m="1" x="1850"/>
        <item x="183"/>
        <item m="1" x="941"/>
        <item m="1" x="1257"/>
        <item m="1" x="774"/>
        <item m="1" x="703"/>
        <item m="1" x="1047"/>
        <item m="1" x="798"/>
        <item x="148"/>
        <item m="1" x="1889"/>
        <item m="1" x="1586"/>
        <item m="1" x="1082"/>
        <item m="1" x="1124"/>
        <item m="1" x="1952"/>
        <item x="149"/>
        <item m="1" x="1357"/>
        <item m="1" x="1185"/>
        <item m="1" x="1161"/>
        <item x="150"/>
        <item m="1" x="1949"/>
        <item m="1" x="1183"/>
        <item x="151"/>
        <item x="184"/>
        <item x="152"/>
        <item m="1" x="1671"/>
        <item x="109"/>
        <item x="153"/>
        <item m="1" x="1041"/>
        <item x="154"/>
        <item x="155"/>
        <item x="156"/>
        <item m="1" x="889"/>
        <item x="185"/>
        <item x="157"/>
        <item m="1" x="1235"/>
        <item m="1" x="781"/>
        <item m="1" x="1023"/>
        <item m="1" x="706"/>
        <item x="158"/>
        <item m="1" x="710"/>
        <item m="1" x="899"/>
        <item m="1" x="956"/>
        <item x="159"/>
        <item x="26"/>
        <item x="160"/>
        <item m="1" x="831"/>
        <item x="78"/>
        <item m="1" x="1287"/>
        <item m="1" x="844"/>
        <item x="163"/>
        <item x="233"/>
        <item x="180"/>
        <item x="181"/>
        <item x="234"/>
        <item m="1" x="1588"/>
        <item m="1" x="1532"/>
        <item x="239"/>
        <item m="1" x="876"/>
        <item m="1" x="1722"/>
        <item x="171"/>
        <item m="1" x="1259"/>
        <item x="243"/>
        <item x="186"/>
        <item m="1" x="1368"/>
        <item x="187"/>
        <item m="1" x="1458"/>
        <item x="188"/>
        <item m="1" x="753"/>
        <item m="1" x="1346"/>
        <item m="1" x="1878"/>
        <item x="189"/>
        <item m="1" x="1708"/>
        <item m="1" x="1307"/>
        <item m="1" x="1437"/>
        <item m="1" x="1658"/>
        <item m="1" x="832"/>
        <item m="1" x="1501"/>
        <item m="1" x="1786"/>
        <item m="1" x="1865"/>
        <item m="1" x="1121"/>
        <item m="1" x="1085"/>
        <item x="190"/>
        <item m="1" x="1757"/>
        <item m="1" x="1282"/>
        <item x="192"/>
        <item m="1" x="1741"/>
        <item m="1" x="865"/>
        <item m="1" x="799"/>
        <item m="1" x="1313"/>
        <item m="1" x="1291"/>
        <item m="1" x="1039"/>
        <item m="1" x="1314"/>
        <item x="193"/>
        <item m="1" x="751"/>
        <item x="176"/>
        <item m="1" x="1079"/>
        <item m="1" x="1460"/>
        <item m="1" x="1393"/>
        <item m="1" x="1805"/>
        <item m="1" x="1104"/>
        <item m="1" x="1033"/>
        <item m="1" x="1345"/>
        <item m="1" x="733"/>
        <item m="1" x="1094"/>
        <item m="1" x="1606"/>
        <item x="28"/>
        <item m="1" x="1562"/>
        <item x="134"/>
        <item x="194"/>
        <item x="195"/>
        <item m="1" x="1403"/>
        <item x="196"/>
        <item m="1" x="990"/>
        <item m="1" x="1125"/>
        <item x="197"/>
        <item m="1" x="1525"/>
        <item m="1" x="1599"/>
        <item m="1" x="719"/>
        <item m="1" x="1718"/>
        <item m="1" x="1342"/>
        <item x="198"/>
        <item m="1" x="1416"/>
        <item x="199"/>
        <item m="1" x="1822"/>
        <item m="1" x="836"/>
        <item m="1" x="1592"/>
        <item m="1" x="1048"/>
        <item m="1" x="823"/>
        <item m="1" x="1616"/>
        <item m="1" x="890"/>
        <item x="11"/>
        <item m="1" x="1153"/>
        <item m="1" x="1086"/>
        <item m="1" x="1316"/>
        <item m="1" x="1915"/>
        <item x="200"/>
        <item m="1" x="1748"/>
        <item m="1" x="1773"/>
        <item x="201"/>
        <item m="1" x="1107"/>
        <item m="1" x="1268"/>
        <item x="248"/>
        <item m="1" x="1774"/>
        <item m="1" x="1199"/>
        <item x="0"/>
        <item x="25"/>
        <item m="1" x="1120"/>
        <item m="1" x="1054"/>
        <item m="1" x="1495"/>
        <item m="1" x="1222"/>
        <item m="1" x="1363"/>
        <item m="1" x="1869"/>
        <item m="1" x="1517"/>
        <item m="1" x="1139"/>
        <item m="1" x="1213"/>
        <item m="1" x="974"/>
        <item m="1" x="779"/>
        <item x="202"/>
        <item x="203"/>
        <item m="1" x="1069"/>
        <item m="1" x="1491"/>
        <item x="191"/>
        <item x="204"/>
        <item m="1" x="1325"/>
        <item m="1" x="1603"/>
        <item m="1" x="1821"/>
        <item m="1" x="1134"/>
        <item m="1" x="1018"/>
        <item x="205"/>
        <item x="206"/>
        <item x="207"/>
        <item m="1" x="1846"/>
        <item m="1" x="1226"/>
        <item m="1" x="1303"/>
        <item x="208"/>
        <item m="1" x="1006"/>
        <item x="255"/>
        <item m="1" x="1777"/>
        <item m="1" x="707"/>
        <item m="1" x="1097"/>
        <item x="112"/>
        <item m="1" x="1158"/>
        <item m="1" x="1527"/>
        <item x="263"/>
        <item x="264"/>
        <item m="1" x="1540"/>
        <item m="1" x="1318"/>
        <item x="265"/>
        <item x="212"/>
        <item x="9"/>
        <item m="1" x="756"/>
        <item m="1" x="1939"/>
        <item m="1" x="1772"/>
        <item m="1" x="1396"/>
        <item m="1" x="1636"/>
        <item m="1" x="1679"/>
        <item m="1" x="1174"/>
        <item x="268"/>
        <item x="213"/>
        <item x="214"/>
        <item m="1" x="943"/>
        <item x="15"/>
        <item m="1" x="964"/>
        <item m="1" x="1778"/>
        <item m="1" x="1070"/>
        <item m="1" x="801"/>
        <item x="215"/>
        <item m="1" x="1651"/>
        <item m="1" x="1014"/>
        <item m="1" x="834"/>
        <item x="216"/>
        <item x="217"/>
        <item m="1" x="1499"/>
        <item x="209"/>
        <item x="219"/>
        <item m="1" x="1756"/>
        <item m="1" x="1223"/>
        <item m="1" x="1260"/>
        <item m="1" x="1450"/>
        <item m="1" x="1019"/>
        <item m="1" x="1214"/>
        <item m="1" x="678"/>
        <item m="1" x="1469"/>
        <item m="1" x="1505"/>
        <item x="281"/>
        <item m="1" x="1560"/>
        <item x="220"/>
        <item m="1" x="1159"/>
        <item x="210"/>
        <item m="1" x="685"/>
        <item m="1" x="665"/>
        <item x="221"/>
        <item m="1" x="840"/>
        <item m="1" x="1288"/>
        <item x="222"/>
        <item m="1" x="1190"/>
        <item m="1" x="1042"/>
        <item m="1" x="1046"/>
        <item x="282"/>
        <item m="1" x="1682"/>
        <item m="1" x="1376"/>
        <item m="1" x="1906"/>
        <item m="1" x="877"/>
        <item m="1" x="1937"/>
        <item m="1" x="722"/>
        <item m="1" x="736"/>
        <item m="1" x="1468"/>
        <item x="223"/>
        <item m="1" x="1574"/>
        <item m="1" x="1789"/>
        <item x="224"/>
        <item x="225"/>
        <item m="1" x="1294"/>
        <item m="1" x="1871"/>
        <item x="226"/>
        <item m="1" x="796"/>
        <item m="1" x="1148"/>
        <item m="1" x="817"/>
        <item m="1" x="1550"/>
        <item x="211"/>
        <item m="1" x="1637"/>
        <item x="227"/>
        <item m="1" x="674"/>
        <item m="1" x="810"/>
        <item m="1" x="1652"/>
        <item x="228"/>
        <item x="229"/>
        <item m="1" x="1438"/>
        <item m="1" x="1063"/>
        <item m="1" x="1330"/>
        <item m="1" x="1361"/>
        <item x="444"/>
        <item m="1" x="1913"/>
        <item m="1" x="805"/>
        <item m="1" x="1911"/>
        <item m="1" x="1442"/>
        <item m="1" x="1927"/>
        <item m="1" x="1409"/>
        <item x="231"/>
        <item x="232"/>
        <item m="1" x="1005"/>
        <item m="1" x="922"/>
        <item m="1" x="1855"/>
        <item x="17"/>
        <item m="1" x="1234"/>
        <item m="1" x="1105"/>
        <item x="283"/>
        <item m="1" x="1099"/>
        <item m="1" x="1397"/>
        <item m="1" x="1424"/>
        <item x="235"/>
        <item m="1" x="1762"/>
        <item x="218"/>
        <item m="1" x="1129"/>
        <item m="1" x="792"/>
        <item m="1" x="938"/>
        <item m="1" x="1410"/>
        <item m="1" x="1081"/>
        <item x="236"/>
        <item m="1" x="1426"/>
        <item m="1" x="1289"/>
        <item x="237"/>
        <item m="1" x="1111"/>
        <item x="3"/>
        <item m="1" x="1133"/>
        <item x="238"/>
        <item x="240"/>
        <item x="241"/>
        <item m="1" x="1627"/>
        <item m="1" x="818"/>
        <item x="242"/>
        <item m="1" x="775"/>
        <item m="1" x="1561"/>
        <item x="285"/>
        <item m="1" x="776"/>
        <item m="1" x="1055"/>
        <item m="1" x="1196"/>
        <item m="1" x="1371"/>
        <item m="1" x="688"/>
        <item x="566"/>
        <item m="1" x="696"/>
        <item m="1" x="1533"/>
        <item x="58"/>
        <item m="1" x="1688"/>
        <item m="1" x="1344"/>
        <item m="1" x="917"/>
        <item m="1" x="1728"/>
        <item m="1" x="994"/>
        <item m="1" x="1598"/>
        <item m="1" x="724"/>
        <item m="1" x="1702"/>
        <item m="1" x="1341"/>
        <item m="1" x="977"/>
        <item m="1" x="1411"/>
        <item x="244"/>
        <item x="525"/>
        <item m="1" x="1324"/>
        <item x="537"/>
        <item m="1" x="1189"/>
        <item m="1" x="1647"/>
        <item m="1" x="1427"/>
        <item m="1" x="971"/>
        <item m="1" x="729"/>
        <item m="1" x="1217"/>
        <item x="246"/>
        <item x="247"/>
        <item x="249"/>
        <item m="1" x="1390"/>
        <item m="1" x="1157"/>
        <item m="1" x="1145"/>
        <item m="1" x="1321"/>
        <item x="250"/>
        <item x="251"/>
        <item x="257"/>
        <item x="258"/>
        <item m="1" x="1045"/>
        <item x="7"/>
        <item m="1" x="1699"/>
        <item x="259"/>
        <item m="1" x="1221"/>
        <item x="260"/>
        <item m="1" x="1096"/>
        <item x="261"/>
        <item m="1" x="1051"/>
        <item m="1" x="1607"/>
        <item x="262"/>
        <item m="1" x="930"/>
        <item m="1" x="1697"/>
        <item m="1" x="1455"/>
        <item x="94"/>
        <item m="1" x="1743"/>
        <item x="311"/>
        <item x="266"/>
        <item x="267"/>
        <item m="1" x="672"/>
        <item x="315"/>
        <item m="1" x="1608"/>
        <item m="1" x="676"/>
        <item x="269"/>
        <item m="1" x="1530"/>
        <item m="1" x="1625"/>
        <item m="1" x="1504"/>
        <item m="1" x="666"/>
        <item m="1" x="1933"/>
        <item m="1" x="848"/>
        <item m="1" x="966"/>
        <item m="1" x="1056"/>
        <item m="1" x="1950"/>
        <item x="305"/>
        <item x="272"/>
        <item m="1" x="1405"/>
        <item x="39"/>
        <item m="1" x="1322"/>
        <item x="256"/>
        <item m="1" x="901"/>
        <item m="1" x="1754"/>
        <item m="1" x="1267"/>
        <item m="1" x="1200"/>
        <item m="1" x="745"/>
        <item m="1" x="1879"/>
        <item x="273"/>
        <item m="1" x="985"/>
        <item m="1" x="1003"/>
        <item m="1" x="967"/>
        <item x="274"/>
        <item m="1" x="1355"/>
        <item m="1" x="1664"/>
        <item x="97"/>
        <item m="1" x="1909"/>
        <item m="1" x="1548"/>
        <item m="1" x="1857"/>
        <item x="275"/>
        <item m="1" x="1008"/>
        <item m="1" x="1890"/>
        <item m="1" x="1596"/>
        <item x="393"/>
        <item x="276"/>
        <item x="277"/>
        <item m="1" x="856"/>
        <item x="278"/>
        <item m="1" x="1112"/>
        <item x="280"/>
        <item m="1" x="1422"/>
        <item m="1" x="1667"/>
        <item x="16"/>
        <item m="1" x="1690"/>
        <item x="115"/>
        <item m="1" x="824"/>
        <item m="1" x="1456"/>
        <item m="1" x="1881"/>
        <item m="1" x="1453"/>
        <item m="1" x="692"/>
        <item x="413"/>
        <item m="1" x="1659"/>
        <item x="288"/>
        <item m="1" x="1209"/>
        <item m="1" x="694"/>
        <item m="1" x="1867"/>
        <item m="1" x="728"/>
        <item x="289"/>
        <item m="1" x="1212"/>
        <item x="435"/>
        <item m="1" x="764"/>
        <item m="1" x="1173"/>
        <item m="1" x="905"/>
        <item m="1" x="1114"/>
        <item x="270"/>
        <item m="1" x="1013"/>
        <item m="1" x="1829"/>
        <item m="1" x="940"/>
        <item x="271"/>
        <item x="335"/>
        <item m="1" x="725"/>
        <item x="95"/>
        <item x="135"/>
        <item m="1" x="1254"/>
        <item x="294"/>
        <item m="1" x="1564"/>
        <item x="143"/>
        <item m="1" x="1775"/>
        <item m="1" x="838"/>
        <item x="295"/>
        <item m="1" x="1172"/>
        <item m="1" x="735"/>
        <item m="1" x="1180"/>
        <item x="31"/>
        <item m="1" x="1098"/>
        <item m="1" x="1720"/>
        <item m="1" x="959"/>
        <item m="1" x="1828"/>
        <item m="1" x="1093"/>
        <item m="1" x="861"/>
        <item m="1" x="1383"/>
        <item x="429"/>
        <item m="1" x="1924"/>
        <item m="1" x="918"/>
        <item x="450"/>
        <item m="1" x="1580"/>
        <item x="296"/>
        <item m="1" x="1634"/>
        <item m="1" x="1662"/>
        <item m="1" x="1195"/>
        <item m="1" x="1417"/>
        <item m="1" x="1811"/>
        <item m="1" x="1917"/>
        <item x="538"/>
        <item m="1" x="812"/>
        <item m="1" x="1485"/>
        <item x="290"/>
        <item m="1" x="1283"/>
        <item m="1" x="1565"/>
        <item x="297"/>
        <item x="298"/>
        <item x="291"/>
        <item m="1" x="1385"/>
        <item m="1" x="1660"/>
        <item m="1" x="1131"/>
        <item m="1" x="920"/>
        <item m="1" x="871"/>
        <item m="1" x="1171"/>
        <item m="1" x="883"/>
        <item x="114"/>
        <item m="1" x="1740"/>
        <item m="1" x="1542"/>
        <item x="299"/>
        <item x="300"/>
        <item m="1" x="1246"/>
        <item m="1" x="1611"/>
        <item m="1" x="1332"/>
        <item x="301"/>
        <item m="1" x="1600"/>
        <item m="1" x="934"/>
        <item m="1" x="1220"/>
        <item m="1" x="1526"/>
        <item m="1" x="1188"/>
        <item m="1" x="1244"/>
        <item m="1" x="1343"/>
        <item x="302"/>
        <item m="1" x="746"/>
        <item x="303"/>
        <item m="1" x="1698"/>
        <item m="1" x="783"/>
        <item m="1" x="1849"/>
        <item m="1" x="1061"/>
        <item x="532"/>
        <item x="533"/>
        <item m="1" x="1140"/>
        <item m="1" x="1090"/>
        <item x="306"/>
        <item x="414"/>
        <item m="1" x="1384"/>
        <item x="545"/>
        <item x="431"/>
        <item m="1" x="1726"/>
        <item m="1" x="1888"/>
        <item x="307"/>
        <item x="344"/>
        <item m="1" x="1377"/>
        <item x="309"/>
        <item m="1" x="1389"/>
        <item x="21"/>
        <item m="1" x="1084"/>
        <item m="1" x="1474"/>
        <item x="574"/>
        <item m="1" x="1434"/>
        <item x="479"/>
        <item x="484"/>
        <item m="1" x="1269"/>
        <item m="1" x="1238"/>
        <item m="1" x="1077"/>
        <item m="1" x="804"/>
        <item m="1" x="1017"/>
        <item m="1" x="1793"/>
        <item m="1" x="1934"/>
        <item m="1" x="1335"/>
        <item x="463"/>
        <item x="464"/>
        <item m="1" x="1687"/>
        <item m="1" x="1027"/>
        <item m="1" x="908"/>
        <item x="23"/>
        <item m="1" x="1352"/>
        <item m="1" x="1192"/>
        <item m="1" x="788"/>
        <item x="488"/>
        <item m="1" x="1936"/>
        <item x="323"/>
        <item m="1" x="855"/>
        <item m="1" x="1338"/>
        <item m="1" x="923"/>
        <item x="547"/>
        <item m="1" x="1809"/>
        <item x="603"/>
        <item x="465"/>
        <item m="1" x="1622"/>
        <item m="1" x="1686"/>
        <item m="1" x="794"/>
        <item x="644"/>
        <item x="442"/>
        <item m="1" x="1036"/>
        <item x="470"/>
        <item x="476"/>
        <item x="351"/>
        <item m="1" x="1736"/>
        <item m="1" x="721"/>
        <item x="18"/>
        <item x="593"/>
        <item m="1" x="769"/>
        <item m="1" x="819"/>
        <item x="471"/>
        <item m="1" x="955"/>
        <item m="1" x="813"/>
        <item m="1" x="1206"/>
        <item x="650"/>
        <item m="1" x="1286"/>
        <item m="1" x="939"/>
        <item x="581"/>
        <item x="133"/>
        <item m="1" x="1020"/>
        <item m="1" x="911"/>
        <item m="1" x="981"/>
        <item m="1" x="1337"/>
        <item x="633"/>
        <item m="1" x="1735"/>
        <item m="1" x="1250"/>
        <item m="1" x="1369"/>
        <item m="1" x="1536"/>
        <item x="474"/>
        <item x="353"/>
        <item m="1" x="1670"/>
        <item m="1" x="1323"/>
        <item m="1" x="1746"/>
        <item x="34"/>
        <item m="1" x="663"/>
        <item x="459"/>
        <item m="1" x="1945"/>
        <item m="1" x="1408"/>
        <item m="1" x="949"/>
        <item m="1" x="853"/>
        <item m="1" x="1439"/>
        <item x="423"/>
        <item m="1" x="1677"/>
        <item m="1" x="1531"/>
        <item m="1" x="697"/>
        <item x="412"/>
        <item m="1" x="1175"/>
        <item x="88"/>
        <item m="1" x="1043"/>
        <item x="642"/>
        <item m="1" x="1794"/>
        <item m="1" x="1406"/>
        <item m="1" x="1642"/>
        <item m="1" x="1037"/>
        <item x="22"/>
        <item x="410"/>
        <item x="544"/>
        <item x="434"/>
        <item m="1" x="1461"/>
        <item m="1" x="1684"/>
        <item m="1" x="1420"/>
        <item m="1" x="1693"/>
        <item m="1" x="1241"/>
        <item m="1" x="1414"/>
        <item m="1" x="1694"/>
        <item m="1" x="1591"/>
        <item x="394"/>
        <item x="559"/>
        <item x="485"/>
        <item m="1" x="1163"/>
        <item x="341"/>
        <item x="528"/>
        <item m="1" x="1326"/>
        <item m="1" x="828"/>
        <item m="1" x="1835"/>
        <item m="1" x="1551"/>
        <item x="498"/>
        <item m="1" x="1264"/>
        <item m="1" x="1187"/>
        <item m="1" x="682"/>
        <item m="1" x="1388"/>
        <item m="1" x="1483"/>
        <item x="81"/>
        <item m="1" x="1464"/>
        <item m="1" x="1905"/>
        <item m="1" x="845"/>
        <item m="1" x="1370"/>
        <item x="400"/>
        <item m="1" x="1672"/>
        <item m="1" x="1568"/>
        <item x="577"/>
        <item x="24"/>
        <item x="378"/>
        <item m="1" x="1859"/>
        <item m="1" x="1312"/>
        <item x="5"/>
        <item m="1" x="1302"/>
        <item x="381"/>
        <item x="508"/>
        <item m="1" x="1941"/>
        <item x="441"/>
        <item m="1" x="1366"/>
        <item m="1" x="1459"/>
        <item x="352"/>
        <item x="501"/>
        <item m="1" x="1265"/>
        <item m="1" x="1853"/>
        <item m="1" x="1231"/>
        <item x="458"/>
        <item m="1" x="1350"/>
        <item m="1" x="1566"/>
        <item x="6"/>
        <item m="1" x="1296"/>
        <item x="542"/>
        <item m="1" x="1721"/>
        <item m="1" x="1760"/>
        <item m="1" x="1519"/>
        <item x="117"/>
        <item x="404"/>
        <item m="1" x="1373"/>
        <item m="1" x="1242"/>
        <item m="1" x="770"/>
        <item m="1" x="1193"/>
        <item m="1" x="1552"/>
        <item x="623"/>
        <item m="1" x="1415"/>
        <item m="1" x="1465"/>
        <item m="1" x="1872"/>
        <item x="432"/>
        <item x="30"/>
        <item m="1" x="1452"/>
        <item x="366"/>
        <item m="1" x="1285"/>
        <item x="446"/>
        <item x="387"/>
        <item m="1" x="1799"/>
        <item x="403"/>
        <item m="1" x="858"/>
        <item m="1" x="1164"/>
        <item x="591"/>
        <item m="1" x="1535"/>
        <item x="467"/>
        <item m="1" x="1635"/>
        <item m="1" x="720"/>
        <item m="1" x="1753"/>
        <item x="398"/>
        <item x="416"/>
        <item x="417"/>
        <item x="99"/>
        <item m="1" x="1443"/>
        <item m="1" x="1715"/>
        <item m="1" x="723"/>
        <item x="121"/>
        <item x="518"/>
        <item x="613"/>
        <item m="1" x="875"/>
        <item x="535"/>
        <item m="1" x="772"/>
        <item x="436"/>
        <item m="1" x="711"/>
        <item m="1" x="1060"/>
        <item m="1" x="1470"/>
        <item m="1" x="822"/>
        <item m="1" x="1106"/>
        <item m="1" x="1852"/>
        <item m="1" x="1680"/>
        <item m="1" x="1317"/>
        <item m="1" x="1281"/>
        <item x="486"/>
        <item m="1" x="1589"/>
        <item x="506"/>
        <item m="1" x="1004"/>
        <item x="120"/>
        <item m="1" x="809"/>
        <item m="1" x="868"/>
        <item x="493"/>
        <item m="1" x="1910"/>
        <item m="1" x="931"/>
        <item m="1" x="684"/>
        <item x="424"/>
        <item m="1" x="718"/>
        <item m="1" x="983"/>
        <item x="425"/>
        <item m="1" x="1766"/>
        <item x="550"/>
        <item m="1" x="1633"/>
        <item m="1" x="1274"/>
        <item m="1" x="1240"/>
        <item x="428"/>
        <item m="1" x="988"/>
        <item m="1" x="891"/>
        <item m="1" x="1169"/>
        <item x="402"/>
        <item m="1" x="700"/>
        <item m="1" x="893"/>
        <item x="456"/>
        <item m="1" x="1609"/>
        <item m="1" x="708"/>
        <item x="439"/>
        <item m="1" x="1784"/>
        <item m="1" x="1029"/>
        <item x="489"/>
        <item m="1" x="1032"/>
        <item m="1" x="1034"/>
        <item m="1" x="1237"/>
        <item m="1" x="1731"/>
        <item x="449"/>
        <item m="1" x="673"/>
        <item m="1" x="927"/>
        <item m="1" x="740"/>
        <item x="33"/>
        <item m="1" x="1251"/>
        <item m="1" x="686"/>
        <item m="1" x="1123"/>
        <item m="1" x="1612"/>
        <item m="1" x="857"/>
        <item x="407"/>
        <item m="1" x="1364"/>
        <item m="1" x="669"/>
        <item m="1" x="786"/>
        <item m="1" x="1007"/>
        <item x="606"/>
        <item m="1" x="1744"/>
        <item m="1" x="896"/>
        <item x="548"/>
        <item x="617"/>
        <item x="111"/>
        <item m="1" x="978"/>
        <item m="1" x="1256"/>
        <item m="1" x="1858"/>
        <item x="568"/>
        <item m="1" x="683"/>
        <item m="1" x="1181"/>
        <item m="1" x="1779"/>
        <item m="1" x="1907"/>
        <item x="418"/>
        <item m="1" x="670"/>
        <item x="651"/>
        <item x="552"/>
        <item m="1" x="1227"/>
        <item m="1" x="904"/>
        <item x="553"/>
        <item x="421"/>
        <item m="1" x="1068"/>
        <item m="1" x="1802"/>
        <item x="473"/>
        <item m="1" x="1825"/>
        <item x="645"/>
        <item m="1" x="1885"/>
        <item m="1" x="1839"/>
        <item x="585"/>
        <item m="1" x="1445"/>
        <item m="1" x="1916"/>
        <item m="1" x="1435"/>
        <item m="1" x="1351"/>
        <item m="1" x="1367"/>
        <item x="503"/>
        <item x="469"/>
        <item x="426"/>
        <item x="433"/>
        <item m="1" x="1245"/>
        <item x="477"/>
        <item m="1" x="816"/>
        <item m="1" x="1820"/>
        <item m="1" x="1299"/>
        <item m="1" x="1247"/>
        <item m="1" x="1892"/>
        <item m="1" x="962"/>
        <item m="1" x="717"/>
        <item m="1" x="1837"/>
        <item m="1" x="1776"/>
        <item x="443"/>
        <item x="475"/>
        <item m="1" x="1914"/>
        <item m="1" x="873"/>
        <item m="1" x="1553"/>
        <item x="519"/>
        <item x="492"/>
        <item m="1" x="1873"/>
        <item m="1" x="1480"/>
        <item m="1" x="963"/>
        <item m="1" x="1050"/>
        <item m="1" x="738"/>
        <item x="496"/>
        <item m="1" x="878"/>
        <item m="1" x="1431"/>
        <item m="1" x="825"/>
        <item x="578"/>
        <item m="1" x="1144"/>
        <item m="1" x="1629"/>
        <item m="1" x="1695"/>
        <item m="1" x="1441"/>
        <item m="1" x="1489"/>
        <item m="1" x="1649"/>
        <item m="1" x="1523"/>
        <item m="1" x="1375"/>
        <item m="1" x="860"/>
        <item m="1" x="1919"/>
        <item m="1" x="705"/>
        <item m="1" x="1280"/>
        <item m="1" x="1942"/>
        <item m="1" x="1354"/>
        <item m="1" x="1814"/>
        <item x="561"/>
        <item x="510"/>
        <item x="12"/>
        <item x="573"/>
        <item x="461"/>
        <item x="440"/>
        <item m="1" x="1387"/>
        <item m="1" x="1110"/>
        <item m="1" x="982"/>
        <item x="38"/>
        <item m="1" x="1631"/>
        <item m="1" x="1382"/>
        <item m="1" x="1700"/>
        <item x="565"/>
        <item m="1" x="1049"/>
        <item x="610"/>
        <item m="1" x="1725"/>
        <item x="419"/>
        <item m="1" x="1277"/>
        <item m="1" x="1262"/>
        <item m="1" x="1734"/>
        <item m="1" x="1807"/>
        <item m="1" x="937"/>
        <item x="447"/>
        <item x="608"/>
        <item m="1" x="1308"/>
        <item x="482"/>
        <item m="1" x="1920"/>
        <item m="1" x="1668"/>
        <item m="1" x="1514"/>
        <item m="1" x="1040"/>
        <item m="1" x="1165"/>
        <item m="1" x="1506"/>
        <item m="1" x="1808"/>
        <item m="1" x="1138"/>
        <item m="1" x="1436"/>
        <item x="569"/>
        <item x="570"/>
        <item m="1" x="1512"/>
        <item m="1" x="999"/>
        <item x="514"/>
        <item m="1" x="924"/>
        <item m="1" x="1073"/>
        <item x="605"/>
        <item m="1" x="1429"/>
        <item m="1" x="1444"/>
        <item x="631"/>
        <item x="515"/>
        <item x="516"/>
        <item x="460"/>
        <item m="1" x="1360"/>
        <item x="406"/>
        <item m="1" x="1767"/>
        <item x="462"/>
        <item x="580"/>
        <item m="1" x="1620"/>
        <item m="1" x="1202"/>
        <item m="1" x="1031"/>
        <item m="1" x="946"/>
        <item m="1" x="1621"/>
        <item m="1" x="829"/>
        <item m="1" x="1800"/>
        <item m="1" x="1270"/>
        <item m="1" x="1358"/>
        <item m="1" x="1404"/>
        <item m="1" x="950"/>
        <item m="1" x="1529"/>
        <item m="1" x="1484"/>
        <item m="1" x="689"/>
        <item m="1" x="1087"/>
        <item m="1" x="1692"/>
        <item m="1" x="1544"/>
        <item m="1" x="701"/>
        <item m="1" x="1918"/>
        <item m="1" x="849"/>
        <item m="1" x="1295"/>
        <item x="509"/>
        <item m="1" x="1706"/>
        <item x="536"/>
        <item x="430"/>
        <item m="1" x="1160"/>
        <item m="1" x="1113"/>
        <item m="1" x="1156"/>
        <item m="1" x="1002"/>
        <item m="1" x="965"/>
        <item m="1" x="1457"/>
        <item x="543"/>
        <item x="500"/>
        <item m="1" x="802"/>
        <item m="1" x="1218"/>
        <item m="1" x="1507"/>
        <item x="445"/>
        <item m="1" x="739"/>
        <item m="1" x="886"/>
        <item m="1" x="734"/>
        <item x="636"/>
        <item x="621"/>
        <item m="1" x="1513"/>
        <item m="1" x="1737"/>
        <item x="554"/>
        <item m="1" x="1001"/>
        <item m="1" x="742"/>
        <item m="1" x="1719"/>
        <item m="1" x="1178"/>
        <item m="1" x="969"/>
        <item m="1" x="1902"/>
        <item m="1" x="869"/>
        <item m="1" x="1365"/>
        <item m="1" x="712"/>
        <item m="1" x="758"/>
        <item m="1" x="821"/>
        <item m="1" x="1538"/>
        <item m="1" x="830"/>
        <item m="1" x="948"/>
        <item m="1" x="749"/>
        <item m="1" x="1401"/>
        <item m="1" x="1619"/>
        <item m="1" x="1349"/>
        <item x="649"/>
        <item x="582"/>
        <item m="1" x="1796"/>
        <item x="497"/>
        <item m="1" x="1823"/>
        <item m="1" x="1478"/>
        <item x="408"/>
        <item x="472"/>
        <item m="1" x="1768"/>
        <item m="1" x="1118"/>
        <item x="427"/>
        <item m="1" x="1348"/>
        <item m="1" x="1329"/>
        <item x="575"/>
        <item x="583"/>
        <item m="1" x="1071"/>
        <item x="454"/>
        <item x="388"/>
        <item m="1" x="1075"/>
        <item x="584"/>
        <item m="1" x="1624"/>
        <item m="1" x="1791"/>
        <item m="1" x="1579"/>
        <item x="480"/>
        <item m="1" x="1899"/>
        <item m="1" x="1615"/>
        <item m="1" x="1946"/>
        <item m="1" x="704"/>
        <item x="635"/>
        <item m="1" x="1555"/>
        <item x="517"/>
        <item m="1" x="1842"/>
        <item m="1" x="1730"/>
        <item x="451"/>
        <item m="1" x="1752"/>
        <item x="620"/>
        <item m="1" x="1836"/>
        <item m="1" x="1543"/>
        <item m="1" x="1168"/>
        <item m="1" x="1870"/>
        <item m="1" x="953"/>
        <item x="541"/>
        <item m="1" x="1203"/>
        <item m="1" x="1372"/>
        <item x="590"/>
        <item m="1" x="744"/>
        <item m="1" x="1567"/>
        <item m="1" x="762"/>
        <item x="596"/>
        <item m="1" x="1803"/>
        <item m="1" x="1067"/>
        <item m="1" x="992"/>
        <item m="1" x="1225"/>
        <item x="457"/>
        <item m="1" x="1819"/>
        <item x="512"/>
        <item m="1" x="1026"/>
        <item x="527"/>
        <item x="522"/>
        <item x="494"/>
        <item x="637"/>
        <item x="526"/>
        <item x="420"/>
        <item m="1" x="998"/>
        <item m="1" x="1279"/>
        <item x="466"/>
        <item m="1" x="1940"/>
        <item m="1" x="1059"/>
        <item m="1" x="1509"/>
        <item m="1" x="1771"/>
        <item m="1" x="1207"/>
        <item m="1" x="1463"/>
        <item m="1" x="1673"/>
        <item m="1" x="1179"/>
        <item x="369"/>
        <item m="1" x="989"/>
        <item x="455"/>
        <item m="1" x="1102"/>
        <item m="1" x="1657"/>
        <item m="1" x="800"/>
        <item m="1" x="1284"/>
        <item x="359"/>
        <item m="1" x="808"/>
        <item m="1" x="1696"/>
        <item x="609"/>
        <item x="530"/>
        <item m="1" x="1643"/>
        <item x="557"/>
        <item x="619"/>
        <item m="1" x="1310"/>
        <item m="1" x="1261"/>
        <item x="415"/>
        <item x="481"/>
        <item x="507"/>
        <item x="604"/>
        <item m="1" x="803"/>
        <item m="1" x="1327"/>
        <item m="1" x="1644"/>
        <item m="1" x="1685"/>
        <item m="1" x="667"/>
        <item m="1" x="1149"/>
        <item x="586"/>
        <item m="1" x="690"/>
        <item m="1" x="767"/>
        <item m="1" x="895"/>
        <item m="1" x="1676"/>
        <item m="1" x="1866"/>
        <item m="1" x="702"/>
        <item m="1" x="892"/>
        <item x="390"/>
        <item m="1" x="1704"/>
        <item m="1" x="1100"/>
        <item m="1" x="850"/>
        <item x="539"/>
        <item x="504"/>
        <item m="1" x="715"/>
        <item x="136"/>
        <item m="1" x="1893"/>
        <item m="1" x="932"/>
        <item m="1" x="1103"/>
        <item x="531"/>
        <item m="1" x="731"/>
        <item m="1" x="980"/>
        <item m="1" x="1653"/>
        <item m="1" x="1654"/>
        <item m="1" x="1333"/>
        <item m="1" x="1412"/>
        <item x="448"/>
        <item x="396"/>
        <item m="1" x="1854"/>
        <item m="1" x="843"/>
        <item m="1" x="902"/>
        <item m="1" x="1143"/>
        <item x="524"/>
        <item x="483"/>
        <item m="1" x="1806"/>
        <item m="1" x="973"/>
        <item m="1" x="945"/>
        <item m="1" x="677"/>
        <item x="487"/>
        <item x="397"/>
        <item x="19"/>
        <item m="1" x="1142"/>
        <item m="1" x="1951"/>
        <item x="534"/>
        <item x="641"/>
        <item x="523"/>
        <item m="1" x="1477"/>
        <item x="27"/>
        <item m="1" x="1613"/>
        <item m="1" x="1122"/>
        <item m="1" x="1010"/>
        <item x="529"/>
        <item m="1" x="1792"/>
        <item x="589"/>
        <item m="1" x="879"/>
        <item m="1" x="1868"/>
        <item m="1" x="1593"/>
        <item m="1" x="732"/>
        <item m="1" x="993"/>
        <item m="1" x="928"/>
        <item m="1" x="752"/>
        <item m="1" x="915"/>
        <item x="551"/>
        <item m="1" x="1176"/>
        <item m="1" x="1334"/>
        <item m="1" x="1258"/>
        <item x="453"/>
        <item x="560"/>
        <item m="1" x="1618"/>
        <item x="505"/>
        <item m="1" x="1150"/>
        <item m="1" x="1674"/>
        <item x="597"/>
        <item m="1" x="1751"/>
        <item m="1" x="1380"/>
        <item m="1" x="1152"/>
        <item x="595"/>
        <item m="1" x="1948"/>
        <item m="1" x="1521"/>
        <item m="1" x="681"/>
        <item x="491"/>
        <item m="1" x="1146"/>
        <item x="638"/>
        <item m="1" x="851"/>
        <item m="1" x="862"/>
        <item x="513"/>
        <item m="1" x="1418"/>
        <item m="1" x="1255"/>
        <item m="1" x="968"/>
        <item m="1" x="1446"/>
        <item m="1" x="1675"/>
        <item m="1" x="1293"/>
        <item x="607"/>
        <item m="1" x="782"/>
        <item m="1" x="1813"/>
        <item m="1" x="1716"/>
        <item m="1" x="1305"/>
        <item x="411"/>
        <item m="1" x="1151"/>
        <item m="1" x="929"/>
        <item m="1" x="987"/>
        <item m="1" x="1632"/>
        <item m="1" x="1944"/>
        <item m="1" x="1922"/>
        <item x="587"/>
        <item m="1" x="1818"/>
        <item x="452"/>
        <item m="1" x="1575"/>
        <item m="1" x="1440"/>
        <item m="1" x="1709"/>
        <item m="1" x="1638"/>
        <item m="1" x="754"/>
        <item m="1" x="1362"/>
        <item m="1" x="1602"/>
        <item m="1" x="1065"/>
        <item x="546"/>
        <item x="370"/>
        <item x="629"/>
        <item m="1" x="747"/>
        <item m="1" x="1923"/>
        <item x="438"/>
        <item m="1" x="1557"/>
        <item x="602"/>
        <item m="1" x="1083"/>
        <item m="1" x="1493"/>
        <item m="1" x="1782"/>
        <item m="1" x="1379"/>
        <item x="499"/>
        <item m="1" x="1095"/>
        <item m="1" x="1386"/>
        <item m="1" x="921"/>
        <item x="511"/>
        <item x="502"/>
        <item m="1" x="1252"/>
        <item m="1" x="1856"/>
        <item m="1" x="1554"/>
        <item m="1" x="1780"/>
        <item m="1" x="1301"/>
        <item m="1" x="709"/>
        <item m="1" x="986"/>
        <item m="1" x="1678"/>
        <item m="1" x="1058"/>
        <item m="1" x="1500"/>
        <item m="1" x="1392"/>
        <item m="1" x="1117"/>
        <item m="1" x="1925"/>
        <item m="1" x="1547"/>
        <item m="1" x="1739"/>
        <item m="1" x="1503"/>
        <item m="1" x="1826"/>
        <item x="422"/>
        <item m="1" x="1092"/>
        <item x="630"/>
        <item m="1" x="1880"/>
        <item x="540"/>
        <item m="1" x="859"/>
        <item m="1" x="936"/>
        <item m="1" x="1742"/>
        <item m="1" x="1712"/>
        <item m="1" x="1508"/>
        <item x="592"/>
        <item x="562"/>
        <item x="626"/>
        <item x="8"/>
        <item m="1" x="1845"/>
        <item m="1" x="866"/>
        <item m="1" x="1894"/>
        <item m="1" x="1052"/>
        <item m="1" x="1545"/>
        <item x="571"/>
        <item m="1" x="1781"/>
        <item m="1" x="1838"/>
        <item m="1" x="1655"/>
        <item m="1" x="1705"/>
        <item x="612"/>
        <item m="1" x="1035"/>
        <item x="599"/>
        <item x="555"/>
        <item x="556"/>
        <item m="1" x="1666"/>
        <item m="1" x="1304"/>
        <item m="1" x="1248"/>
        <item m="1" x="1064"/>
        <item m="1" x="1573"/>
        <item m="1" x="1827"/>
        <item m="1" x="1421"/>
        <item m="1" x="1320"/>
        <item x="490"/>
        <item x="520"/>
        <item m="1" x="1844"/>
        <item m="1" x="1232"/>
        <item m="1" x="972"/>
        <item m="1" x="1030"/>
        <item x="558"/>
        <item m="1" x="1623"/>
        <item m="1" x="995"/>
        <item m="1" x="1216"/>
        <item m="1" x="1402"/>
        <item x="478"/>
        <item x="572"/>
        <item m="1" x="1473"/>
        <item m="1" x="1300"/>
        <item m="1" x="1298"/>
        <item x="401"/>
        <item x="468"/>
        <item m="1" x="944"/>
        <item x="386"/>
        <item x="392"/>
        <item x="588"/>
        <item x="614"/>
        <item x="598"/>
        <item m="1" x="1479"/>
        <item m="1" x="1763"/>
        <item m="1" x="1496"/>
        <item x="564"/>
        <item x="579"/>
        <item x="563"/>
        <item x="615"/>
        <item x="549"/>
        <item m="1" x="1239"/>
        <item m="1" x="1710"/>
        <item m="1" x="1339"/>
        <item m="1" x="874"/>
        <item m="1" x="1331"/>
        <item m="1" x="1724"/>
        <item m="1" x="1407"/>
        <item x="385"/>
        <item m="1" x="1626"/>
        <item m="1" x="761"/>
        <item x="384"/>
        <item m="1" x="714"/>
        <item m="1" x="1273"/>
        <item m="1" x="880"/>
        <item m="1" x="1233"/>
        <item m="1" x="1604"/>
        <item m="1" x="1810"/>
        <item x="383"/>
        <item x="382"/>
        <item m="1" x="763"/>
        <item x="380"/>
        <item x="379"/>
        <item m="1" x="1928"/>
        <item x="377"/>
        <item m="1" x="1860"/>
        <item m="1" x="1830"/>
        <item m="1" x="952"/>
        <item m="1" x="1769"/>
        <item x="20"/>
        <item x="376"/>
        <item x="375"/>
        <item x="594"/>
        <item m="1" x="1276"/>
        <item m="1" x="1166"/>
        <item m="1" x="1011"/>
        <item x="92"/>
        <item m="1" x="1563"/>
        <item m="1" x="1594"/>
        <item x="374"/>
        <item x="576"/>
        <item m="1" x="1841"/>
        <item m="1" x="1761"/>
        <item x="373"/>
        <item x="372"/>
        <item m="1" x="1044"/>
        <item x="371"/>
        <item m="1" x="854"/>
        <item m="1" x="1419"/>
        <item m="1" x="1356"/>
        <item m="1" x="1824"/>
        <item m="1" x="1186"/>
        <item x="409"/>
        <item x="368"/>
        <item m="1" x="976"/>
        <item m="1" x="1584"/>
        <item x="29"/>
        <item m="1" x="1135"/>
        <item m="1" x="954"/>
        <item x="138"/>
        <item x="367"/>
        <item x="365"/>
        <item m="1" x="1883"/>
        <item x="364"/>
        <item x="600"/>
        <item m="1" x="1306"/>
        <item m="1" x="1492"/>
        <item m="1" x="1578"/>
        <item m="1" x="1451"/>
        <item m="1" x="1729"/>
        <item m="1" x="1559"/>
        <item m="1" x="1661"/>
        <item m="1" x="1812"/>
        <item x="601"/>
        <item x="363"/>
        <item x="55"/>
        <item x="362"/>
        <item m="1" x="815"/>
        <item x="13"/>
        <item m="1" x="1253"/>
        <item x="361"/>
        <item x="360"/>
        <item m="1" x="1801"/>
        <item x="654"/>
        <item m="1" x="1359"/>
        <item x="358"/>
        <item x="391"/>
        <item m="1" x="1423"/>
        <item x="611"/>
        <item x="318"/>
        <item m="1" x="1656"/>
        <item m="1" x="1646"/>
        <item m="1" x="1798"/>
        <item m="1" x="996"/>
        <item x="357"/>
        <item m="1" x="1537"/>
        <item m="1" x="1703"/>
        <item m="1" x="1481"/>
        <item m="1" x="698"/>
        <item x="69"/>
        <item m="1" x="1271"/>
        <item m="1" x="765"/>
        <item x="389"/>
        <item m="1" x="888"/>
        <item m="1" x="1141"/>
        <item m="1" x="1311"/>
        <item m="1" x="1340"/>
        <item m="1" x="1413"/>
        <item m="1" x="1595"/>
        <item m="1" x="1194"/>
        <item x="405"/>
        <item x="399"/>
        <item m="1" x="1115"/>
        <item x="356"/>
        <item m="1" x="787"/>
        <item x="355"/>
        <item x="354"/>
        <item m="1" x="811"/>
        <item x="618"/>
        <item x="48"/>
        <item m="1" x="1570"/>
        <item m="1" x="882"/>
        <item m="1" x="1930"/>
        <item x="14"/>
        <item m="1" x="1681"/>
        <item x="350"/>
        <item m="1" x="846"/>
        <item m="1" x="1585"/>
        <item m="1" x="1576"/>
        <item x="349"/>
        <item m="1" x="771"/>
        <item x="616"/>
        <item x="640"/>
        <item m="1" x="1215"/>
        <item m="1" x="1319"/>
        <item m="1" x="1528"/>
        <item x="348"/>
        <item m="1" x="887"/>
        <item m="1" x="1184"/>
        <item m="1" x="1707"/>
        <item x="347"/>
        <item m="1" x="960"/>
        <item x="639"/>
        <item m="1" x="1374"/>
        <item m="1" x="1243"/>
        <item m="1" x="1639"/>
        <item m="1" x="867"/>
        <item m="1" x="1490"/>
        <item m="1" x="675"/>
        <item x="346"/>
        <item m="1" x="1204"/>
        <item m="1" x="900"/>
        <item m="1" x="1022"/>
        <item x="395"/>
        <item m="1" x="827"/>
        <item m="1" x="1663"/>
        <item m="1" x="1723"/>
        <item m="1" x="662"/>
        <item m="1" x="760"/>
        <item x="622"/>
        <item x="345"/>
        <item x="343"/>
        <item m="1" x="926"/>
        <item x="624"/>
        <item x="625"/>
        <item x="342"/>
        <item x="340"/>
        <item m="1" x="1000"/>
        <item m="1" x="947"/>
        <item m="1" x="716"/>
        <item m="1" x="1224"/>
        <item m="1" x="1025"/>
        <item m="1" x="1476"/>
        <item m="1" x="1581"/>
        <item x="521"/>
        <item m="1" x="1116"/>
        <item x="339"/>
        <item m="1" x="1471"/>
        <item m="1" x="1012"/>
        <item m="1" x="1278"/>
        <item x="627"/>
        <item m="1" x="1191"/>
        <item x="628"/>
        <item x="338"/>
        <item m="1" x="668"/>
        <item m="1" x="1028"/>
        <item m="1" x="1886"/>
        <item m="1" x="1790"/>
        <item x="146"/>
        <item m="1" x="1024"/>
        <item m="1" x="912"/>
        <item x="567"/>
        <item x="337"/>
        <item x="336"/>
        <item x="648"/>
        <item m="1" x="1515"/>
        <item m="1" x="870"/>
        <item m="1" x="1089"/>
        <item m="1" x="1884"/>
        <item m="1" x="1498"/>
        <item m="1" x="730"/>
        <item x="632"/>
        <item x="634"/>
        <item m="1" x="1522"/>
        <item m="1" x="958"/>
        <item x="334"/>
        <item m="1" x="1851"/>
        <item m="1" x="1520"/>
        <item m="1" x="1691"/>
        <item m="1" x="1263"/>
        <item x="333"/>
        <item m="1" x="1236"/>
        <item m="1" x="910"/>
        <item m="1" x="1432"/>
        <item x="495"/>
        <item m="1" x="925"/>
        <item x="332"/>
        <item m="1" x="913"/>
        <item m="1" x="1891"/>
        <item m="1" x="1336"/>
        <item x="331"/>
        <item m="1" x="835"/>
        <item x="62"/>
        <item m="1" x="884"/>
        <item m="1" x="1511"/>
        <item m="1" x="1571"/>
        <item m="1" x="1648"/>
        <item x="643"/>
        <item x="330"/>
        <item m="1" x="1016"/>
        <item m="1" x="1929"/>
        <item m="1" x="1817"/>
        <item m="1" x="1275"/>
        <item m="1" x="1943"/>
        <item x="329"/>
        <item m="1" x="1788"/>
        <item x="328"/>
        <item x="327"/>
        <item m="1" x="1887"/>
        <item m="1" x="1882"/>
        <item m="1" x="951"/>
        <item m="1" x="1903"/>
        <item m="1" x="1266"/>
        <item x="437"/>
        <item m="1" x="957"/>
        <item m="1" x="795"/>
        <item m="1" x="847"/>
        <item x="326"/>
        <item x="70"/>
        <item m="1" x="898"/>
        <item m="1" x="1119"/>
        <item m="1" x="1745"/>
        <item x="325"/>
        <item m="1" x="975"/>
        <item x="324"/>
        <item x="322"/>
        <item m="1" x="778"/>
        <item m="1" x="1795"/>
        <item x="321"/>
        <item m="1" x="1921"/>
        <item x="320"/>
        <item m="1" x="1433"/>
        <item x="319"/>
        <item x="655"/>
        <item m="1" x="935"/>
        <item x="317"/>
        <item x="145"/>
        <item m="1" x="1569"/>
        <item m="1" x="1201"/>
        <item m="1" x="797"/>
        <item x="646"/>
        <item x="316"/>
        <item m="1" x="906"/>
        <item m="1" x="1683"/>
        <item m="1" x="1062"/>
        <item x="108"/>
        <item x="647"/>
        <item m="1" x="680"/>
        <item m="1" x="1848"/>
        <item m="1" x="1816"/>
        <item m="1" x="1488"/>
        <item m="1" x="1309"/>
        <item x="314"/>
        <item m="1" x="1127"/>
        <item m="1" x="1601"/>
        <item x="313"/>
        <item x="312"/>
        <item x="310"/>
        <item x="308"/>
        <item x="32"/>
        <item m="1" x="897"/>
        <item m="1" x="1749"/>
        <item m="1" x="1932"/>
        <item m="1" x="1539"/>
        <item x="52"/>
        <item x="1"/>
        <item x="2"/>
        <item x="46"/>
        <item m="1" x="1130"/>
        <item m="1" x="1738"/>
        <item x="304"/>
        <item x="141"/>
        <item m="1" x="1170"/>
        <item m="1" x="743"/>
        <item m="1" x="979"/>
        <item m="1" x="1840"/>
        <item m="1" x="864"/>
        <item m="1" x="1210"/>
        <item m="1" x="1797"/>
        <item x="293"/>
        <item x="652"/>
        <item x="292"/>
        <item x="287"/>
        <item m="1" x="1558"/>
        <item m="1" x="1205"/>
        <item m="1" x="1912"/>
        <item m="1" x="1091"/>
        <item m="1" x="872"/>
        <item x="653"/>
        <item x="286"/>
        <item m="1" x="737"/>
        <item m="1" x="1154"/>
        <item m="1" x="1583"/>
        <item m="1" x="1126"/>
        <item m="1" x="1895"/>
        <item m="1" x="1605"/>
        <item m="1" x="1449"/>
        <item m="1" x="750"/>
        <item m="1" x="1787"/>
        <item m="1" x="1713"/>
        <item m="1" x="1689"/>
        <item m="1" x="1874"/>
        <item m="1" x="1541"/>
        <item m="1" x="1717"/>
        <item x="284"/>
        <item m="1" x="671"/>
        <item x="279"/>
        <item m="1" x="1900"/>
        <item x="254"/>
        <item m="1" x="1229"/>
        <item x="36"/>
        <item x="656"/>
        <item m="1" x="970"/>
        <item x="253"/>
        <item x="658"/>
        <item m="1" x="759"/>
        <item m="1" x="1617"/>
        <item m="1" x="1650"/>
        <item x="657"/>
        <item m="1" x="1198"/>
        <item m="1" x="780"/>
        <item m="1" x="914"/>
        <item m="1" x="1587"/>
        <item m="1" x="1292"/>
        <item m="1" x="1755"/>
        <item m="1" x="1132"/>
        <item m="1" x="833"/>
        <item m="1" x="1747"/>
        <item x="252"/>
        <item m="1" x="1328"/>
        <item x="659"/>
        <item x="4"/>
        <item x="660"/>
        <item x="245"/>
        <item x="230"/>
        <item m="1" x="1518"/>
        <item m="1" x="826"/>
        <item x="661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6"/>
        <item x="5"/>
        <item x="1"/>
        <item x="4"/>
        <item x="0"/>
        <item x="2"/>
        <item x="3"/>
        <item m="1" x="8"/>
        <item x="7"/>
        <item m="1" x="9"/>
        <item m="1" x="10"/>
        <item t="default"/>
      </items>
    </pivotField>
    <pivotField showAll="0"/>
    <pivotField showAll="0"/>
    <pivotField axis="axisPage" multipleItemSelectionAllowed="1" showAll="0">
      <items count="12">
        <item h="1" x="1"/>
        <item x="2"/>
        <item h="1" x="0"/>
        <item h="1" x="3"/>
        <item h="1" m="1" x="9"/>
        <item h="1" m="1" x="5"/>
        <item h="1" m="1" x="8"/>
        <item h="1" m="1" x="10"/>
        <item h="1" m="1" x="7"/>
        <item h="1" m="1" x="4"/>
        <item h="1" m="1" x="6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7"/>
        <item m="1" x="12"/>
        <item x="8"/>
        <item m="1" x="13"/>
        <item m="1" x="14"/>
        <item x="5"/>
        <item x="3"/>
        <item m="1" x="15"/>
        <item x="2"/>
        <item m="1" x="16"/>
        <item x="4"/>
        <item x="1"/>
        <item m="1" x="11"/>
        <item x="10"/>
        <item m="1" x="17"/>
        <item x="0"/>
        <item x="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34">
    <i>
      <x/>
    </i>
    <i>
      <x v="8"/>
    </i>
    <i>
      <x v="11"/>
    </i>
    <i>
      <x v="12"/>
    </i>
    <i>
      <x v="20"/>
    </i>
    <i>
      <x v="24"/>
    </i>
    <i>
      <x v="27"/>
    </i>
    <i>
      <x v="31"/>
    </i>
    <i>
      <x v="38"/>
    </i>
    <i>
      <x v="40"/>
    </i>
    <i>
      <x v="42"/>
    </i>
    <i>
      <x v="45"/>
    </i>
    <i>
      <x v="46"/>
    </i>
    <i>
      <x v="49"/>
    </i>
    <i>
      <x v="54"/>
    </i>
    <i>
      <x v="56"/>
    </i>
    <i>
      <x v="63"/>
    </i>
    <i>
      <x v="67"/>
    </i>
    <i>
      <x v="71"/>
    </i>
    <i>
      <x v="73"/>
    </i>
    <i>
      <x v="79"/>
    </i>
    <i>
      <x v="82"/>
    </i>
    <i>
      <x v="86"/>
    </i>
    <i>
      <x v="87"/>
    </i>
    <i>
      <x v="88"/>
    </i>
    <i>
      <x v="90"/>
    </i>
    <i>
      <x v="99"/>
    </i>
    <i>
      <x v="100"/>
    </i>
    <i>
      <x v="101"/>
    </i>
    <i>
      <x v="112"/>
    </i>
    <i>
      <x v="115"/>
    </i>
    <i>
      <x v="120"/>
    </i>
    <i>
      <x v="123"/>
    </i>
    <i>
      <x v="126"/>
    </i>
    <i>
      <x v="129"/>
    </i>
    <i>
      <x v="131"/>
    </i>
    <i>
      <x v="142"/>
    </i>
    <i>
      <x v="144"/>
    </i>
    <i>
      <x v="146"/>
    </i>
    <i>
      <x v="148"/>
    </i>
    <i>
      <x v="161"/>
    </i>
    <i>
      <x v="163"/>
    </i>
    <i>
      <x v="165"/>
    </i>
    <i>
      <x v="166"/>
    </i>
    <i>
      <x v="168"/>
    </i>
    <i>
      <x v="173"/>
    </i>
    <i>
      <x v="190"/>
    </i>
    <i>
      <x v="200"/>
    </i>
    <i>
      <x v="211"/>
    </i>
    <i>
      <x v="225"/>
    </i>
    <i>
      <x v="226"/>
    </i>
    <i>
      <x v="228"/>
    </i>
    <i>
      <x v="232"/>
    </i>
    <i>
      <x v="235"/>
    </i>
    <i>
      <x v="245"/>
    </i>
    <i>
      <x v="253"/>
    </i>
    <i>
      <x v="254"/>
    </i>
    <i>
      <x v="258"/>
    </i>
    <i>
      <x v="259"/>
    </i>
    <i>
      <x v="262"/>
    </i>
    <i>
      <x v="274"/>
    </i>
    <i>
      <x v="280"/>
    </i>
    <i>
      <x v="284"/>
    </i>
    <i>
      <x v="287"/>
    </i>
    <i>
      <x v="288"/>
    </i>
    <i>
      <x v="289"/>
    </i>
    <i>
      <x v="292"/>
    </i>
    <i>
      <x v="294"/>
    </i>
    <i>
      <x v="295"/>
    </i>
    <i>
      <x v="296"/>
    </i>
    <i>
      <x v="299"/>
    </i>
    <i>
      <x v="304"/>
    </i>
    <i>
      <x v="308"/>
    </i>
    <i>
      <x v="310"/>
    </i>
    <i>
      <x v="312"/>
    </i>
    <i>
      <x v="315"/>
    </i>
    <i>
      <x v="317"/>
    </i>
    <i>
      <x v="318"/>
    </i>
    <i>
      <x v="319"/>
    </i>
    <i>
      <x v="328"/>
    </i>
    <i>
      <x v="330"/>
    </i>
    <i>
      <x v="336"/>
    </i>
    <i>
      <x v="347"/>
    </i>
    <i>
      <x v="350"/>
    </i>
    <i>
      <x v="358"/>
    </i>
    <i>
      <x v="371"/>
    </i>
    <i>
      <x v="375"/>
    </i>
    <i>
      <x v="377"/>
    </i>
    <i>
      <x v="380"/>
    </i>
    <i>
      <x v="388"/>
    </i>
    <i>
      <x v="401"/>
    </i>
    <i>
      <x v="404"/>
    </i>
    <i>
      <x v="407"/>
    </i>
    <i>
      <x v="411"/>
    </i>
    <i>
      <x v="423"/>
    </i>
    <i>
      <x v="424"/>
    </i>
    <i>
      <x v="434"/>
    </i>
    <i>
      <x v="435"/>
    </i>
    <i>
      <x v="436"/>
    </i>
    <i>
      <x v="440"/>
    </i>
    <i>
      <x v="446"/>
    </i>
    <i>
      <x v="453"/>
    </i>
    <i>
      <x v="454"/>
    </i>
    <i>
      <x v="464"/>
    </i>
    <i>
      <x v="465"/>
    </i>
    <i>
      <x v="472"/>
    </i>
    <i>
      <x v="476"/>
    </i>
    <i>
      <x v="477"/>
    </i>
    <i>
      <x v="492"/>
    </i>
    <i>
      <x v="497"/>
    </i>
    <i>
      <x v="513"/>
    </i>
    <i>
      <x v="516"/>
    </i>
    <i>
      <x v="517"/>
    </i>
    <i>
      <x v="520"/>
    </i>
    <i>
      <x v="527"/>
    </i>
    <i>
      <x v="531"/>
    </i>
    <i>
      <x v="532"/>
    </i>
    <i>
      <x v="537"/>
    </i>
    <i>
      <x v="544"/>
    </i>
    <i>
      <x v="545"/>
    </i>
    <i>
      <x v="549"/>
    </i>
    <i>
      <x v="556"/>
    </i>
    <i>
      <x v="564"/>
    </i>
    <i>
      <x v="567"/>
    </i>
    <i>
      <x v="571"/>
    </i>
    <i>
      <x v="572"/>
    </i>
    <i>
      <x v="573"/>
    </i>
    <i>
      <x v="576"/>
    </i>
    <i>
      <x v="585"/>
    </i>
    <i>
      <x v="601"/>
    </i>
    <i>
      <x v="603"/>
    </i>
    <i>
      <x v="610"/>
    </i>
    <i>
      <x v="612"/>
    </i>
    <i>
      <x v="617"/>
    </i>
    <i>
      <x v="618"/>
    </i>
    <i>
      <x v="619"/>
    </i>
    <i>
      <x v="620"/>
    </i>
    <i>
      <x v="622"/>
    </i>
    <i>
      <x v="624"/>
    </i>
    <i>
      <x v="626"/>
    </i>
    <i>
      <x v="628"/>
    </i>
    <i>
      <x v="631"/>
    </i>
    <i>
      <x v="638"/>
    </i>
    <i>
      <x v="639"/>
    </i>
    <i>
      <x v="654"/>
    </i>
    <i>
      <x v="655"/>
    </i>
    <i>
      <x v="657"/>
    </i>
    <i>
      <x v="666"/>
    </i>
    <i>
      <x v="670"/>
    </i>
    <i>
      <x v="677"/>
    </i>
    <i>
      <x v="682"/>
    </i>
    <i>
      <x v="683"/>
    </i>
    <i>
      <x v="685"/>
    </i>
    <i>
      <x v="687"/>
    </i>
    <i>
      <x v="690"/>
    </i>
    <i>
      <x v="698"/>
    </i>
    <i>
      <x v="700"/>
    </i>
    <i>
      <x v="705"/>
    </i>
    <i>
      <x v="722"/>
    </i>
    <i>
      <x v="724"/>
    </i>
    <i>
      <x v="727"/>
    </i>
    <i>
      <x v="739"/>
    </i>
    <i>
      <x v="742"/>
    </i>
    <i>
      <x v="744"/>
    </i>
    <i>
      <x v="751"/>
    </i>
    <i>
      <x v="757"/>
    </i>
    <i>
      <x v="758"/>
    </i>
    <i>
      <x v="759"/>
    </i>
    <i>
      <x v="770"/>
    </i>
    <i>
      <x v="771"/>
    </i>
    <i>
      <x v="775"/>
    </i>
    <i>
      <x v="783"/>
    </i>
    <i>
      <x v="785"/>
    </i>
    <i>
      <x v="790"/>
    </i>
    <i>
      <x v="791"/>
    </i>
    <i>
      <x v="794"/>
    </i>
    <i>
      <x v="797"/>
    </i>
    <i>
      <x v="798"/>
    </i>
    <i>
      <x v="801"/>
    </i>
    <i>
      <x v="804"/>
    </i>
    <i>
      <x v="806"/>
    </i>
    <i>
      <x v="809"/>
    </i>
    <i>
      <x v="812"/>
    </i>
    <i>
      <x v="821"/>
    </i>
    <i>
      <x v="826"/>
    </i>
    <i>
      <x v="830"/>
    </i>
    <i>
      <x v="836"/>
    </i>
    <i>
      <x v="838"/>
    </i>
    <i>
      <x v="839"/>
    </i>
    <i>
      <x v="844"/>
    </i>
    <i>
      <x v="846"/>
    </i>
    <i>
      <x v="847"/>
    </i>
    <i>
      <x v="852"/>
    </i>
    <i>
      <x v="855"/>
    </i>
    <i>
      <x v="859"/>
    </i>
    <i>
      <x v="862"/>
    </i>
    <i>
      <x v="873"/>
    </i>
    <i>
      <x v="878"/>
    </i>
    <i>
      <x v="880"/>
    </i>
    <i>
      <x v="890"/>
    </i>
    <i>
      <x v="894"/>
    </i>
    <i>
      <x v="900"/>
    </i>
    <i>
      <x v="901"/>
    </i>
    <i>
      <x v="911"/>
    </i>
    <i>
      <x v="912"/>
    </i>
    <i>
      <x v="913"/>
    </i>
    <i>
      <x v="916"/>
    </i>
    <i>
      <x v="921"/>
    </i>
    <i>
      <x v="935"/>
    </i>
    <i>
      <x v="943"/>
    </i>
    <i>
      <x v="945"/>
    </i>
    <i>
      <x v="949"/>
    </i>
    <i>
      <x v="953"/>
    </i>
    <i>
      <x v="969"/>
    </i>
    <i>
      <x v="974"/>
    </i>
    <i>
      <x v="976"/>
    </i>
    <i>
      <x v="978"/>
    </i>
    <i>
      <x v="981"/>
    </i>
    <i>
      <x v="984"/>
    </i>
    <i>
      <x v="986"/>
    </i>
    <i>
      <x v="999"/>
    </i>
    <i>
      <x v="1001"/>
    </i>
    <i>
      <x v="1013"/>
    </i>
    <i>
      <x v="1015"/>
    </i>
    <i>
      <x v="1020"/>
    </i>
    <i>
      <x v="1029"/>
    </i>
    <i>
      <x v="1033"/>
    </i>
    <i>
      <x v="1037"/>
    </i>
    <i>
      <x v="1040"/>
    </i>
    <i>
      <x v="1046"/>
    </i>
    <i>
      <x v="1051"/>
    </i>
    <i>
      <x v="1066"/>
    </i>
    <i>
      <x v="1069"/>
    </i>
    <i>
      <x v="1070"/>
    </i>
    <i>
      <x v="1075"/>
    </i>
    <i>
      <x v="1082"/>
    </i>
    <i>
      <x v="1083"/>
    </i>
    <i>
      <x v="1086"/>
    </i>
    <i>
      <x v="1092"/>
    </i>
    <i>
      <x v="1095"/>
    </i>
    <i>
      <x v="1102"/>
    </i>
    <i>
      <x v="1104"/>
    </i>
    <i>
      <x v="1106"/>
    </i>
    <i>
      <x v="1116"/>
    </i>
    <i>
      <x v="1117"/>
    </i>
    <i>
      <x v="1121"/>
    </i>
    <i>
      <x v="1122"/>
    </i>
    <i>
      <x v="1128"/>
    </i>
    <i>
      <x v="1132"/>
    </i>
    <i>
      <x v="1148"/>
    </i>
    <i>
      <x v="1149"/>
    </i>
    <i>
      <x v="1151"/>
    </i>
    <i>
      <x v="1153"/>
    </i>
    <i>
      <x v="1161"/>
    </i>
    <i>
      <x v="1163"/>
    </i>
    <i>
      <x v="1165"/>
    </i>
    <i>
      <x v="1172"/>
    </i>
    <i>
      <x v="1174"/>
    </i>
    <i>
      <x v="1184"/>
    </i>
    <i>
      <x v="1194"/>
    </i>
    <i>
      <x v="1196"/>
    </i>
    <i>
      <x v="1199"/>
    </i>
    <i>
      <x v="1202"/>
    </i>
    <i>
      <x v="1224"/>
    </i>
    <i>
      <x v="1226"/>
    </i>
    <i>
      <x v="1227"/>
    </i>
    <i>
      <x v="1234"/>
    </i>
    <i>
      <x v="1235"/>
    </i>
    <i>
      <x v="1247"/>
    </i>
    <i>
      <x v="1266"/>
    </i>
    <i>
      <x v="1267"/>
    </i>
    <i>
      <x v="1269"/>
    </i>
    <i>
      <x v="1273"/>
    </i>
    <i>
      <x v="1276"/>
    </i>
    <i>
      <x v="1279"/>
    </i>
    <i>
      <x v="1280"/>
    </i>
    <i>
      <x v="1282"/>
    </i>
    <i>
      <x v="1285"/>
    </i>
    <i>
      <x v="1294"/>
    </i>
    <i>
      <x v="1299"/>
    </i>
    <i>
      <x v="1301"/>
    </i>
    <i>
      <x v="1307"/>
    </i>
    <i>
      <x v="1310"/>
    </i>
    <i>
      <x v="1314"/>
    </i>
    <i>
      <x v="1319"/>
    </i>
    <i>
      <x v="1321"/>
    </i>
    <i>
      <x v="1323"/>
    </i>
    <i>
      <x v="1325"/>
    </i>
    <i>
      <x v="1326"/>
    </i>
    <i>
      <x v="1328"/>
    </i>
    <i>
      <x v="1331"/>
    </i>
    <i>
      <x v="1340"/>
    </i>
    <i>
      <x v="1342"/>
    </i>
    <i>
      <x v="1347"/>
    </i>
    <i>
      <x v="1350"/>
    </i>
    <i>
      <x v="1351"/>
    </i>
    <i>
      <x v="1353"/>
    </i>
    <i>
      <x v="1354"/>
    </i>
    <i>
      <x v="1357"/>
    </i>
    <i>
      <x v="1358"/>
    </i>
    <i>
      <x v="1359"/>
    </i>
    <i>
      <x v="1367"/>
    </i>
    <i>
      <x v="1379"/>
    </i>
    <i>
      <x v="1393"/>
    </i>
    <i>
      <x v="1399"/>
    </i>
    <i>
      <x v="1400"/>
    </i>
    <i>
      <x v="1405"/>
    </i>
    <i>
      <x v="1406"/>
    </i>
    <i>
      <x v="1411"/>
    </i>
    <i>
      <x v="1412"/>
    </i>
    <i>
      <x v="1418"/>
    </i>
    <i>
      <x v="1420"/>
    </i>
    <i>
      <x v="1433"/>
    </i>
    <i>
      <x v="1436"/>
    </i>
    <i>
      <x v="1439"/>
    </i>
    <i>
      <x v="1443"/>
    </i>
    <i>
      <x v="1447"/>
    </i>
    <i>
      <x v="1449"/>
    </i>
    <i>
      <x v="1452"/>
    </i>
    <i>
      <x v="1459"/>
    </i>
    <i>
      <x v="1464"/>
    </i>
    <i>
      <x v="1473"/>
    </i>
    <i>
      <x v="1482"/>
    </i>
    <i>
      <x v="1484"/>
    </i>
    <i>
      <x v="1487"/>
    </i>
    <i>
      <x v="1489"/>
    </i>
    <i>
      <x v="1494"/>
    </i>
    <i>
      <x v="1498"/>
    </i>
    <i>
      <x v="1499"/>
    </i>
    <i>
      <x v="1517"/>
    </i>
    <i>
      <x v="1519"/>
    </i>
    <i>
      <x v="1521"/>
    </i>
    <i>
      <x v="1527"/>
    </i>
    <i>
      <x v="1528"/>
    </i>
    <i>
      <x v="1529"/>
    </i>
    <i>
      <x v="1536"/>
    </i>
    <i>
      <x v="1541"/>
    </i>
    <i>
      <x v="1543"/>
    </i>
    <i>
      <x v="1554"/>
    </i>
    <i>
      <x v="1555"/>
    </i>
    <i>
      <x v="1565"/>
    </i>
    <i>
      <x v="1571"/>
    </i>
    <i>
      <x v="1573"/>
    </i>
    <i>
      <x v="1576"/>
    </i>
    <i>
      <x v="1577"/>
    </i>
    <i>
      <x v="1583"/>
    </i>
    <i>
      <x v="1584"/>
    </i>
    <i>
      <x v="1585"/>
    </i>
    <i>
      <x v="1593"/>
    </i>
    <i>
      <x v="1596"/>
    </i>
    <i>
      <x v="1603"/>
    </i>
    <i>
      <x v="1604"/>
    </i>
    <i>
      <x v="1606"/>
    </i>
    <i>
      <x v="1607"/>
    </i>
    <i>
      <x v="1609"/>
    </i>
    <i>
      <x v="1615"/>
    </i>
    <i>
      <x v="1616"/>
    </i>
    <i>
      <x v="1624"/>
    </i>
    <i>
      <x v="1628"/>
    </i>
    <i>
      <x v="1629"/>
    </i>
    <i>
      <x v="1631"/>
    </i>
    <i>
      <x v="1637"/>
    </i>
    <i>
      <x v="1638"/>
    </i>
    <i>
      <x v="1645"/>
    </i>
    <i>
      <x v="1646"/>
    </i>
    <i>
      <x v="1648"/>
    </i>
    <i>
      <x v="1659"/>
    </i>
    <i>
      <x v="1661"/>
    </i>
    <i>
      <x v="1665"/>
    </i>
    <i>
      <x v="1666"/>
    </i>
    <i>
      <x v="1668"/>
    </i>
    <i>
      <x v="1670"/>
    </i>
    <i>
      <x v="1679"/>
    </i>
    <i>
      <x v="1698"/>
    </i>
    <i>
      <x v="1700"/>
    </i>
    <i>
      <x v="1701"/>
    </i>
    <i>
      <x v="1704"/>
    </i>
    <i>
      <x v="1710"/>
    </i>
    <i>
      <x v="1714"/>
    </i>
    <i>
      <x v="1716"/>
    </i>
    <i>
      <x v="1721"/>
    </i>
    <i>
      <x v="1725"/>
    </i>
    <i>
      <x v="1734"/>
    </i>
    <i>
      <x v="1745"/>
    </i>
    <i>
      <x v="1746"/>
    </i>
    <i>
      <x v="1749"/>
    </i>
    <i>
      <x v="1750"/>
    </i>
    <i>
      <x v="1751"/>
    </i>
    <i>
      <x v="1759"/>
    </i>
    <i>
      <x v="1768"/>
    </i>
    <i>
      <x v="1773"/>
    </i>
    <i>
      <x v="1776"/>
    </i>
    <i>
      <x v="1777"/>
    </i>
    <i>
      <x v="1778"/>
    </i>
    <i>
      <x v="1787"/>
    </i>
    <i>
      <x v="1790"/>
    </i>
    <i>
      <x v="1795"/>
    </i>
    <i>
      <x v="1799"/>
    </i>
    <i>
      <x v="1801"/>
    </i>
    <i>
      <x v="1805"/>
    </i>
    <i>
      <x v="1807"/>
    </i>
    <i>
      <x v="1813"/>
    </i>
    <i>
      <x v="1819"/>
    </i>
    <i>
      <x v="1821"/>
    </i>
    <i>
      <x v="1822"/>
    </i>
    <i>
      <x v="1828"/>
    </i>
    <i>
      <x v="1832"/>
    </i>
    <i>
      <x v="1837"/>
    </i>
    <i>
      <x v="1839"/>
    </i>
    <i>
      <x v="1840"/>
    </i>
    <i>
      <x v="1843"/>
    </i>
    <i>
      <x v="1845"/>
    </i>
    <i>
      <x v="1847"/>
    </i>
    <i>
      <x v="1850"/>
    </i>
    <i>
      <x v="1851"/>
    </i>
    <i>
      <x v="1856"/>
    </i>
    <i>
      <x v="1867"/>
    </i>
    <i>
      <x v="1870"/>
    </i>
    <i>
      <x v="1871"/>
    </i>
    <i>
      <x v="1872"/>
    </i>
    <i>
      <x v="1873"/>
    </i>
    <i>
      <x v="1894"/>
    </i>
    <i>
      <x v="1895"/>
    </i>
    <i>
      <x v="1897"/>
    </i>
    <i>
      <x v="1919"/>
    </i>
    <i>
      <x v="1921"/>
    </i>
    <i>
      <x v="1923"/>
    </i>
    <i>
      <x v="1928"/>
    </i>
    <i>
      <x v="1933"/>
    </i>
    <i>
      <x v="1943"/>
    </i>
    <i>
      <x v="1947"/>
    </i>
    <i>
      <x v="1948"/>
    </i>
    <i>
      <x v="1949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18">
    <format dxfId="1466">
      <pivotArea type="all" dataOnly="0" outline="0" fieldPosition="0"/>
    </format>
    <format dxfId="1465">
      <pivotArea outline="0" collapsedLevelsAreSubtotals="1" fieldPosition="0"/>
    </format>
    <format dxfId="1464">
      <pivotArea type="origin" dataOnly="0" labelOnly="1" outline="0" fieldPosition="0"/>
    </format>
    <format dxfId="1463">
      <pivotArea field="19" type="button" dataOnly="0" labelOnly="1" outline="0" axis="axisCol" fieldPosition="0"/>
    </format>
    <format dxfId="1462">
      <pivotArea type="topRight" dataOnly="0" labelOnly="1" outline="0" fieldPosition="0"/>
    </format>
    <format dxfId="1461">
      <pivotArea field="6" type="button" dataOnly="0" labelOnly="1" outline="0" axis="axisRow" fieldPosition="0"/>
    </format>
    <format dxfId="1460">
      <pivotArea dataOnly="0" labelOnly="1" fieldPosition="0">
        <references count="1">
          <reference field="6" count="50">
            <x v="8"/>
            <x v="12"/>
            <x v="19"/>
            <x v="26"/>
            <x v="37"/>
            <x v="38"/>
            <x v="40"/>
            <x v="48"/>
            <x v="49"/>
            <x v="51"/>
            <x v="63"/>
            <x v="65"/>
            <x v="67"/>
            <x v="71"/>
            <x v="82"/>
            <x v="83"/>
            <x v="84"/>
            <x v="88"/>
            <x v="96"/>
            <x v="98"/>
            <x v="99"/>
            <x v="100"/>
            <x v="104"/>
            <x v="112"/>
            <x v="115"/>
            <x v="120"/>
            <x v="123"/>
            <x v="142"/>
            <x v="162"/>
            <x v="163"/>
            <x v="165"/>
            <x v="171"/>
            <x v="172"/>
            <x v="184"/>
            <x v="187"/>
            <x v="189"/>
            <x v="190"/>
            <x v="193"/>
            <x v="198"/>
            <x v="199"/>
            <x v="200"/>
            <x v="203"/>
            <x v="216"/>
            <x v="219"/>
            <x v="237"/>
            <x v="238"/>
            <x v="243"/>
            <x v="244"/>
            <x v="245"/>
            <x v="247"/>
          </reference>
        </references>
      </pivotArea>
    </format>
    <format dxfId="1459">
      <pivotArea dataOnly="0" labelOnly="1" fieldPosition="0">
        <references count="1">
          <reference field="6" count="50">
            <x v="248"/>
            <x v="254"/>
            <x v="256"/>
            <x v="271"/>
            <x v="280"/>
            <x v="282"/>
            <x v="284"/>
            <x v="286"/>
            <x v="289"/>
            <x v="290"/>
            <x v="296"/>
            <x v="297"/>
            <x v="304"/>
            <x v="314"/>
            <x v="315"/>
            <x v="317"/>
            <x v="319"/>
            <x v="326"/>
            <x v="327"/>
            <x v="338"/>
            <x v="341"/>
            <x v="347"/>
            <x v="352"/>
            <x v="356"/>
            <x v="358"/>
            <x v="359"/>
            <x v="363"/>
            <x v="364"/>
            <x v="365"/>
            <x v="374"/>
            <x v="385"/>
            <x v="388"/>
            <x v="399"/>
            <x v="404"/>
            <x v="407"/>
            <x v="411"/>
            <x v="417"/>
            <x v="420"/>
            <x v="423"/>
            <x v="424"/>
            <x v="429"/>
            <x v="433"/>
            <x v="434"/>
            <x v="436"/>
            <x v="463"/>
            <x v="464"/>
            <x v="465"/>
            <x v="468"/>
            <x v="472"/>
            <x v="477"/>
          </reference>
        </references>
      </pivotArea>
    </format>
    <format dxfId="1458">
      <pivotArea dataOnly="0" labelOnly="1" fieldPosition="0">
        <references count="1">
          <reference field="6" count="50">
            <x v="497"/>
            <x v="498"/>
            <x v="499"/>
            <x v="502"/>
            <x v="511"/>
            <x v="518"/>
            <x v="520"/>
            <x v="524"/>
            <x v="527"/>
            <x v="531"/>
            <x v="534"/>
            <x v="544"/>
            <x v="545"/>
            <x v="548"/>
            <x v="549"/>
            <x v="555"/>
            <x v="558"/>
            <x v="565"/>
            <x v="566"/>
            <x v="571"/>
            <x v="576"/>
            <x v="578"/>
            <x v="585"/>
            <x v="589"/>
            <x v="591"/>
            <x v="592"/>
            <x v="594"/>
            <x v="597"/>
            <x v="599"/>
            <x v="601"/>
            <x v="603"/>
            <x v="611"/>
            <x v="612"/>
            <x v="617"/>
            <x v="618"/>
            <x v="620"/>
            <x v="622"/>
            <x v="627"/>
            <x v="646"/>
            <x v="648"/>
            <x v="650"/>
            <x v="654"/>
            <x v="656"/>
            <x v="660"/>
            <x v="662"/>
            <x v="663"/>
            <x v="664"/>
            <x v="678"/>
            <x v="686"/>
            <x v="690"/>
          </reference>
        </references>
      </pivotArea>
    </format>
    <format dxfId="1457">
      <pivotArea dataOnly="0" labelOnly="1" fieldPosition="0">
        <references count="1">
          <reference field="6" count="50">
            <x v="693"/>
            <x v="698"/>
            <x v="699"/>
            <x v="705"/>
            <x v="707"/>
            <x v="712"/>
            <x v="726"/>
            <x v="729"/>
            <x v="735"/>
            <x v="736"/>
            <x v="744"/>
            <x v="746"/>
            <x v="751"/>
            <x v="752"/>
            <x v="760"/>
            <x v="764"/>
            <x v="767"/>
            <x v="768"/>
            <x v="785"/>
            <x v="789"/>
            <x v="797"/>
            <x v="798"/>
            <x v="807"/>
            <x v="808"/>
            <x v="809"/>
            <x v="810"/>
            <x v="813"/>
            <x v="818"/>
            <x v="826"/>
            <x v="827"/>
            <x v="828"/>
            <x v="830"/>
            <x v="834"/>
            <x v="841"/>
            <x v="847"/>
            <x v="853"/>
            <x v="855"/>
            <x v="860"/>
            <x v="868"/>
            <x v="870"/>
            <x v="872"/>
            <x v="873"/>
            <x v="874"/>
            <x v="878"/>
            <x v="889"/>
            <x v="890"/>
            <x v="896"/>
            <x v="897"/>
            <x v="900"/>
            <x v="903"/>
          </reference>
        </references>
      </pivotArea>
    </format>
    <format dxfId="1456">
      <pivotArea dataOnly="0" labelOnly="1" fieldPosition="0">
        <references count="1">
          <reference field="6" count="50">
            <x v="904"/>
            <x v="914"/>
            <x v="917"/>
            <x v="928"/>
            <x v="935"/>
            <x v="945"/>
            <x v="948"/>
            <x v="952"/>
            <x v="969"/>
            <x v="974"/>
            <x v="978"/>
            <x v="982"/>
            <x v="984"/>
            <x v="1008"/>
            <x v="1009"/>
            <x v="1020"/>
            <x v="1029"/>
            <x v="1033"/>
            <x v="1040"/>
            <x v="1049"/>
            <x v="1058"/>
            <x v="1059"/>
            <x v="1060"/>
            <x v="1062"/>
            <x v="1064"/>
            <x v="1067"/>
            <x v="1072"/>
            <x v="1096"/>
            <x v="1100"/>
            <x v="1106"/>
            <x v="1115"/>
            <x v="1116"/>
            <x v="1126"/>
            <x v="1131"/>
            <x v="1137"/>
            <x v="1139"/>
            <x v="1141"/>
            <x v="1156"/>
            <x v="1170"/>
            <x v="1173"/>
            <x v="1175"/>
            <x v="1202"/>
            <x v="1208"/>
            <x v="1213"/>
            <x v="1226"/>
            <x v="1227"/>
            <x v="1234"/>
            <x v="1247"/>
            <x v="1259"/>
            <x v="1262"/>
          </reference>
        </references>
      </pivotArea>
    </format>
    <format dxfId="1455">
      <pivotArea dataOnly="0" labelOnly="1" fieldPosition="0">
        <references count="1">
          <reference field="6" count="50">
            <x v="1264"/>
            <x v="1268"/>
            <x v="1276"/>
            <x v="1279"/>
            <x v="1281"/>
            <x v="1286"/>
            <x v="1289"/>
            <x v="1294"/>
            <x v="1307"/>
            <x v="1318"/>
            <x v="1327"/>
            <x v="1331"/>
            <x v="1342"/>
            <x v="1354"/>
            <x v="1366"/>
            <x v="1379"/>
            <x v="1380"/>
            <x v="1381"/>
            <x v="1399"/>
            <x v="1409"/>
            <x v="1411"/>
            <x v="1413"/>
            <x v="1423"/>
            <x v="1436"/>
            <x v="1441"/>
            <x v="1445"/>
            <x v="1447"/>
            <x v="1452"/>
            <x v="1455"/>
            <x v="1459"/>
            <x v="1467"/>
            <x v="1476"/>
            <x v="1478"/>
            <x v="1485"/>
            <x v="1495"/>
            <x v="1501"/>
            <x v="1503"/>
            <x v="1504"/>
            <x v="1514"/>
            <x v="1518"/>
            <x v="1521"/>
            <x v="1527"/>
            <x v="1533"/>
            <x v="1536"/>
            <x v="1551"/>
            <x v="1556"/>
            <x v="1563"/>
            <x v="1573"/>
            <x v="1577"/>
            <x v="1580"/>
          </reference>
        </references>
      </pivotArea>
    </format>
    <format dxfId="1454">
      <pivotArea dataOnly="0" labelOnly="1" fieldPosition="0">
        <references count="1">
          <reference field="6" count="50">
            <x v="1584"/>
            <x v="1593"/>
            <x v="1598"/>
            <x v="1603"/>
            <x v="1605"/>
            <x v="1606"/>
            <x v="1608"/>
            <x v="1609"/>
            <x v="1616"/>
            <x v="1635"/>
            <x v="1642"/>
            <x v="1645"/>
            <x v="1646"/>
            <x v="1647"/>
            <x v="1651"/>
            <x v="1661"/>
            <x v="1662"/>
            <x v="1666"/>
            <x v="1667"/>
            <x v="1671"/>
            <x v="1677"/>
            <x v="1689"/>
            <x v="1693"/>
            <x v="1696"/>
            <x v="1699"/>
            <x v="1700"/>
            <x v="1704"/>
            <x v="1709"/>
            <x v="1716"/>
            <x v="1730"/>
            <x v="1744"/>
            <x v="1748"/>
            <x v="1749"/>
            <x v="1750"/>
            <x v="1751"/>
            <x v="1755"/>
            <x v="1757"/>
            <x v="1758"/>
            <x v="1768"/>
            <x v="1785"/>
            <x v="1786"/>
            <x v="1787"/>
            <x v="1796"/>
            <x v="1801"/>
            <x v="1803"/>
            <x v="1805"/>
            <x v="1815"/>
            <x v="1821"/>
            <x v="1823"/>
            <x v="1824"/>
          </reference>
        </references>
      </pivotArea>
    </format>
    <format dxfId="1453">
      <pivotArea dataOnly="0" labelOnly="1" fieldPosition="0">
        <references count="1">
          <reference field="6" count="23">
            <x v="1836"/>
            <x v="1839"/>
            <x v="1845"/>
            <x v="1847"/>
            <x v="1848"/>
            <x v="1855"/>
            <x v="1868"/>
            <x v="1871"/>
            <x v="1894"/>
            <x v="1897"/>
            <x v="1899"/>
            <x v="1903"/>
            <x v="1904"/>
            <x v="1911"/>
            <x v="1912"/>
            <x v="1931"/>
            <x v="1935"/>
            <x v="1939"/>
            <x v="1941"/>
            <x v="1946"/>
            <x v="1948"/>
            <x v="1949"/>
            <x v="1950"/>
          </reference>
        </references>
      </pivotArea>
    </format>
    <format dxfId="1452">
      <pivotArea dataOnly="0" labelOnly="1" grandRow="1" outline="0" fieldPosition="0"/>
    </format>
    <format dxfId="1451">
      <pivotArea dataOnly="0" labelOnly="1" fieldPosition="0">
        <references count="1">
          <reference field="19" count="0"/>
        </references>
      </pivotArea>
    </format>
    <format dxfId="1450">
      <pivotArea dataOnly="0" labelOnly="1" grandCol="1" outline="0" fieldPosition="0"/>
    </format>
    <format dxfId="1449">
      <pivotArea type="all" dataOnly="0" outline="0" fieldPosition="0"/>
    </format>
    <format dxfId="1448">
      <pivotArea outline="0" collapsedLevelsAreSubtotals="1" fieldPosition="0"/>
    </format>
    <format dxfId="1447">
      <pivotArea type="origin" dataOnly="0" labelOnly="1" outline="0" fieldPosition="0"/>
    </format>
    <format dxfId="1446">
      <pivotArea field="19" type="button" dataOnly="0" labelOnly="1" outline="0" axis="axisCol" fieldPosition="0"/>
    </format>
    <format dxfId="1445">
      <pivotArea type="topRight" dataOnly="0" labelOnly="1" outline="0" fieldPosition="0"/>
    </format>
    <format dxfId="1444">
      <pivotArea field="6" type="button" dataOnly="0" labelOnly="1" outline="0" axis="axisRow" fieldPosition="0"/>
    </format>
    <format dxfId="1443">
      <pivotArea dataOnly="0" labelOnly="1" fieldPosition="0">
        <references count="1">
          <reference field="6" count="50">
            <x v="8"/>
            <x v="12"/>
            <x v="19"/>
            <x v="26"/>
            <x v="37"/>
            <x v="38"/>
            <x v="40"/>
            <x v="48"/>
            <x v="49"/>
            <x v="51"/>
            <x v="63"/>
            <x v="65"/>
            <x v="67"/>
            <x v="71"/>
            <x v="82"/>
            <x v="83"/>
            <x v="84"/>
            <x v="88"/>
            <x v="96"/>
            <x v="98"/>
            <x v="99"/>
            <x v="100"/>
            <x v="104"/>
            <x v="112"/>
            <x v="115"/>
            <x v="120"/>
            <x v="123"/>
            <x v="142"/>
            <x v="162"/>
            <x v="163"/>
            <x v="165"/>
            <x v="171"/>
            <x v="172"/>
            <x v="184"/>
            <x v="187"/>
            <x v="189"/>
            <x v="190"/>
            <x v="193"/>
            <x v="198"/>
            <x v="199"/>
            <x v="200"/>
            <x v="203"/>
            <x v="216"/>
            <x v="219"/>
            <x v="237"/>
            <x v="238"/>
            <x v="243"/>
            <x v="244"/>
            <x v="245"/>
            <x v="247"/>
          </reference>
        </references>
      </pivotArea>
    </format>
    <format dxfId="1442">
      <pivotArea dataOnly="0" labelOnly="1" fieldPosition="0">
        <references count="1">
          <reference field="6" count="50">
            <x v="248"/>
            <x v="254"/>
            <x v="256"/>
            <x v="271"/>
            <x v="280"/>
            <x v="282"/>
            <x v="284"/>
            <x v="286"/>
            <x v="289"/>
            <x v="290"/>
            <x v="296"/>
            <x v="297"/>
            <x v="304"/>
            <x v="314"/>
            <x v="315"/>
            <x v="317"/>
            <x v="319"/>
            <x v="326"/>
            <x v="327"/>
            <x v="338"/>
            <x v="341"/>
            <x v="347"/>
            <x v="352"/>
            <x v="356"/>
            <x v="358"/>
            <x v="359"/>
            <x v="363"/>
            <x v="364"/>
            <x v="365"/>
            <x v="374"/>
            <x v="385"/>
            <x v="388"/>
            <x v="399"/>
            <x v="404"/>
            <x v="407"/>
            <x v="411"/>
            <x v="417"/>
            <x v="420"/>
            <x v="423"/>
            <x v="424"/>
            <x v="429"/>
            <x v="433"/>
            <x v="434"/>
            <x v="436"/>
            <x v="463"/>
            <x v="464"/>
            <x v="465"/>
            <x v="468"/>
            <x v="472"/>
            <x v="477"/>
          </reference>
        </references>
      </pivotArea>
    </format>
    <format dxfId="1441">
      <pivotArea dataOnly="0" labelOnly="1" fieldPosition="0">
        <references count="1">
          <reference field="6" count="50">
            <x v="497"/>
            <x v="498"/>
            <x v="499"/>
            <x v="502"/>
            <x v="511"/>
            <x v="518"/>
            <x v="520"/>
            <x v="524"/>
            <x v="527"/>
            <x v="531"/>
            <x v="534"/>
            <x v="544"/>
            <x v="545"/>
            <x v="548"/>
            <x v="549"/>
            <x v="555"/>
            <x v="558"/>
            <x v="565"/>
            <x v="566"/>
            <x v="571"/>
            <x v="576"/>
            <x v="578"/>
            <x v="585"/>
            <x v="589"/>
            <x v="591"/>
            <x v="592"/>
            <x v="594"/>
            <x v="597"/>
            <x v="599"/>
            <x v="601"/>
            <x v="603"/>
            <x v="611"/>
            <x v="612"/>
            <x v="617"/>
            <x v="618"/>
            <x v="620"/>
            <x v="622"/>
            <x v="627"/>
            <x v="646"/>
            <x v="648"/>
            <x v="650"/>
            <x v="654"/>
            <x v="656"/>
            <x v="660"/>
            <x v="662"/>
            <x v="663"/>
            <x v="664"/>
            <x v="678"/>
            <x v="686"/>
            <x v="690"/>
          </reference>
        </references>
      </pivotArea>
    </format>
    <format dxfId="1440">
      <pivotArea dataOnly="0" labelOnly="1" fieldPosition="0">
        <references count="1">
          <reference field="6" count="50">
            <x v="693"/>
            <x v="698"/>
            <x v="699"/>
            <x v="705"/>
            <x v="707"/>
            <x v="712"/>
            <x v="726"/>
            <x v="729"/>
            <x v="735"/>
            <x v="736"/>
            <x v="744"/>
            <x v="746"/>
            <x v="751"/>
            <x v="752"/>
            <x v="760"/>
            <x v="764"/>
            <x v="767"/>
            <x v="768"/>
            <x v="785"/>
            <x v="789"/>
            <x v="797"/>
            <x v="798"/>
            <x v="807"/>
            <x v="808"/>
            <x v="809"/>
            <x v="810"/>
            <x v="813"/>
            <x v="818"/>
            <x v="826"/>
            <x v="827"/>
            <x v="828"/>
            <x v="830"/>
            <x v="834"/>
            <x v="841"/>
            <x v="847"/>
            <x v="853"/>
            <x v="855"/>
            <x v="860"/>
            <x v="868"/>
            <x v="870"/>
            <x v="872"/>
            <x v="873"/>
            <x v="874"/>
            <x v="878"/>
            <x v="889"/>
            <x v="890"/>
            <x v="896"/>
            <x v="897"/>
            <x v="900"/>
            <x v="903"/>
          </reference>
        </references>
      </pivotArea>
    </format>
    <format dxfId="1439">
      <pivotArea dataOnly="0" labelOnly="1" fieldPosition="0">
        <references count="1">
          <reference field="6" count="50">
            <x v="904"/>
            <x v="914"/>
            <x v="917"/>
            <x v="928"/>
            <x v="935"/>
            <x v="945"/>
            <x v="948"/>
            <x v="952"/>
            <x v="969"/>
            <x v="974"/>
            <x v="978"/>
            <x v="982"/>
            <x v="984"/>
            <x v="1008"/>
            <x v="1009"/>
            <x v="1020"/>
            <x v="1029"/>
            <x v="1033"/>
            <x v="1040"/>
            <x v="1049"/>
            <x v="1058"/>
            <x v="1059"/>
            <x v="1060"/>
            <x v="1062"/>
            <x v="1064"/>
            <x v="1067"/>
            <x v="1072"/>
            <x v="1096"/>
            <x v="1100"/>
            <x v="1106"/>
            <x v="1115"/>
            <x v="1116"/>
            <x v="1126"/>
            <x v="1131"/>
            <x v="1137"/>
            <x v="1139"/>
            <x v="1141"/>
            <x v="1156"/>
            <x v="1170"/>
            <x v="1173"/>
            <x v="1175"/>
            <x v="1202"/>
            <x v="1208"/>
            <x v="1213"/>
            <x v="1226"/>
            <x v="1227"/>
            <x v="1234"/>
            <x v="1247"/>
            <x v="1259"/>
            <x v="1262"/>
          </reference>
        </references>
      </pivotArea>
    </format>
    <format dxfId="1438">
      <pivotArea dataOnly="0" labelOnly="1" fieldPosition="0">
        <references count="1">
          <reference field="6" count="50">
            <x v="1264"/>
            <x v="1268"/>
            <x v="1276"/>
            <x v="1279"/>
            <x v="1281"/>
            <x v="1286"/>
            <x v="1289"/>
            <x v="1294"/>
            <x v="1307"/>
            <x v="1318"/>
            <x v="1327"/>
            <x v="1331"/>
            <x v="1342"/>
            <x v="1354"/>
            <x v="1366"/>
            <x v="1379"/>
            <x v="1380"/>
            <x v="1381"/>
            <x v="1399"/>
            <x v="1409"/>
            <x v="1411"/>
            <x v="1413"/>
            <x v="1423"/>
            <x v="1436"/>
            <x v="1441"/>
            <x v="1445"/>
            <x v="1447"/>
            <x v="1452"/>
            <x v="1455"/>
            <x v="1459"/>
            <x v="1467"/>
            <x v="1476"/>
            <x v="1478"/>
            <x v="1485"/>
            <x v="1495"/>
            <x v="1501"/>
            <x v="1503"/>
            <x v="1504"/>
            <x v="1514"/>
            <x v="1518"/>
            <x v="1521"/>
            <x v="1527"/>
            <x v="1533"/>
            <x v="1536"/>
            <x v="1551"/>
            <x v="1556"/>
            <x v="1563"/>
            <x v="1573"/>
            <x v="1577"/>
            <x v="1580"/>
          </reference>
        </references>
      </pivotArea>
    </format>
    <format dxfId="1437">
      <pivotArea dataOnly="0" labelOnly="1" fieldPosition="0">
        <references count="1">
          <reference field="6" count="50">
            <x v="1584"/>
            <x v="1593"/>
            <x v="1598"/>
            <x v="1603"/>
            <x v="1605"/>
            <x v="1606"/>
            <x v="1608"/>
            <x v="1609"/>
            <x v="1616"/>
            <x v="1635"/>
            <x v="1642"/>
            <x v="1645"/>
            <x v="1646"/>
            <x v="1647"/>
            <x v="1651"/>
            <x v="1661"/>
            <x v="1662"/>
            <x v="1666"/>
            <x v="1667"/>
            <x v="1671"/>
            <x v="1677"/>
            <x v="1689"/>
            <x v="1693"/>
            <x v="1696"/>
            <x v="1699"/>
            <x v="1700"/>
            <x v="1704"/>
            <x v="1709"/>
            <x v="1716"/>
            <x v="1730"/>
            <x v="1744"/>
            <x v="1748"/>
            <x v="1749"/>
            <x v="1750"/>
            <x v="1751"/>
            <x v="1755"/>
            <x v="1757"/>
            <x v="1758"/>
            <x v="1768"/>
            <x v="1785"/>
            <x v="1786"/>
            <x v="1787"/>
            <x v="1796"/>
            <x v="1801"/>
            <x v="1803"/>
            <x v="1805"/>
            <x v="1815"/>
            <x v="1821"/>
            <x v="1823"/>
            <x v="1824"/>
          </reference>
        </references>
      </pivotArea>
    </format>
    <format dxfId="1436">
      <pivotArea dataOnly="0" labelOnly="1" fieldPosition="0">
        <references count="1">
          <reference field="6" count="23">
            <x v="1836"/>
            <x v="1839"/>
            <x v="1845"/>
            <x v="1847"/>
            <x v="1848"/>
            <x v="1855"/>
            <x v="1868"/>
            <x v="1871"/>
            <x v="1894"/>
            <x v="1897"/>
            <x v="1899"/>
            <x v="1903"/>
            <x v="1904"/>
            <x v="1911"/>
            <x v="1912"/>
            <x v="1931"/>
            <x v="1935"/>
            <x v="1939"/>
            <x v="1941"/>
            <x v="1946"/>
            <x v="1948"/>
            <x v="1949"/>
            <x v="1950"/>
          </reference>
        </references>
      </pivotArea>
    </format>
    <format dxfId="1435">
      <pivotArea dataOnly="0" labelOnly="1" grandRow="1" outline="0" fieldPosition="0"/>
    </format>
    <format dxfId="1434">
      <pivotArea dataOnly="0" labelOnly="1" fieldPosition="0">
        <references count="1">
          <reference field="19" count="0"/>
        </references>
      </pivotArea>
    </format>
    <format dxfId="1433">
      <pivotArea dataOnly="0" labelOnly="1" grandCol="1" outline="0" fieldPosition="0"/>
    </format>
    <format dxfId="1432">
      <pivotArea type="all" dataOnly="0" outline="0" fieldPosition="0"/>
    </format>
    <format dxfId="1431">
      <pivotArea outline="0" collapsedLevelsAreSubtotals="1" fieldPosition="0"/>
    </format>
    <format dxfId="1430">
      <pivotArea type="origin" dataOnly="0" labelOnly="1" outline="0" fieldPosition="0"/>
    </format>
    <format dxfId="1429">
      <pivotArea field="19" type="button" dataOnly="0" labelOnly="1" outline="0" axis="axisCol" fieldPosition="0"/>
    </format>
    <format dxfId="1428">
      <pivotArea type="topRight" dataOnly="0" labelOnly="1" outline="0" fieldPosition="0"/>
    </format>
    <format dxfId="1427">
      <pivotArea field="6" type="button" dataOnly="0" labelOnly="1" outline="0" axis="axisRow" fieldPosition="0"/>
    </format>
    <format dxfId="1426">
      <pivotArea dataOnly="0" labelOnly="1" fieldPosition="0">
        <references count="1">
          <reference field="6" count="50">
            <x v="8"/>
            <x v="12"/>
            <x v="19"/>
            <x v="26"/>
            <x v="37"/>
            <x v="38"/>
            <x v="40"/>
            <x v="48"/>
            <x v="49"/>
            <x v="51"/>
            <x v="63"/>
            <x v="65"/>
            <x v="67"/>
            <x v="71"/>
            <x v="82"/>
            <x v="83"/>
            <x v="84"/>
            <x v="88"/>
            <x v="96"/>
            <x v="98"/>
            <x v="99"/>
            <x v="100"/>
            <x v="104"/>
            <x v="112"/>
            <x v="115"/>
            <x v="120"/>
            <x v="123"/>
            <x v="142"/>
            <x v="162"/>
            <x v="163"/>
            <x v="165"/>
            <x v="171"/>
            <x v="172"/>
            <x v="184"/>
            <x v="187"/>
            <x v="189"/>
            <x v="190"/>
            <x v="193"/>
            <x v="198"/>
            <x v="199"/>
            <x v="200"/>
            <x v="203"/>
            <x v="216"/>
            <x v="219"/>
            <x v="237"/>
            <x v="238"/>
            <x v="243"/>
            <x v="244"/>
            <x v="245"/>
            <x v="247"/>
          </reference>
        </references>
      </pivotArea>
    </format>
    <format dxfId="1425">
      <pivotArea dataOnly="0" labelOnly="1" fieldPosition="0">
        <references count="1">
          <reference field="6" count="50">
            <x v="248"/>
            <x v="254"/>
            <x v="256"/>
            <x v="271"/>
            <x v="280"/>
            <x v="282"/>
            <x v="284"/>
            <x v="286"/>
            <x v="289"/>
            <x v="290"/>
            <x v="296"/>
            <x v="297"/>
            <x v="304"/>
            <x v="314"/>
            <x v="315"/>
            <x v="317"/>
            <x v="319"/>
            <x v="326"/>
            <x v="327"/>
            <x v="338"/>
            <x v="341"/>
            <x v="347"/>
            <x v="352"/>
            <x v="356"/>
            <x v="358"/>
            <x v="359"/>
            <x v="363"/>
            <x v="364"/>
            <x v="365"/>
            <x v="374"/>
            <x v="385"/>
            <x v="388"/>
            <x v="399"/>
            <x v="404"/>
            <x v="407"/>
            <x v="411"/>
            <x v="417"/>
            <x v="420"/>
            <x v="423"/>
            <x v="424"/>
            <x v="429"/>
            <x v="433"/>
            <x v="434"/>
            <x v="436"/>
            <x v="463"/>
            <x v="464"/>
            <x v="465"/>
            <x v="468"/>
            <x v="472"/>
            <x v="477"/>
          </reference>
        </references>
      </pivotArea>
    </format>
    <format dxfId="1424">
      <pivotArea dataOnly="0" labelOnly="1" fieldPosition="0">
        <references count="1">
          <reference field="6" count="50">
            <x v="497"/>
            <x v="498"/>
            <x v="499"/>
            <x v="502"/>
            <x v="511"/>
            <x v="518"/>
            <x v="520"/>
            <x v="524"/>
            <x v="527"/>
            <x v="531"/>
            <x v="534"/>
            <x v="544"/>
            <x v="545"/>
            <x v="548"/>
            <x v="549"/>
            <x v="555"/>
            <x v="558"/>
            <x v="565"/>
            <x v="566"/>
            <x v="571"/>
            <x v="576"/>
            <x v="578"/>
            <x v="585"/>
            <x v="589"/>
            <x v="591"/>
            <x v="592"/>
            <x v="594"/>
            <x v="597"/>
            <x v="599"/>
            <x v="601"/>
            <x v="603"/>
            <x v="611"/>
            <x v="612"/>
            <x v="617"/>
            <x v="618"/>
            <x v="620"/>
            <x v="622"/>
            <x v="627"/>
            <x v="646"/>
            <x v="648"/>
            <x v="650"/>
            <x v="654"/>
            <x v="656"/>
            <x v="660"/>
            <x v="662"/>
            <x v="663"/>
            <x v="664"/>
            <x v="678"/>
            <x v="686"/>
            <x v="690"/>
          </reference>
        </references>
      </pivotArea>
    </format>
    <format dxfId="1423">
      <pivotArea dataOnly="0" labelOnly="1" fieldPosition="0">
        <references count="1">
          <reference field="6" count="50">
            <x v="693"/>
            <x v="698"/>
            <x v="699"/>
            <x v="705"/>
            <x v="707"/>
            <x v="712"/>
            <x v="726"/>
            <x v="729"/>
            <x v="735"/>
            <x v="736"/>
            <x v="744"/>
            <x v="746"/>
            <x v="751"/>
            <x v="752"/>
            <x v="760"/>
            <x v="764"/>
            <x v="767"/>
            <x v="768"/>
            <x v="785"/>
            <x v="789"/>
            <x v="797"/>
            <x v="798"/>
            <x v="807"/>
            <x v="808"/>
            <x v="809"/>
            <x v="810"/>
            <x v="813"/>
            <x v="818"/>
            <x v="826"/>
            <x v="827"/>
            <x v="828"/>
            <x v="830"/>
            <x v="834"/>
            <x v="841"/>
            <x v="847"/>
            <x v="853"/>
            <x v="855"/>
            <x v="860"/>
            <x v="868"/>
            <x v="870"/>
            <x v="872"/>
            <x v="873"/>
            <x v="874"/>
            <x v="878"/>
            <x v="889"/>
            <x v="890"/>
            <x v="896"/>
            <x v="897"/>
            <x v="900"/>
            <x v="903"/>
          </reference>
        </references>
      </pivotArea>
    </format>
    <format dxfId="1422">
      <pivotArea dataOnly="0" labelOnly="1" fieldPosition="0">
        <references count="1">
          <reference field="6" count="50">
            <x v="904"/>
            <x v="914"/>
            <x v="917"/>
            <x v="928"/>
            <x v="935"/>
            <x v="945"/>
            <x v="948"/>
            <x v="952"/>
            <x v="969"/>
            <x v="974"/>
            <x v="978"/>
            <x v="982"/>
            <x v="984"/>
            <x v="1008"/>
            <x v="1009"/>
            <x v="1020"/>
            <x v="1029"/>
            <x v="1033"/>
            <x v="1040"/>
            <x v="1049"/>
            <x v="1058"/>
            <x v="1059"/>
            <x v="1060"/>
            <x v="1062"/>
            <x v="1064"/>
            <x v="1067"/>
            <x v="1072"/>
            <x v="1096"/>
            <x v="1100"/>
            <x v="1106"/>
            <x v="1115"/>
            <x v="1116"/>
            <x v="1126"/>
            <x v="1131"/>
            <x v="1137"/>
            <x v="1139"/>
            <x v="1141"/>
            <x v="1156"/>
            <x v="1170"/>
            <x v="1173"/>
            <x v="1175"/>
            <x v="1202"/>
            <x v="1208"/>
            <x v="1213"/>
            <x v="1226"/>
            <x v="1227"/>
            <x v="1234"/>
            <x v="1247"/>
            <x v="1259"/>
            <x v="1262"/>
          </reference>
        </references>
      </pivotArea>
    </format>
    <format dxfId="1421">
      <pivotArea dataOnly="0" labelOnly="1" fieldPosition="0">
        <references count="1">
          <reference field="6" count="50">
            <x v="1264"/>
            <x v="1268"/>
            <x v="1276"/>
            <x v="1279"/>
            <x v="1281"/>
            <x v="1286"/>
            <x v="1289"/>
            <x v="1294"/>
            <x v="1307"/>
            <x v="1318"/>
            <x v="1327"/>
            <x v="1331"/>
            <x v="1342"/>
            <x v="1354"/>
            <x v="1366"/>
            <x v="1379"/>
            <x v="1380"/>
            <x v="1381"/>
            <x v="1399"/>
            <x v="1409"/>
            <x v="1411"/>
            <x v="1413"/>
            <x v="1423"/>
            <x v="1436"/>
            <x v="1441"/>
            <x v="1445"/>
            <x v="1447"/>
            <x v="1452"/>
            <x v="1455"/>
            <x v="1459"/>
            <x v="1467"/>
            <x v="1476"/>
            <x v="1478"/>
            <x v="1485"/>
            <x v="1495"/>
            <x v="1501"/>
            <x v="1503"/>
            <x v="1504"/>
            <x v="1514"/>
            <x v="1518"/>
            <x v="1521"/>
            <x v="1527"/>
            <x v="1533"/>
            <x v="1536"/>
            <x v="1551"/>
            <x v="1556"/>
            <x v="1563"/>
            <x v="1573"/>
            <x v="1577"/>
            <x v="1580"/>
          </reference>
        </references>
      </pivotArea>
    </format>
    <format dxfId="1420">
      <pivotArea dataOnly="0" labelOnly="1" fieldPosition="0">
        <references count="1">
          <reference field="6" count="50">
            <x v="1584"/>
            <x v="1593"/>
            <x v="1598"/>
            <x v="1603"/>
            <x v="1605"/>
            <x v="1606"/>
            <x v="1608"/>
            <x v="1609"/>
            <x v="1616"/>
            <x v="1635"/>
            <x v="1642"/>
            <x v="1645"/>
            <x v="1646"/>
            <x v="1647"/>
            <x v="1651"/>
            <x v="1661"/>
            <x v="1662"/>
            <x v="1666"/>
            <x v="1667"/>
            <x v="1671"/>
            <x v="1677"/>
            <x v="1689"/>
            <x v="1693"/>
            <x v="1696"/>
            <x v="1699"/>
            <x v="1700"/>
            <x v="1704"/>
            <x v="1709"/>
            <x v="1716"/>
            <x v="1730"/>
            <x v="1744"/>
            <x v="1748"/>
            <x v="1749"/>
            <x v="1750"/>
            <x v="1751"/>
            <x v="1755"/>
            <x v="1757"/>
            <x v="1758"/>
            <x v="1768"/>
            <x v="1785"/>
            <x v="1786"/>
            <x v="1787"/>
            <x v="1796"/>
            <x v="1801"/>
            <x v="1803"/>
            <x v="1805"/>
            <x v="1815"/>
            <x v="1821"/>
            <x v="1823"/>
            <x v="1824"/>
          </reference>
        </references>
      </pivotArea>
    </format>
    <format dxfId="1419">
      <pivotArea dataOnly="0" labelOnly="1" fieldPosition="0">
        <references count="1">
          <reference field="6" count="23">
            <x v="1836"/>
            <x v="1839"/>
            <x v="1845"/>
            <x v="1847"/>
            <x v="1848"/>
            <x v="1855"/>
            <x v="1868"/>
            <x v="1871"/>
            <x v="1894"/>
            <x v="1897"/>
            <x v="1899"/>
            <x v="1903"/>
            <x v="1904"/>
            <x v="1911"/>
            <x v="1912"/>
            <x v="1931"/>
            <x v="1935"/>
            <x v="1939"/>
            <x v="1941"/>
            <x v="1946"/>
            <x v="1948"/>
            <x v="1949"/>
            <x v="1950"/>
          </reference>
        </references>
      </pivotArea>
    </format>
    <format dxfId="1418">
      <pivotArea dataOnly="0" labelOnly="1" grandRow="1" outline="0" fieldPosition="0"/>
    </format>
    <format dxfId="1417">
      <pivotArea dataOnly="0" labelOnly="1" fieldPosition="0">
        <references count="1">
          <reference field="19" count="0"/>
        </references>
      </pivotArea>
    </format>
    <format dxfId="1416">
      <pivotArea dataOnly="0" labelOnly="1" grandCol="1" outline="0" fieldPosition="0"/>
    </format>
    <format dxfId="1415">
      <pivotArea type="all" dataOnly="0" outline="0" fieldPosition="0"/>
    </format>
    <format dxfId="1414">
      <pivotArea outline="0" collapsedLevelsAreSubtotals="1" fieldPosition="0"/>
    </format>
    <format dxfId="1413">
      <pivotArea type="origin" dataOnly="0" labelOnly="1" outline="0" fieldPosition="0"/>
    </format>
    <format dxfId="1412">
      <pivotArea field="19" type="button" dataOnly="0" labelOnly="1" outline="0" axis="axisCol" fieldPosition="0"/>
    </format>
    <format dxfId="1411">
      <pivotArea type="topRight" dataOnly="0" labelOnly="1" outline="0" fieldPosition="0"/>
    </format>
    <format dxfId="1410">
      <pivotArea field="6" type="button" dataOnly="0" labelOnly="1" outline="0" axis="axisRow" fieldPosition="0"/>
    </format>
    <format dxfId="1409">
      <pivotArea dataOnly="0" labelOnly="1" fieldPosition="0">
        <references count="1">
          <reference field="6" count="50">
            <x v="8"/>
            <x v="12"/>
            <x v="19"/>
            <x v="26"/>
            <x v="37"/>
            <x v="38"/>
            <x v="40"/>
            <x v="48"/>
            <x v="49"/>
            <x v="51"/>
            <x v="63"/>
            <x v="65"/>
            <x v="67"/>
            <x v="71"/>
            <x v="82"/>
            <x v="83"/>
            <x v="84"/>
            <x v="88"/>
            <x v="96"/>
            <x v="98"/>
            <x v="99"/>
            <x v="100"/>
            <x v="104"/>
            <x v="112"/>
            <x v="115"/>
            <x v="120"/>
            <x v="123"/>
            <x v="142"/>
            <x v="162"/>
            <x v="163"/>
            <x v="165"/>
            <x v="171"/>
            <x v="172"/>
            <x v="184"/>
            <x v="187"/>
            <x v="189"/>
            <x v="190"/>
            <x v="193"/>
            <x v="198"/>
            <x v="199"/>
            <x v="200"/>
            <x v="203"/>
            <x v="216"/>
            <x v="219"/>
            <x v="237"/>
            <x v="238"/>
            <x v="243"/>
            <x v="244"/>
            <x v="245"/>
            <x v="247"/>
          </reference>
        </references>
      </pivotArea>
    </format>
    <format dxfId="1408">
      <pivotArea dataOnly="0" labelOnly="1" fieldPosition="0">
        <references count="1">
          <reference field="6" count="50">
            <x v="248"/>
            <x v="254"/>
            <x v="256"/>
            <x v="271"/>
            <x v="280"/>
            <x v="282"/>
            <x v="284"/>
            <x v="286"/>
            <x v="289"/>
            <x v="290"/>
            <x v="296"/>
            <x v="297"/>
            <x v="304"/>
            <x v="314"/>
            <x v="315"/>
            <x v="317"/>
            <x v="319"/>
            <x v="326"/>
            <x v="327"/>
            <x v="338"/>
            <x v="341"/>
            <x v="347"/>
            <x v="352"/>
            <x v="356"/>
            <x v="358"/>
            <x v="359"/>
            <x v="363"/>
            <x v="364"/>
            <x v="365"/>
            <x v="374"/>
            <x v="385"/>
            <x v="388"/>
            <x v="399"/>
            <x v="404"/>
            <x v="407"/>
            <x v="411"/>
            <x v="417"/>
            <x v="420"/>
            <x v="423"/>
            <x v="424"/>
            <x v="429"/>
            <x v="433"/>
            <x v="434"/>
            <x v="436"/>
            <x v="463"/>
            <x v="464"/>
            <x v="465"/>
            <x v="468"/>
            <x v="472"/>
            <x v="477"/>
          </reference>
        </references>
      </pivotArea>
    </format>
    <format dxfId="1407">
      <pivotArea dataOnly="0" labelOnly="1" fieldPosition="0">
        <references count="1">
          <reference field="6" count="50">
            <x v="497"/>
            <x v="498"/>
            <x v="499"/>
            <x v="502"/>
            <x v="511"/>
            <x v="518"/>
            <x v="520"/>
            <x v="524"/>
            <x v="527"/>
            <x v="531"/>
            <x v="534"/>
            <x v="544"/>
            <x v="545"/>
            <x v="548"/>
            <x v="549"/>
            <x v="555"/>
            <x v="558"/>
            <x v="565"/>
            <x v="566"/>
            <x v="571"/>
            <x v="576"/>
            <x v="578"/>
            <x v="585"/>
            <x v="589"/>
            <x v="591"/>
            <x v="592"/>
            <x v="594"/>
            <x v="597"/>
            <x v="599"/>
            <x v="601"/>
            <x v="603"/>
            <x v="611"/>
            <x v="612"/>
            <x v="617"/>
            <x v="618"/>
            <x v="620"/>
            <x v="622"/>
            <x v="627"/>
            <x v="646"/>
            <x v="648"/>
            <x v="650"/>
            <x v="654"/>
            <x v="656"/>
            <x v="660"/>
            <x v="662"/>
            <x v="663"/>
            <x v="664"/>
            <x v="678"/>
            <x v="686"/>
            <x v="690"/>
          </reference>
        </references>
      </pivotArea>
    </format>
    <format dxfId="1406">
      <pivotArea dataOnly="0" labelOnly="1" fieldPosition="0">
        <references count="1">
          <reference field="6" count="50">
            <x v="693"/>
            <x v="698"/>
            <x v="699"/>
            <x v="705"/>
            <x v="707"/>
            <x v="712"/>
            <x v="726"/>
            <x v="729"/>
            <x v="735"/>
            <x v="736"/>
            <x v="744"/>
            <x v="746"/>
            <x v="751"/>
            <x v="752"/>
            <x v="760"/>
            <x v="764"/>
            <x v="767"/>
            <x v="768"/>
            <x v="785"/>
            <x v="789"/>
            <x v="797"/>
            <x v="798"/>
            <x v="807"/>
            <x v="808"/>
            <x v="809"/>
            <x v="810"/>
            <x v="813"/>
            <x v="818"/>
            <x v="826"/>
            <x v="827"/>
            <x v="828"/>
            <x v="830"/>
            <x v="834"/>
            <x v="841"/>
            <x v="847"/>
            <x v="853"/>
            <x v="855"/>
            <x v="860"/>
            <x v="868"/>
            <x v="870"/>
            <x v="872"/>
            <x v="873"/>
            <x v="874"/>
            <x v="878"/>
            <x v="889"/>
            <x v="890"/>
            <x v="896"/>
            <x v="897"/>
            <x v="900"/>
            <x v="903"/>
          </reference>
        </references>
      </pivotArea>
    </format>
    <format dxfId="1405">
      <pivotArea dataOnly="0" labelOnly="1" fieldPosition="0">
        <references count="1">
          <reference field="6" count="50">
            <x v="904"/>
            <x v="914"/>
            <x v="917"/>
            <x v="928"/>
            <x v="935"/>
            <x v="945"/>
            <x v="948"/>
            <x v="952"/>
            <x v="969"/>
            <x v="974"/>
            <x v="978"/>
            <x v="982"/>
            <x v="984"/>
            <x v="1008"/>
            <x v="1009"/>
            <x v="1020"/>
            <x v="1029"/>
            <x v="1033"/>
            <x v="1040"/>
            <x v="1049"/>
            <x v="1058"/>
            <x v="1059"/>
            <x v="1060"/>
            <x v="1062"/>
            <x v="1064"/>
            <x v="1067"/>
            <x v="1072"/>
            <x v="1096"/>
            <x v="1100"/>
            <x v="1106"/>
            <x v="1115"/>
            <x v="1116"/>
            <x v="1126"/>
            <x v="1131"/>
            <x v="1137"/>
            <x v="1139"/>
            <x v="1141"/>
            <x v="1156"/>
            <x v="1170"/>
            <x v="1173"/>
            <x v="1175"/>
            <x v="1202"/>
            <x v="1208"/>
            <x v="1213"/>
            <x v="1226"/>
            <x v="1227"/>
            <x v="1234"/>
            <x v="1247"/>
            <x v="1259"/>
            <x v="1262"/>
          </reference>
        </references>
      </pivotArea>
    </format>
    <format dxfId="1404">
      <pivotArea dataOnly="0" labelOnly="1" fieldPosition="0">
        <references count="1">
          <reference field="6" count="50">
            <x v="1264"/>
            <x v="1268"/>
            <x v="1276"/>
            <x v="1279"/>
            <x v="1281"/>
            <x v="1286"/>
            <x v="1289"/>
            <x v="1294"/>
            <x v="1307"/>
            <x v="1318"/>
            <x v="1327"/>
            <x v="1331"/>
            <x v="1342"/>
            <x v="1354"/>
            <x v="1366"/>
            <x v="1379"/>
            <x v="1380"/>
            <x v="1381"/>
            <x v="1399"/>
            <x v="1409"/>
            <x v="1411"/>
            <x v="1413"/>
            <x v="1423"/>
            <x v="1436"/>
            <x v="1441"/>
            <x v="1445"/>
            <x v="1447"/>
            <x v="1452"/>
            <x v="1455"/>
            <x v="1459"/>
            <x v="1467"/>
            <x v="1476"/>
            <x v="1478"/>
            <x v="1485"/>
            <x v="1495"/>
            <x v="1501"/>
            <x v="1503"/>
            <x v="1504"/>
            <x v="1514"/>
            <x v="1518"/>
            <x v="1521"/>
            <x v="1527"/>
            <x v="1533"/>
            <x v="1536"/>
            <x v="1551"/>
            <x v="1556"/>
            <x v="1563"/>
            <x v="1573"/>
            <x v="1577"/>
            <x v="1580"/>
          </reference>
        </references>
      </pivotArea>
    </format>
    <format dxfId="1403">
      <pivotArea dataOnly="0" labelOnly="1" fieldPosition="0">
        <references count="1">
          <reference field="6" count="50">
            <x v="1584"/>
            <x v="1593"/>
            <x v="1598"/>
            <x v="1603"/>
            <x v="1605"/>
            <x v="1606"/>
            <x v="1608"/>
            <x v="1609"/>
            <x v="1616"/>
            <x v="1635"/>
            <x v="1642"/>
            <x v="1645"/>
            <x v="1646"/>
            <x v="1647"/>
            <x v="1651"/>
            <x v="1661"/>
            <x v="1662"/>
            <x v="1666"/>
            <x v="1667"/>
            <x v="1671"/>
            <x v="1677"/>
            <x v="1689"/>
            <x v="1693"/>
            <x v="1696"/>
            <x v="1699"/>
            <x v="1700"/>
            <x v="1704"/>
            <x v="1709"/>
            <x v="1716"/>
            <x v="1730"/>
            <x v="1744"/>
            <x v="1748"/>
            <x v="1749"/>
            <x v="1750"/>
            <x v="1751"/>
            <x v="1755"/>
            <x v="1757"/>
            <x v="1758"/>
            <x v="1768"/>
            <x v="1785"/>
            <x v="1786"/>
            <x v="1787"/>
            <x v="1796"/>
            <x v="1801"/>
            <x v="1803"/>
            <x v="1805"/>
            <x v="1815"/>
            <x v="1821"/>
            <x v="1823"/>
            <x v="1824"/>
          </reference>
        </references>
      </pivotArea>
    </format>
    <format dxfId="1402">
      <pivotArea dataOnly="0" labelOnly="1" fieldPosition="0">
        <references count="1">
          <reference field="6" count="23">
            <x v="1836"/>
            <x v="1839"/>
            <x v="1845"/>
            <x v="1847"/>
            <x v="1848"/>
            <x v="1855"/>
            <x v="1868"/>
            <x v="1871"/>
            <x v="1894"/>
            <x v="1897"/>
            <x v="1899"/>
            <x v="1903"/>
            <x v="1904"/>
            <x v="1911"/>
            <x v="1912"/>
            <x v="1931"/>
            <x v="1935"/>
            <x v="1939"/>
            <x v="1941"/>
            <x v="1946"/>
            <x v="1948"/>
            <x v="1949"/>
            <x v="1950"/>
          </reference>
        </references>
      </pivotArea>
    </format>
    <format dxfId="1401">
      <pivotArea dataOnly="0" labelOnly="1" grandRow="1" outline="0" fieldPosition="0"/>
    </format>
    <format dxfId="1400">
      <pivotArea dataOnly="0" labelOnly="1" fieldPosition="0">
        <references count="1">
          <reference field="19" count="0"/>
        </references>
      </pivotArea>
    </format>
    <format dxfId="1399">
      <pivotArea dataOnly="0" labelOnly="1" grandCol="1" outline="0" fieldPosition="0"/>
    </format>
    <format dxfId="1398">
      <pivotArea field="6" type="button" dataOnly="0" labelOnly="1" outline="0" axis="axisRow" fieldPosition="0"/>
    </format>
    <format dxfId="1397">
      <pivotArea dataOnly="0" labelOnly="1" fieldPosition="0">
        <references count="1">
          <reference field="19" count="0"/>
        </references>
      </pivotArea>
    </format>
    <format dxfId="1396">
      <pivotArea dataOnly="0" labelOnly="1" grandCol="1" outline="0" fieldPosition="0"/>
    </format>
    <format dxfId="1395">
      <pivotArea outline="0" collapsedLevelsAreSubtotals="1" fieldPosition="0"/>
    </format>
    <format dxfId="1394">
      <pivotArea field="6" type="button" dataOnly="0" labelOnly="1" outline="0" axis="axisRow" fieldPosition="0"/>
    </format>
    <format dxfId="1393">
      <pivotArea dataOnly="0" labelOnly="1" fieldPosition="0">
        <references count="1">
          <reference field="6" count="50">
            <x v="8"/>
            <x v="12"/>
            <x v="19"/>
            <x v="26"/>
            <x v="37"/>
            <x v="38"/>
            <x v="40"/>
            <x v="48"/>
            <x v="49"/>
            <x v="51"/>
            <x v="63"/>
            <x v="65"/>
            <x v="67"/>
            <x v="71"/>
            <x v="82"/>
            <x v="83"/>
            <x v="84"/>
            <x v="88"/>
            <x v="96"/>
            <x v="98"/>
            <x v="99"/>
            <x v="100"/>
            <x v="104"/>
            <x v="112"/>
            <x v="115"/>
            <x v="120"/>
            <x v="123"/>
            <x v="142"/>
            <x v="162"/>
            <x v="163"/>
            <x v="165"/>
            <x v="171"/>
            <x v="172"/>
            <x v="184"/>
            <x v="187"/>
            <x v="189"/>
            <x v="190"/>
            <x v="193"/>
            <x v="198"/>
            <x v="199"/>
            <x v="200"/>
            <x v="203"/>
            <x v="216"/>
            <x v="219"/>
            <x v="237"/>
            <x v="238"/>
            <x v="243"/>
            <x v="244"/>
            <x v="245"/>
            <x v="247"/>
          </reference>
        </references>
      </pivotArea>
    </format>
    <format dxfId="1392">
      <pivotArea dataOnly="0" labelOnly="1" fieldPosition="0">
        <references count="1">
          <reference field="6" count="50">
            <x v="248"/>
            <x v="254"/>
            <x v="256"/>
            <x v="271"/>
            <x v="280"/>
            <x v="282"/>
            <x v="284"/>
            <x v="286"/>
            <x v="289"/>
            <x v="290"/>
            <x v="296"/>
            <x v="297"/>
            <x v="304"/>
            <x v="314"/>
            <x v="315"/>
            <x v="317"/>
            <x v="319"/>
            <x v="326"/>
            <x v="327"/>
            <x v="338"/>
            <x v="341"/>
            <x v="347"/>
            <x v="352"/>
            <x v="356"/>
            <x v="358"/>
            <x v="359"/>
            <x v="363"/>
            <x v="364"/>
            <x v="365"/>
            <x v="374"/>
            <x v="385"/>
            <x v="388"/>
            <x v="399"/>
            <x v="404"/>
            <x v="407"/>
            <x v="411"/>
            <x v="417"/>
            <x v="420"/>
            <x v="423"/>
            <x v="424"/>
            <x v="429"/>
            <x v="433"/>
            <x v="434"/>
            <x v="436"/>
            <x v="463"/>
            <x v="464"/>
            <x v="465"/>
            <x v="468"/>
            <x v="472"/>
            <x v="477"/>
          </reference>
        </references>
      </pivotArea>
    </format>
    <format dxfId="1391">
      <pivotArea dataOnly="0" labelOnly="1" fieldPosition="0">
        <references count="1">
          <reference field="6" count="50">
            <x v="497"/>
            <x v="498"/>
            <x v="499"/>
            <x v="502"/>
            <x v="511"/>
            <x v="518"/>
            <x v="520"/>
            <x v="524"/>
            <x v="527"/>
            <x v="531"/>
            <x v="534"/>
            <x v="544"/>
            <x v="545"/>
            <x v="548"/>
            <x v="549"/>
            <x v="555"/>
            <x v="558"/>
            <x v="565"/>
            <x v="566"/>
            <x v="571"/>
            <x v="576"/>
            <x v="578"/>
            <x v="585"/>
            <x v="589"/>
            <x v="591"/>
            <x v="592"/>
            <x v="594"/>
            <x v="597"/>
            <x v="599"/>
            <x v="601"/>
            <x v="603"/>
            <x v="611"/>
            <x v="612"/>
            <x v="617"/>
            <x v="618"/>
            <x v="620"/>
            <x v="622"/>
            <x v="627"/>
            <x v="646"/>
            <x v="648"/>
            <x v="650"/>
            <x v="654"/>
            <x v="656"/>
            <x v="660"/>
            <x v="662"/>
            <x v="663"/>
            <x v="664"/>
            <x v="678"/>
            <x v="686"/>
            <x v="690"/>
          </reference>
        </references>
      </pivotArea>
    </format>
    <format dxfId="1390">
      <pivotArea dataOnly="0" labelOnly="1" fieldPosition="0">
        <references count="1">
          <reference field="6" count="50">
            <x v="693"/>
            <x v="698"/>
            <x v="699"/>
            <x v="705"/>
            <x v="707"/>
            <x v="712"/>
            <x v="726"/>
            <x v="729"/>
            <x v="735"/>
            <x v="736"/>
            <x v="744"/>
            <x v="746"/>
            <x v="751"/>
            <x v="752"/>
            <x v="760"/>
            <x v="764"/>
            <x v="767"/>
            <x v="768"/>
            <x v="785"/>
            <x v="789"/>
            <x v="797"/>
            <x v="798"/>
            <x v="807"/>
            <x v="808"/>
            <x v="809"/>
            <x v="810"/>
            <x v="813"/>
            <x v="818"/>
            <x v="826"/>
            <x v="827"/>
            <x v="828"/>
            <x v="830"/>
            <x v="834"/>
            <x v="841"/>
            <x v="847"/>
            <x v="853"/>
            <x v="855"/>
            <x v="860"/>
            <x v="868"/>
            <x v="870"/>
            <x v="872"/>
            <x v="873"/>
            <x v="874"/>
            <x v="878"/>
            <x v="889"/>
            <x v="890"/>
            <x v="896"/>
            <x v="897"/>
            <x v="900"/>
            <x v="903"/>
          </reference>
        </references>
      </pivotArea>
    </format>
    <format dxfId="1389">
      <pivotArea dataOnly="0" labelOnly="1" fieldPosition="0">
        <references count="1">
          <reference field="6" count="50">
            <x v="904"/>
            <x v="914"/>
            <x v="917"/>
            <x v="928"/>
            <x v="935"/>
            <x v="945"/>
            <x v="948"/>
            <x v="952"/>
            <x v="969"/>
            <x v="974"/>
            <x v="978"/>
            <x v="982"/>
            <x v="984"/>
            <x v="1008"/>
            <x v="1009"/>
            <x v="1020"/>
            <x v="1029"/>
            <x v="1033"/>
            <x v="1040"/>
            <x v="1049"/>
            <x v="1058"/>
            <x v="1059"/>
            <x v="1060"/>
            <x v="1062"/>
            <x v="1064"/>
            <x v="1067"/>
            <x v="1072"/>
            <x v="1096"/>
            <x v="1100"/>
            <x v="1106"/>
            <x v="1115"/>
            <x v="1116"/>
            <x v="1126"/>
            <x v="1131"/>
            <x v="1137"/>
            <x v="1139"/>
            <x v="1141"/>
            <x v="1156"/>
            <x v="1170"/>
            <x v="1173"/>
            <x v="1175"/>
            <x v="1202"/>
            <x v="1208"/>
            <x v="1213"/>
            <x v="1226"/>
            <x v="1227"/>
            <x v="1234"/>
            <x v="1247"/>
            <x v="1259"/>
            <x v="1262"/>
          </reference>
        </references>
      </pivotArea>
    </format>
    <format dxfId="1388">
      <pivotArea dataOnly="0" labelOnly="1" fieldPosition="0">
        <references count="1">
          <reference field="6" count="50">
            <x v="1264"/>
            <x v="1268"/>
            <x v="1276"/>
            <x v="1279"/>
            <x v="1281"/>
            <x v="1286"/>
            <x v="1289"/>
            <x v="1294"/>
            <x v="1307"/>
            <x v="1318"/>
            <x v="1327"/>
            <x v="1331"/>
            <x v="1342"/>
            <x v="1354"/>
            <x v="1366"/>
            <x v="1379"/>
            <x v="1380"/>
            <x v="1381"/>
            <x v="1399"/>
            <x v="1409"/>
            <x v="1411"/>
            <x v="1413"/>
            <x v="1423"/>
            <x v="1436"/>
            <x v="1441"/>
            <x v="1445"/>
            <x v="1447"/>
            <x v="1452"/>
            <x v="1455"/>
            <x v="1459"/>
            <x v="1467"/>
            <x v="1476"/>
            <x v="1478"/>
            <x v="1485"/>
            <x v="1495"/>
            <x v="1501"/>
            <x v="1503"/>
            <x v="1504"/>
            <x v="1514"/>
            <x v="1518"/>
            <x v="1521"/>
            <x v="1527"/>
            <x v="1533"/>
            <x v="1536"/>
            <x v="1551"/>
            <x v="1556"/>
            <x v="1563"/>
            <x v="1573"/>
            <x v="1577"/>
            <x v="1580"/>
          </reference>
        </references>
      </pivotArea>
    </format>
    <format dxfId="1387">
      <pivotArea dataOnly="0" labelOnly="1" fieldPosition="0">
        <references count="1">
          <reference field="6" count="50">
            <x v="1584"/>
            <x v="1593"/>
            <x v="1598"/>
            <x v="1603"/>
            <x v="1605"/>
            <x v="1606"/>
            <x v="1608"/>
            <x v="1609"/>
            <x v="1616"/>
            <x v="1635"/>
            <x v="1642"/>
            <x v="1645"/>
            <x v="1646"/>
            <x v="1647"/>
            <x v="1651"/>
            <x v="1661"/>
            <x v="1662"/>
            <x v="1666"/>
            <x v="1667"/>
            <x v="1671"/>
            <x v="1677"/>
            <x v="1689"/>
            <x v="1693"/>
            <x v="1696"/>
            <x v="1699"/>
            <x v="1700"/>
            <x v="1704"/>
            <x v="1709"/>
            <x v="1716"/>
            <x v="1730"/>
            <x v="1744"/>
            <x v="1748"/>
            <x v="1749"/>
            <x v="1750"/>
            <x v="1751"/>
            <x v="1755"/>
            <x v="1757"/>
            <x v="1758"/>
            <x v="1768"/>
            <x v="1785"/>
            <x v="1786"/>
            <x v="1787"/>
            <x v="1796"/>
            <x v="1801"/>
            <x v="1803"/>
            <x v="1805"/>
            <x v="1815"/>
            <x v="1821"/>
            <x v="1823"/>
            <x v="1824"/>
          </reference>
        </references>
      </pivotArea>
    </format>
    <format dxfId="1386">
      <pivotArea dataOnly="0" labelOnly="1" fieldPosition="0">
        <references count="1">
          <reference field="6" count="23">
            <x v="1836"/>
            <x v="1839"/>
            <x v="1845"/>
            <x v="1847"/>
            <x v="1848"/>
            <x v="1855"/>
            <x v="1868"/>
            <x v="1871"/>
            <x v="1894"/>
            <x v="1897"/>
            <x v="1899"/>
            <x v="1903"/>
            <x v="1904"/>
            <x v="1911"/>
            <x v="1912"/>
            <x v="1931"/>
            <x v="1935"/>
            <x v="1939"/>
            <x v="1941"/>
            <x v="1946"/>
            <x v="1948"/>
            <x v="1949"/>
            <x v="1950"/>
          </reference>
        </references>
      </pivotArea>
    </format>
    <format dxfId="1385">
      <pivotArea dataOnly="0" labelOnly="1" grandRow="1" outline="0" fieldPosition="0"/>
    </format>
    <format dxfId="1384">
      <pivotArea dataOnly="0" labelOnly="1" fieldPosition="0">
        <references count="1">
          <reference field="19" count="0"/>
        </references>
      </pivotArea>
    </format>
    <format dxfId="1383">
      <pivotArea dataOnly="0" labelOnly="1" grandCol="1" outline="0" fieldPosition="0"/>
    </format>
    <format dxfId="1382">
      <pivotArea collapsedLevelsAreSubtotals="1" fieldPosition="0">
        <references count="1">
          <reference field="6" count="406">
            <x v="26"/>
            <x v="38"/>
            <x v="46"/>
            <x v="49"/>
            <x v="51"/>
            <x v="60"/>
            <x v="63"/>
            <x v="65"/>
            <x v="66"/>
            <x v="67"/>
            <x v="75"/>
            <x v="83"/>
            <x v="88"/>
            <x v="90"/>
            <x v="96"/>
            <x v="99"/>
            <x v="104"/>
            <x v="105"/>
            <x v="113"/>
            <x v="114"/>
            <x v="116"/>
            <x v="123"/>
            <x v="125"/>
            <x v="130"/>
            <x v="141"/>
            <x v="145"/>
            <x v="154"/>
            <x v="155"/>
            <x v="159"/>
            <x v="165"/>
            <x v="177"/>
            <x v="188"/>
            <x v="189"/>
            <x v="194"/>
            <x v="195"/>
            <x v="196"/>
            <x v="198"/>
            <x v="205"/>
            <x v="212"/>
            <x v="215"/>
            <x v="222"/>
            <x v="228"/>
            <x v="229"/>
            <x v="234"/>
            <x v="245"/>
            <x v="247"/>
            <x v="250"/>
            <x v="254"/>
            <x v="256"/>
            <x v="259"/>
            <x v="262"/>
            <x v="266"/>
            <x v="269"/>
            <x v="272"/>
            <x v="274"/>
            <x v="275"/>
            <x v="278"/>
            <x v="280"/>
            <x v="282"/>
            <x v="285"/>
            <x v="286"/>
            <x v="296"/>
            <x v="299"/>
            <x v="302"/>
            <x v="304"/>
            <x v="308"/>
            <x v="315"/>
            <x v="319"/>
            <x v="324"/>
            <x v="326"/>
            <x v="329"/>
            <x v="340"/>
            <x v="349"/>
            <x v="350"/>
            <x v="358"/>
            <x v="360"/>
            <x v="365"/>
            <x v="369"/>
            <x v="377"/>
            <x v="384"/>
            <x v="385"/>
            <x v="391"/>
            <x v="395"/>
            <x v="401"/>
            <x v="404"/>
            <x v="406"/>
            <x v="411"/>
            <x v="414"/>
            <x v="415"/>
            <x v="417"/>
            <x v="436"/>
            <x v="440"/>
            <x v="464"/>
            <x v="465"/>
            <x v="468"/>
            <x v="471"/>
            <x v="472"/>
            <x v="477"/>
            <x v="479"/>
            <x v="503"/>
            <x v="511"/>
            <x v="515"/>
            <x v="520"/>
            <x v="525"/>
            <x v="530"/>
            <x v="531"/>
            <x v="534"/>
            <x v="535"/>
            <x v="538"/>
            <x v="543"/>
            <x v="544"/>
            <x v="545"/>
            <x v="549"/>
            <x v="550"/>
            <x v="555"/>
            <x v="558"/>
            <x v="564"/>
            <x v="566"/>
            <x v="571"/>
            <x v="595"/>
            <x v="597"/>
            <x v="604"/>
            <x v="611"/>
            <x v="612"/>
            <x v="617"/>
            <x v="618"/>
            <x v="620"/>
            <x v="626"/>
            <x v="634"/>
            <x v="640"/>
            <x v="644"/>
            <x v="663"/>
            <x v="680"/>
            <x v="697"/>
            <x v="699"/>
            <x v="703"/>
            <x v="705"/>
            <x v="706"/>
            <x v="712"/>
            <x v="733"/>
            <x v="734"/>
            <x v="735"/>
            <x v="736"/>
            <x v="738"/>
            <x v="744"/>
            <x v="756"/>
            <x v="759"/>
            <x v="761"/>
            <x v="766"/>
            <x v="767"/>
            <x v="770"/>
            <x v="772"/>
            <x v="774"/>
            <x v="778"/>
            <x v="780"/>
            <x v="789"/>
            <x v="804"/>
            <x v="806"/>
            <x v="807"/>
            <x v="808"/>
            <x v="809"/>
            <x v="812"/>
            <x v="813"/>
            <x v="826"/>
            <x v="827"/>
            <x v="830"/>
            <x v="845"/>
            <x v="846"/>
            <x v="850"/>
            <x v="855"/>
            <x v="856"/>
            <x v="857"/>
            <x v="859"/>
            <x v="860"/>
            <x v="868"/>
            <x v="870"/>
            <x v="872"/>
            <x v="878"/>
            <x v="879"/>
            <x v="882"/>
            <x v="885"/>
            <x v="887"/>
            <x v="888"/>
            <x v="897"/>
            <x v="901"/>
            <x v="904"/>
            <x v="910"/>
            <x v="916"/>
            <x v="923"/>
            <x v="928"/>
            <x v="932"/>
            <x v="940"/>
            <x v="948"/>
            <x v="949"/>
            <x v="952"/>
            <x v="954"/>
            <x v="968"/>
            <x v="969"/>
            <x v="970"/>
            <x v="971"/>
            <x v="973"/>
            <x v="977"/>
            <x v="991"/>
            <x v="1001"/>
            <x v="1002"/>
            <x v="1008"/>
            <x v="1020"/>
            <x v="1022"/>
            <x v="1028"/>
            <x v="1032"/>
            <x v="1033"/>
            <x v="1034"/>
            <x v="1037"/>
            <x v="1038"/>
            <x v="1039"/>
            <x v="1040"/>
            <x v="1046"/>
            <x v="1047"/>
            <x v="1048"/>
            <x v="1057"/>
            <x v="1058"/>
            <x v="1059"/>
            <x v="1060"/>
            <x v="1062"/>
            <x v="1063"/>
            <x v="1072"/>
            <x v="1074"/>
            <x v="1079"/>
            <x v="1087"/>
            <x v="1088"/>
            <x v="1109"/>
            <x v="1116"/>
            <x v="1129"/>
            <x v="1130"/>
            <x v="1131"/>
            <x v="1134"/>
            <x v="1141"/>
            <x v="1146"/>
            <x v="1149"/>
            <x v="1153"/>
            <x v="1161"/>
            <x v="1166"/>
            <x v="1167"/>
            <x v="1168"/>
            <x v="1170"/>
            <x v="1174"/>
            <x v="1176"/>
            <x v="1178"/>
            <x v="1186"/>
            <x v="1189"/>
            <x v="1202"/>
            <x v="1205"/>
            <x v="1211"/>
            <x v="1216"/>
            <x v="1217"/>
            <x v="1223"/>
            <x v="1226"/>
            <x v="1228"/>
            <x v="1234"/>
            <x v="1245"/>
            <x v="1250"/>
            <x v="1254"/>
            <x v="1272"/>
            <x v="1279"/>
            <x v="1284"/>
            <x v="1286"/>
            <x v="1290"/>
            <x v="1291"/>
            <x v="1298"/>
            <x v="1303"/>
            <x v="1307"/>
            <x v="1310"/>
            <x v="1311"/>
            <x v="1312"/>
            <x v="1325"/>
            <x v="1331"/>
            <x v="1335"/>
            <x v="1337"/>
            <x v="1339"/>
            <x v="1342"/>
            <x v="1347"/>
            <x v="1362"/>
            <x v="1366"/>
            <x v="1369"/>
            <x v="1376"/>
            <x v="1383"/>
            <x v="1390"/>
            <x v="1391"/>
            <x v="1397"/>
            <x v="1399"/>
            <x v="1411"/>
            <x v="1413"/>
            <x v="1423"/>
            <x v="1425"/>
            <x v="1428"/>
            <x v="1436"/>
            <x v="1438"/>
            <x v="1440"/>
            <x v="1443"/>
            <x v="1450"/>
            <x v="1452"/>
            <x v="1453"/>
            <x v="1468"/>
            <x v="1478"/>
            <x v="1488"/>
            <x v="1489"/>
            <x v="1497"/>
            <x v="1503"/>
            <x v="1504"/>
            <x v="1517"/>
            <x v="1520"/>
            <x v="1521"/>
            <x v="1527"/>
            <x v="1529"/>
            <x v="1533"/>
            <x v="1535"/>
            <x v="1547"/>
            <x v="1551"/>
            <x v="1553"/>
            <x v="1559"/>
            <x v="1562"/>
            <x v="1563"/>
            <x v="1571"/>
            <x v="1573"/>
            <x v="1586"/>
            <x v="1590"/>
            <x v="1593"/>
            <x v="1603"/>
            <x v="1605"/>
            <x v="1608"/>
            <x v="1609"/>
            <x v="1611"/>
            <x v="1612"/>
            <x v="1620"/>
            <x v="1623"/>
            <x v="1635"/>
            <x v="1640"/>
            <x v="1645"/>
            <x v="1646"/>
            <x v="1651"/>
            <x v="1661"/>
            <x v="1662"/>
            <x v="1664"/>
            <x v="1667"/>
            <x v="1669"/>
            <x v="1676"/>
            <x v="1679"/>
            <x v="1683"/>
            <x v="1686"/>
            <x v="1691"/>
            <x v="1696"/>
            <x v="1699"/>
            <x v="1700"/>
            <x v="1704"/>
            <x v="1716"/>
            <x v="1721"/>
            <x v="1724"/>
            <x v="1732"/>
            <x v="1733"/>
            <x v="1734"/>
            <x v="1737"/>
            <x v="1743"/>
            <x v="1745"/>
            <x v="1757"/>
            <x v="1758"/>
            <x v="1759"/>
            <x v="1760"/>
            <x v="1764"/>
            <x v="1770"/>
            <x v="1775"/>
            <x v="1776"/>
            <x v="1785"/>
            <x v="1787"/>
            <x v="1788"/>
            <x v="1789"/>
            <x v="1795"/>
            <x v="1797"/>
            <x v="1800"/>
            <x v="1808"/>
            <x v="1818"/>
            <x v="1819"/>
            <x v="1833"/>
            <x v="1836"/>
            <x v="1843"/>
            <x v="1844"/>
            <x v="1845"/>
            <x v="1848"/>
            <x v="1849"/>
            <x v="1855"/>
            <x v="1857"/>
            <x v="1861"/>
            <x v="1864"/>
            <x v="1867"/>
            <x v="1870"/>
            <x v="1871"/>
            <x v="1895"/>
            <x v="1897"/>
            <x v="1909"/>
            <x v="1911"/>
            <x v="1917"/>
            <x v="1926"/>
            <x v="1928"/>
            <x v="1938"/>
            <x v="1941"/>
            <x v="1946"/>
            <x v="1948"/>
          </reference>
        </references>
      </pivotArea>
    </format>
    <format dxfId="1381">
      <pivotArea dataOnly="0" labelOnly="1" fieldPosition="0">
        <references count="1">
          <reference field="6" count="50">
            <x v="26"/>
            <x v="38"/>
            <x v="49"/>
            <x v="51"/>
            <x v="63"/>
            <x v="65"/>
            <x v="67"/>
            <x v="75"/>
            <x v="83"/>
            <x v="88"/>
            <x v="96"/>
            <x v="99"/>
            <x v="104"/>
            <x v="123"/>
            <x v="154"/>
            <x v="165"/>
            <x v="189"/>
            <x v="198"/>
            <x v="245"/>
            <x v="247"/>
            <x v="254"/>
            <x v="256"/>
            <x v="280"/>
            <x v="282"/>
            <x v="286"/>
            <x v="296"/>
            <x v="304"/>
            <x v="315"/>
            <x v="319"/>
            <x v="326"/>
            <x v="329"/>
            <x v="350"/>
            <x v="358"/>
            <x v="360"/>
            <x v="365"/>
            <x v="385"/>
            <x v="404"/>
            <x v="411"/>
            <x v="417"/>
            <x v="436"/>
            <x v="464"/>
            <x v="465"/>
            <x v="468"/>
            <x v="472"/>
            <x v="477"/>
            <x v="511"/>
            <x v="520"/>
            <x v="531"/>
            <x v="534"/>
            <x v="544"/>
          </reference>
        </references>
      </pivotArea>
    </format>
    <format dxfId="1380">
      <pivotArea dataOnly="0" labelOnly="1" fieldPosition="0">
        <references count="1">
          <reference field="6" count="50">
            <x v="545"/>
            <x v="549"/>
            <x v="555"/>
            <x v="558"/>
            <x v="566"/>
            <x v="571"/>
            <x v="597"/>
            <x v="611"/>
            <x v="612"/>
            <x v="617"/>
            <x v="618"/>
            <x v="620"/>
            <x v="644"/>
            <x v="663"/>
            <x v="699"/>
            <x v="705"/>
            <x v="712"/>
            <x v="735"/>
            <x v="736"/>
            <x v="744"/>
            <x v="759"/>
            <x v="761"/>
            <x v="767"/>
            <x v="789"/>
            <x v="804"/>
            <x v="807"/>
            <x v="808"/>
            <x v="809"/>
            <x v="813"/>
            <x v="826"/>
            <x v="827"/>
            <x v="830"/>
            <x v="855"/>
            <x v="860"/>
            <x v="868"/>
            <x v="870"/>
            <x v="872"/>
            <x v="878"/>
            <x v="897"/>
            <x v="904"/>
            <x v="928"/>
            <x v="932"/>
            <x v="940"/>
            <x v="948"/>
            <x v="952"/>
            <x v="969"/>
            <x v="973"/>
            <x v="1008"/>
            <x v="1020"/>
            <x v="1033"/>
          </reference>
        </references>
      </pivotArea>
    </format>
    <format dxfId="1379">
      <pivotArea dataOnly="0" labelOnly="1" fieldPosition="0">
        <references count="1">
          <reference field="6" count="50">
            <x v="1039"/>
            <x v="1040"/>
            <x v="1047"/>
            <x v="1058"/>
            <x v="1059"/>
            <x v="1060"/>
            <x v="1062"/>
            <x v="1072"/>
            <x v="1087"/>
            <x v="1109"/>
            <x v="1116"/>
            <x v="1131"/>
            <x v="1141"/>
            <x v="1166"/>
            <x v="1170"/>
            <x v="1202"/>
            <x v="1226"/>
            <x v="1234"/>
            <x v="1272"/>
            <x v="1279"/>
            <x v="1286"/>
            <x v="1307"/>
            <x v="1331"/>
            <x v="1342"/>
            <x v="1347"/>
            <x v="1366"/>
            <x v="1399"/>
            <x v="1411"/>
            <x v="1413"/>
            <x v="1423"/>
            <x v="1428"/>
            <x v="1436"/>
            <x v="1452"/>
            <x v="1453"/>
            <x v="1478"/>
            <x v="1503"/>
            <x v="1504"/>
            <x v="1521"/>
            <x v="1527"/>
            <x v="1529"/>
            <x v="1533"/>
            <x v="1551"/>
            <x v="1563"/>
            <x v="1573"/>
            <x v="1593"/>
            <x v="1603"/>
            <x v="1605"/>
            <x v="1608"/>
            <x v="1609"/>
            <x v="1635"/>
          </reference>
        </references>
      </pivotArea>
    </format>
    <format dxfId="1378">
      <pivotArea dataOnly="0" labelOnly="1" fieldPosition="0">
        <references count="1">
          <reference field="6" count="50">
            <x v="205"/>
            <x v="274"/>
            <x v="308"/>
            <x v="538"/>
            <x v="604"/>
            <x v="738"/>
            <x v="772"/>
            <x v="812"/>
            <x v="859"/>
            <x v="949"/>
            <x v="1001"/>
            <x v="1046"/>
            <x v="1167"/>
            <x v="1312"/>
            <x v="1489"/>
            <x v="1517"/>
            <x v="1640"/>
            <x v="1645"/>
            <x v="1646"/>
            <x v="1651"/>
            <x v="1661"/>
            <x v="1662"/>
            <x v="1664"/>
            <x v="1667"/>
            <x v="1683"/>
            <x v="1696"/>
            <x v="1699"/>
            <x v="1700"/>
            <x v="1704"/>
            <x v="1716"/>
            <x v="1733"/>
            <x v="1757"/>
            <x v="1758"/>
            <x v="1785"/>
            <x v="1787"/>
            <x v="1788"/>
            <x v="1836"/>
            <x v="1845"/>
            <x v="1848"/>
            <x v="1855"/>
            <x v="1857"/>
            <x v="1861"/>
            <x v="1864"/>
            <x v="1871"/>
            <x v="1897"/>
            <x v="1911"/>
            <x v="1926"/>
            <x v="1941"/>
            <x v="1946"/>
            <x v="1948"/>
          </reference>
        </references>
      </pivotArea>
    </format>
    <format dxfId="1377">
      <pivotArea dataOnly="0" labelOnly="1" fieldPosition="0">
        <references count="1">
          <reference field="6" count="50">
            <x v="90"/>
            <x v="105"/>
            <x v="114"/>
            <x v="116"/>
            <x v="177"/>
            <x v="222"/>
            <x v="229"/>
            <x v="234"/>
            <x v="262"/>
            <x v="299"/>
            <x v="302"/>
            <x v="324"/>
            <x v="406"/>
            <x v="479"/>
            <x v="550"/>
            <x v="634"/>
            <x v="640"/>
            <x v="697"/>
            <x v="734"/>
            <x v="774"/>
            <x v="806"/>
            <x v="1022"/>
            <x v="1034"/>
            <x v="1038"/>
            <x v="1063"/>
            <x v="1088"/>
            <x v="1129"/>
            <x v="1134"/>
            <x v="1217"/>
            <x v="1290"/>
            <x v="1291"/>
            <x v="1310"/>
            <x v="1335"/>
            <x v="1397"/>
            <x v="1440"/>
            <x v="1443"/>
            <x v="1488"/>
            <x v="1497"/>
            <x v="1535"/>
            <x v="1559"/>
            <x v="1562"/>
            <x v="1571"/>
            <x v="1679"/>
            <x v="1686"/>
            <x v="1737"/>
            <x v="1764"/>
            <x v="1808"/>
            <x v="1819"/>
            <x v="1895"/>
            <x v="1938"/>
          </reference>
        </references>
      </pivotArea>
    </format>
    <format dxfId="1376">
      <pivotArea dataOnly="0" labelOnly="1" fieldPosition="0">
        <references count="1">
          <reference field="6" count="50">
            <x v="125"/>
            <x v="130"/>
            <x v="141"/>
            <x v="145"/>
            <x v="155"/>
            <x v="196"/>
            <x v="228"/>
            <x v="272"/>
            <x v="285"/>
            <x v="377"/>
            <x v="391"/>
            <x v="401"/>
            <x v="415"/>
            <x v="471"/>
            <x v="543"/>
            <x v="564"/>
            <x v="595"/>
            <x v="626"/>
            <x v="680"/>
            <x v="703"/>
            <x v="733"/>
            <x v="756"/>
            <x v="766"/>
            <x v="770"/>
            <x v="778"/>
            <x v="846"/>
            <x v="856"/>
            <x v="888"/>
            <x v="977"/>
            <x v="1028"/>
            <x v="1057"/>
            <x v="1161"/>
            <x v="1174"/>
            <x v="1205"/>
            <x v="1211"/>
            <x v="1284"/>
            <x v="1311"/>
            <x v="1325"/>
            <x v="1438"/>
            <x v="1553"/>
            <x v="1586"/>
            <x v="1612"/>
            <x v="1721"/>
            <x v="1734"/>
            <x v="1760"/>
            <x v="1775"/>
            <x v="1789"/>
            <x v="1800"/>
            <x v="1844"/>
            <x v="1909"/>
          </reference>
        </references>
      </pivotArea>
    </format>
    <format dxfId="1375">
      <pivotArea dataOnly="0" labelOnly="1" fieldPosition="0">
        <references count="1">
          <reference field="6" count="50">
            <x v="46"/>
            <x v="60"/>
            <x v="66"/>
            <x v="113"/>
            <x v="188"/>
            <x v="194"/>
            <x v="250"/>
            <x v="259"/>
            <x v="349"/>
            <x v="369"/>
            <x v="384"/>
            <x v="395"/>
            <x v="440"/>
            <x v="503"/>
            <x v="525"/>
            <x v="535"/>
            <x v="706"/>
            <x v="882"/>
            <x v="887"/>
            <x v="901"/>
            <x v="954"/>
            <x v="970"/>
            <x v="991"/>
            <x v="1037"/>
            <x v="1048"/>
            <x v="1074"/>
            <x v="1079"/>
            <x v="1130"/>
            <x v="1146"/>
            <x v="1168"/>
            <x v="1176"/>
            <x v="1216"/>
            <x v="1223"/>
            <x v="1228"/>
            <x v="1250"/>
            <x v="1298"/>
            <x v="1376"/>
            <x v="1390"/>
            <x v="1391"/>
            <x v="1450"/>
            <x v="1623"/>
            <x v="1691"/>
            <x v="1724"/>
            <x v="1743"/>
            <x v="1745"/>
            <x v="1770"/>
            <x v="1776"/>
            <x v="1797"/>
            <x v="1917"/>
            <x v="1928"/>
          </reference>
        </references>
      </pivotArea>
    </format>
    <format dxfId="1374">
      <pivotArea dataOnly="0" labelOnly="1" fieldPosition="0">
        <references count="1">
          <reference field="6" count="50">
            <x v="159"/>
            <x v="195"/>
            <x v="212"/>
            <x v="215"/>
            <x v="269"/>
            <x v="275"/>
            <x v="278"/>
            <x v="340"/>
            <x v="414"/>
            <x v="515"/>
            <x v="530"/>
            <x v="780"/>
            <x v="845"/>
            <x v="850"/>
            <x v="857"/>
            <x v="879"/>
            <x v="885"/>
            <x v="910"/>
            <x v="916"/>
            <x v="923"/>
            <x v="968"/>
            <x v="971"/>
            <x v="1002"/>
            <x v="1032"/>
            <x v="1149"/>
            <x v="1178"/>
            <x v="1186"/>
            <x v="1189"/>
            <x v="1245"/>
            <x v="1254"/>
            <x v="1303"/>
            <x v="1337"/>
            <x v="1339"/>
            <x v="1362"/>
            <x v="1369"/>
            <x v="1383"/>
            <x v="1425"/>
            <x v="1468"/>
            <x v="1547"/>
            <x v="1590"/>
            <x v="1620"/>
            <x v="1669"/>
            <x v="1676"/>
            <x v="1732"/>
            <x v="1818"/>
            <x v="1833"/>
            <x v="1843"/>
            <x v="1849"/>
            <x v="1867"/>
            <x v="1870"/>
          </reference>
        </references>
      </pivotArea>
    </format>
    <format dxfId="1373">
      <pivotArea dataOnly="0" labelOnly="1" fieldPosition="0">
        <references count="1">
          <reference field="6" count="6">
            <x v="266"/>
            <x v="1153"/>
            <x v="1520"/>
            <x v="1611"/>
            <x v="1759"/>
            <x v="1795"/>
          </reference>
        </references>
      </pivotArea>
    </format>
    <format dxfId="1372">
      <pivotArea collapsedLevelsAreSubtotals="1" fieldPosition="0">
        <references count="1">
          <reference field="6" count="1">
            <x v="26"/>
          </reference>
        </references>
      </pivotArea>
    </format>
    <format dxfId="1371">
      <pivotArea dataOnly="0" labelOnly="1" fieldPosition="0">
        <references count="1">
          <reference field="6" count="1">
            <x v="26"/>
          </reference>
        </references>
      </pivotArea>
    </format>
    <format dxfId="1370">
      <pivotArea collapsedLevelsAreSubtotals="1" fieldPosition="0">
        <references count="1">
          <reference field="6" count="1">
            <x v="26"/>
          </reference>
        </references>
      </pivotArea>
    </format>
    <format dxfId="1369">
      <pivotArea collapsedLevelsAreSubtotals="1" fieldPosition="0">
        <references count="1">
          <reference field="6" count="1">
            <x v="38"/>
          </reference>
        </references>
      </pivotArea>
    </format>
    <format dxfId="1368">
      <pivotArea collapsedLevelsAreSubtotals="1" fieldPosition="0">
        <references count="1">
          <reference field="6" count="1">
            <x v="46"/>
          </reference>
        </references>
      </pivotArea>
    </format>
    <format dxfId="1367">
      <pivotArea collapsedLevelsAreSubtotals="1" fieldPosition="0">
        <references count="1">
          <reference field="6" count="1">
            <x v="49"/>
          </reference>
        </references>
      </pivotArea>
    </format>
    <format dxfId="1366">
      <pivotArea collapsedLevelsAreSubtotals="1" fieldPosition="0">
        <references count="1">
          <reference field="6" count="1">
            <x v="51"/>
          </reference>
        </references>
      </pivotArea>
    </format>
    <format dxfId="1365">
      <pivotArea collapsedLevelsAreSubtotals="1" fieldPosition="0">
        <references count="1">
          <reference field="6" count="1">
            <x v="60"/>
          </reference>
        </references>
      </pivotArea>
    </format>
    <format dxfId="1364">
      <pivotArea collapsedLevelsAreSubtotals="1" fieldPosition="0">
        <references count="1">
          <reference field="6" count="1">
            <x v="63"/>
          </reference>
        </references>
      </pivotArea>
    </format>
    <format dxfId="1363">
      <pivotArea collapsedLevelsAreSubtotals="1" fieldPosition="0">
        <references count="1">
          <reference field="6" count="1">
            <x v="65"/>
          </reference>
        </references>
      </pivotArea>
    </format>
    <format dxfId="1362">
      <pivotArea collapsedLevelsAreSubtotals="1" fieldPosition="0">
        <references count="1">
          <reference field="6" count="1">
            <x v="66"/>
          </reference>
        </references>
      </pivotArea>
    </format>
    <format dxfId="1361">
      <pivotArea collapsedLevelsAreSubtotals="1" fieldPosition="0">
        <references count="1">
          <reference field="6" count="1">
            <x v="67"/>
          </reference>
        </references>
      </pivotArea>
    </format>
    <format dxfId="1360">
      <pivotArea collapsedLevelsAreSubtotals="1" fieldPosition="0">
        <references count="1">
          <reference field="6" count="1">
            <x v="75"/>
          </reference>
        </references>
      </pivotArea>
    </format>
    <format dxfId="1359">
      <pivotArea collapsedLevelsAreSubtotals="1" fieldPosition="0">
        <references count="1">
          <reference field="6" count="1">
            <x v="83"/>
          </reference>
        </references>
      </pivotArea>
    </format>
    <format dxfId="1358">
      <pivotArea collapsedLevelsAreSubtotals="1" fieldPosition="0">
        <references count="1">
          <reference field="6" count="1">
            <x v="88"/>
          </reference>
        </references>
      </pivotArea>
    </format>
    <format dxfId="1357">
      <pivotArea collapsedLevelsAreSubtotals="1" fieldPosition="0">
        <references count="1">
          <reference field="6" count="1">
            <x v="90"/>
          </reference>
        </references>
      </pivotArea>
    </format>
    <format dxfId="1356">
      <pivotArea collapsedLevelsAreSubtotals="1" fieldPosition="0">
        <references count="1">
          <reference field="6" count="1">
            <x v="96"/>
          </reference>
        </references>
      </pivotArea>
    </format>
    <format dxfId="1355">
      <pivotArea collapsedLevelsAreSubtotals="1" fieldPosition="0">
        <references count="1">
          <reference field="6" count="1">
            <x v="99"/>
          </reference>
        </references>
      </pivotArea>
    </format>
    <format dxfId="1354">
      <pivotArea collapsedLevelsAreSubtotals="1" fieldPosition="0">
        <references count="1">
          <reference field="6" count="1">
            <x v="104"/>
          </reference>
        </references>
      </pivotArea>
    </format>
    <format dxfId="1353">
      <pivotArea collapsedLevelsAreSubtotals="1" fieldPosition="0">
        <references count="1">
          <reference field="6" count="1">
            <x v="105"/>
          </reference>
        </references>
      </pivotArea>
    </format>
    <format dxfId="1352">
      <pivotArea collapsedLevelsAreSubtotals="1" fieldPosition="0">
        <references count="1">
          <reference field="6" count="1">
            <x v="113"/>
          </reference>
        </references>
      </pivotArea>
    </format>
    <format dxfId="1351">
      <pivotArea collapsedLevelsAreSubtotals="1" fieldPosition="0">
        <references count="1">
          <reference field="6" count="1">
            <x v="114"/>
          </reference>
        </references>
      </pivotArea>
    </format>
    <format dxfId="1350">
      <pivotArea collapsedLevelsAreSubtotals="1" fieldPosition="0">
        <references count="1">
          <reference field="6" count="1">
            <x v="116"/>
          </reference>
        </references>
      </pivotArea>
    </format>
    <format dxfId="1349">
      <pivotArea collapsedLevelsAreSubtotals="1" fieldPosition="0">
        <references count="1">
          <reference field="6" count="1">
            <x v="123"/>
          </reference>
        </references>
      </pivotArea>
    </format>
    <format dxfId="1348">
      <pivotArea collapsedLevelsAreSubtotals="1" fieldPosition="0">
        <references count="1">
          <reference field="6" count="1">
            <x v="125"/>
          </reference>
        </references>
      </pivotArea>
    </format>
    <format dxfId="1347">
      <pivotArea collapsedLevelsAreSubtotals="1" fieldPosition="0">
        <references count="1">
          <reference field="6" count="1">
            <x v="130"/>
          </reference>
        </references>
      </pivotArea>
    </format>
    <format dxfId="1346">
      <pivotArea collapsedLevelsAreSubtotals="1" fieldPosition="0">
        <references count="1">
          <reference field="6" count="1">
            <x v="141"/>
          </reference>
        </references>
      </pivotArea>
    </format>
    <format dxfId="1345">
      <pivotArea collapsedLevelsAreSubtotals="1" fieldPosition="0">
        <references count="1">
          <reference field="6" count="1">
            <x v="145"/>
          </reference>
        </references>
      </pivotArea>
    </format>
    <format dxfId="1344">
      <pivotArea collapsedLevelsAreSubtotals="1" fieldPosition="0">
        <references count="1">
          <reference field="6" count="1">
            <x v="154"/>
          </reference>
        </references>
      </pivotArea>
    </format>
    <format dxfId="1343">
      <pivotArea collapsedLevelsAreSubtotals="1" fieldPosition="0">
        <references count="1">
          <reference field="6" count="1">
            <x v="155"/>
          </reference>
        </references>
      </pivotArea>
    </format>
    <format dxfId="1342">
      <pivotArea collapsedLevelsAreSubtotals="1" fieldPosition="0">
        <references count="1">
          <reference field="6" count="1">
            <x v="159"/>
          </reference>
        </references>
      </pivotArea>
    </format>
    <format dxfId="1341">
      <pivotArea collapsedLevelsAreSubtotals="1" fieldPosition="0">
        <references count="1">
          <reference field="6" count="1">
            <x v="165"/>
          </reference>
        </references>
      </pivotArea>
    </format>
    <format dxfId="1340">
      <pivotArea collapsedLevelsAreSubtotals="1" fieldPosition="0">
        <references count="1">
          <reference field="6" count="1">
            <x v="177"/>
          </reference>
        </references>
      </pivotArea>
    </format>
    <format dxfId="1339">
      <pivotArea collapsedLevelsAreSubtotals="1" fieldPosition="0">
        <references count="1">
          <reference field="6" count="1">
            <x v="188"/>
          </reference>
        </references>
      </pivotArea>
    </format>
    <format dxfId="1338">
      <pivotArea collapsedLevelsAreSubtotals="1" fieldPosition="0">
        <references count="1">
          <reference field="6" count="1">
            <x v="189"/>
          </reference>
        </references>
      </pivotArea>
    </format>
    <format dxfId="1337">
      <pivotArea collapsedLevelsAreSubtotals="1" fieldPosition="0">
        <references count="1">
          <reference field="6" count="1">
            <x v="194"/>
          </reference>
        </references>
      </pivotArea>
    </format>
    <format dxfId="1336">
      <pivotArea collapsedLevelsAreSubtotals="1" fieldPosition="0">
        <references count="1">
          <reference field="6" count="1">
            <x v="195"/>
          </reference>
        </references>
      </pivotArea>
    </format>
    <format dxfId="1335">
      <pivotArea collapsedLevelsAreSubtotals="1" fieldPosition="0">
        <references count="1">
          <reference field="6" count="1">
            <x v="196"/>
          </reference>
        </references>
      </pivotArea>
    </format>
    <format dxfId="1334">
      <pivotArea collapsedLevelsAreSubtotals="1" fieldPosition="0">
        <references count="1">
          <reference field="6" count="1">
            <x v="198"/>
          </reference>
        </references>
      </pivotArea>
    </format>
    <format dxfId="1333">
      <pivotArea collapsedLevelsAreSubtotals="1" fieldPosition="0">
        <references count="1">
          <reference field="6" count="1">
            <x v="205"/>
          </reference>
        </references>
      </pivotArea>
    </format>
    <format dxfId="1332">
      <pivotArea collapsedLevelsAreSubtotals="1" fieldPosition="0">
        <references count="1">
          <reference field="6" count="1">
            <x v="212"/>
          </reference>
        </references>
      </pivotArea>
    </format>
    <format dxfId="1331">
      <pivotArea collapsedLevelsAreSubtotals="1" fieldPosition="0">
        <references count="1">
          <reference field="6" count="1">
            <x v="215"/>
          </reference>
        </references>
      </pivotArea>
    </format>
    <format dxfId="1330">
      <pivotArea collapsedLevelsAreSubtotals="1" fieldPosition="0">
        <references count="1">
          <reference field="6" count="1">
            <x v="222"/>
          </reference>
        </references>
      </pivotArea>
    </format>
    <format dxfId="1329">
      <pivotArea collapsedLevelsAreSubtotals="1" fieldPosition="0">
        <references count="1">
          <reference field="6" count="1">
            <x v="228"/>
          </reference>
        </references>
      </pivotArea>
    </format>
    <format dxfId="1328">
      <pivotArea collapsedLevelsAreSubtotals="1" fieldPosition="0">
        <references count="1">
          <reference field="6" count="1">
            <x v="229"/>
          </reference>
        </references>
      </pivotArea>
    </format>
    <format dxfId="1327">
      <pivotArea collapsedLevelsAreSubtotals="1" fieldPosition="0">
        <references count="1">
          <reference field="6" count="1">
            <x v="234"/>
          </reference>
        </references>
      </pivotArea>
    </format>
    <format dxfId="1326">
      <pivotArea collapsedLevelsAreSubtotals="1" fieldPosition="0">
        <references count="1">
          <reference field="6" count="1">
            <x v="245"/>
          </reference>
        </references>
      </pivotArea>
    </format>
    <format dxfId="1325">
      <pivotArea collapsedLevelsAreSubtotals="1" fieldPosition="0">
        <references count="1">
          <reference field="6" count="1">
            <x v="247"/>
          </reference>
        </references>
      </pivotArea>
    </format>
    <format dxfId="1324">
      <pivotArea collapsedLevelsAreSubtotals="1" fieldPosition="0">
        <references count="1">
          <reference field="6" count="1">
            <x v="250"/>
          </reference>
        </references>
      </pivotArea>
    </format>
    <format dxfId="1323">
      <pivotArea collapsedLevelsAreSubtotals="1" fieldPosition="0">
        <references count="1">
          <reference field="6" count="1">
            <x v="254"/>
          </reference>
        </references>
      </pivotArea>
    </format>
    <format dxfId="1322">
      <pivotArea collapsedLevelsAreSubtotals="1" fieldPosition="0">
        <references count="1">
          <reference field="6" count="1">
            <x v="256"/>
          </reference>
        </references>
      </pivotArea>
    </format>
    <format dxfId="1321">
      <pivotArea collapsedLevelsAreSubtotals="1" fieldPosition="0">
        <references count="1">
          <reference field="6" count="1">
            <x v="259"/>
          </reference>
        </references>
      </pivotArea>
    </format>
    <format dxfId="1320">
      <pivotArea collapsedLevelsAreSubtotals="1" fieldPosition="0">
        <references count="1">
          <reference field="6" count="1">
            <x v="262"/>
          </reference>
        </references>
      </pivotArea>
    </format>
    <format dxfId="1319">
      <pivotArea collapsedLevelsAreSubtotals="1" fieldPosition="0">
        <references count="1">
          <reference field="6" count="1">
            <x v="266"/>
          </reference>
        </references>
      </pivotArea>
    </format>
    <format dxfId="1318">
      <pivotArea collapsedLevelsAreSubtotals="1" fieldPosition="0">
        <references count="1">
          <reference field="6" count="1">
            <x v="269"/>
          </reference>
        </references>
      </pivotArea>
    </format>
    <format dxfId="1317">
      <pivotArea collapsedLevelsAreSubtotals="1" fieldPosition="0">
        <references count="1">
          <reference field="6" count="1">
            <x v="272"/>
          </reference>
        </references>
      </pivotArea>
    </format>
    <format dxfId="1316">
      <pivotArea collapsedLevelsAreSubtotals="1" fieldPosition="0">
        <references count="1">
          <reference field="6" count="1">
            <x v="274"/>
          </reference>
        </references>
      </pivotArea>
    </format>
    <format dxfId="1315">
      <pivotArea collapsedLevelsAreSubtotals="1" fieldPosition="0">
        <references count="1">
          <reference field="6" count="1">
            <x v="275"/>
          </reference>
        </references>
      </pivotArea>
    </format>
    <format dxfId="1314">
      <pivotArea collapsedLevelsAreSubtotals="1" fieldPosition="0">
        <references count="1">
          <reference field="6" count="1">
            <x v="278"/>
          </reference>
        </references>
      </pivotArea>
    </format>
    <format dxfId="1313">
      <pivotArea collapsedLevelsAreSubtotals="1" fieldPosition="0">
        <references count="1">
          <reference field="6" count="1">
            <x v="280"/>
          </reference>
        </references>
      </pivotArea>
    </format>
    <format dxfId="1312">
      <pivotArea collapsedLevelsAreSubtotals="1" fieldPosition="0">
        <references count="1">
          <reference field="6" count="1">
            <x v="282"/>
          </reference>
        </references>
      </pivotArea>
    </format>
    <format dxfId="1311">
      <pivotArea collapsedLevelsAreSubtotals="1" fieldPosition="0">
        <references count="1">
          <reference field="6" count="1">
            <x v="285"/>
          </reference>
        </references>
      </pivotArea>
    </format>
    <format dxfId="1310">
      <pivotArea collapsedLevelsAreSubtotals="1" fieldPosition="0">
        <references count="1">
          <reference field="6" count="1">
            <x v="286"/>
          </reference>
        </references>
      </pivotArea>
    </format>
    <format dxfId="1309">
      <pivotArea collapsedLevelsAreSubtotals="1" fieldPosition="0">
        <references count="1">
          <reference field="6" count="1">
            <x v="296"/>
          </reference>
        </references>
      </pivotArea>
    </format>
    <format dxfId="1308">
      <pivotArea collapsedLevelsAreSubtotals="1" fieldPosition="0">
        <references count="1">
          <reference field="6" count="1">
            <x v="299"/>
          </reference>
        </references>
      </pivotArea>
    </format>
    <format dxfId="1307">
      <pivotArea collapsedLevelsAreSubtotals="1" fieldPosition="0">
        <references count="1">
          <reference field="6" count="1">
            <x v="302"/>
          </reference>
        </references>
      </pivotArea>
    </format>
    <format dxfId="1306">
      <pivotArea collapsedLevelsAreSubtotals="1" fieldPosition="0">
        <references count="1">
          <reference field="6" count="1">
            <x v="304"/>
          </reference>
        </references>
      </pivotArea>
    </format>
    <format dxfId="1305">
      <pivotArea collapsedLevelsAreSubtotals="1" fieldPosition="0">
        <references count="1">
          <reference field="6" count="1">
            <x v="308"/>
          </reference>
        </references>
      </pivotArea>
    </format>
    <format dxfId="1304">
      <pivotArea collapsedLevelsAreSubtotals="1" fieldPosition="0">
        <references count="1">
          <reference field="6" count="1">
            <x v="315"/>
          </reference>
        </references>
      </pivotArea>
    </format>
    <format dxfId="1303">
      <pivotArea collapsedLevelsAreSubtotals="1" fieldPosition="0">
        <references count="1">
          <reference field="6" count="1">
            <x v="319"/>
          </reference>
        </references>
      </pivotArea>
    </format>
    <format dxfId="1302">
      <pivotArea collapsedLevelsAreSubtotals="1" fieldPosition="0">
        <references count="1">
          <reference field="6" count="1">
            <x v="324"/>
          </reference>
        </references>
      </pivotArea>
    </format>
    <format dxfId="1301">
      <pivotArea collapsedLevelsAreSubtotals="1" fieldPosition="0">
        <references count="1">
          <reference field="6" count="1">
            <x v="326"/>
          </reference>
        </references>
      </pivotArea>
    </format>
    <format dxfId="1300">
      <pivotArea collapsedLevelsAreSubtotals="1" fieldPosition="0">
        <references count="1">
          <reference field="6" count="1">
            <x v="329"/>
          </reference>
        </references>
      </pivotArea>
    </format>
    <format dxfId="1299">
      <pivotArea collapsedLevelsAreSubtotals="1" fieldPosition="0">
        <references count="1">
          <reference field="6" count="1">
            <x v="340"/>
          </reference>
        </references>
      </pivotArea>
    </format>
    <format dxfId="1298">
      <pivotArea collapsedLevelsAreSubtotals="1" fieldPosition="0">
        <references count="1">
          <reference field="6" count="1">
            <x v="349"/>
          </reference>
        </references>
      </pivotArea>
    </format>
    <format dxfId="1297">
      <pivotArea collapsedLevelsAreSubtotals="1" fieldPosition="0">
        <references count="1">
          <reference field="6" count="1">
            <x v="350"/>
          </reference>
        </references>
      </pivotArea>
    </format>
    <format dxfId="1296">
      <pivotArea collapsedLevelsAreSubtotals="1" fieldPosition="0">
        <references count="1">
          <reference field="6" count="1">
            <x v="358"/>
          </reference>
        </references>
      </pivotArea>
    </format>
    <format dxfId="1295">
      <pivotArea collapsedLevelsAreSubtotals="1" fieldPosition="0">
        <references count="1">
          <reference field="6" count="1">
            <x v="360"/>
          </reference>
        </references>
      </pivotArea>
    </format>
    <format dxfId="1294">
      <pivotArea collapsedLevelsAreSubtotals="1" fieldPosition="0">
        <references count="1">
          <reference field="6" count="1">
            <x v="365"/>
          </reference>
        </references>
      </pivotArea>
    </format>
    <format dxfId="1293">
      <pivotArea collapsedLevelsAreSubtotals="1" fieldPosition="0">
        <references count="1">
          <reference field="6" count="1">
            <x v="369"/>
          </reference>
        </references>
      </pivotArea>
    </format>
    <format dxfId="1292">
      <pivotArea collapsedLevelsAreSubtotals="1" fieldPosition="0">
        <references count="1">
          <reference field="6" count="1">
            <x v="377"/>
          </reference>
        </references>
      </pivotArea>
    </format>
    <format dxfId="1291">
      <pivotArea collapsedLevelsAreSubtotals="1" fieldPosition="0">
        <references count="1">
          <reference field="6" count="1">
            <x v="384"/>
          </reference>
        </references>
      </pivotArea>
    </format>
    <format dxfId="1290">
      <pivotArea collapsedLevelsAreSubtotals="1" fieldPosition="0">
        <references count="1">
          <reference field="6" count="1">
            <x v="385"/>
          </reference>
        </references>
      </pivotArea>
    </format>
    <format dxfId="1289">
      <pivotArea collapsedLevelsAreSubtotals="1" fieldPosition="0">
        <references count="1">
          <reference field="6" count="1">
            <x v="391"/>
          </reference>
        </references>
      </pivotArea>
    </format>
    <format dxfId="1288">
      <pivotArea collapsedLevelsAreSubtotals="1" fieldPosition="0">
        <references count="1">
          <reference field="6" count="1">
            <x v="395"/>
          </reference>
        </references>
      </pivotArea>
    </format>
    <format dxfId="1287">
      <pivotArea collapsedLevelsAreSubtotals="1" fieldPosition="0">
        <references count="1">
          <reference field="6" count="1">
            <x v="401"/>
          </reference>
        </references>
      </pivotArea>
    </format>
    <format dxfId="1286">
      <pivotArea collapsedLevelsAreSubtotals="1" fieldPosition="0">
        <references count="1">
          <reference field="6" count="1">
            <x v="404"/>
          </reference>
        </references>
      </pivotArea>
    </format>
    <format dxfId="1285">
      <pivotArea collapsedLevelsAreSubtotals="1" fieldPosition="0">
        <references count="1">
          <reference field="6" count="1">
            <x v="406"/>
          </reference>
        </references>
      </pivotArea>
    </format>
    <format dxfId="1284">
      <pivotArea collapsedLevelsAreSubtotals="1" fieldPosition="0">
        <references count="1">
          <reference field="6" count="1">
            <x v="411"/>
          </reference>
        </references>
      </pivotArea>
    </format>
    <format dxfId="1283">
      <pivotArea collapsedLevelsAreSubtotals="1" fieldPosition="0">
        <references count="1">
          <reference field="6" count="1">
            <x v="414"/>
          </reference>
        </references>
      </pivotArea>
    </format>
    <format dxfId="1282">
      <pivotArea collapsedLevelsAreSubtotals="1" fieldPosition="0">
        <references count="1">
          <reference field="6" count="1">
            <x v="415"/>
          </reference>
        </references>
      </pivotArea>
    </format>
    <format dxfId="1281">
      <pivotArea collapsedLevelsAreSubtotals="1" fieldPosition="0">
        <references count="1">
          <reference field="6" count="1">
            <x v="417"/>
          </reference>
        </references>
      </pivotArea>
    </format>
    <format dxfId="1280">
      <pivotArea collapsedLevelsAreSubtotals="1" fieldPosition="0">
        <references count="1">
          <reference field="6" count="1">
            <x v="436"/>
          </reference>
        </references>
      </pivotArea>
    </format>
    <format dxfId="1279">
      <pivotArea collapsedLevelsAreSubtotals="1" fieldPosition="0">
        <references count="1">
          <reference field="6" count="1">
            <x v="440"/>
          </reference>
        </references>
      </pivotArea>
    </format>
    <format dxfId="1278">
      <pivotArea collapsedLevelsAreSubtotals="1" fieldPosition="0">
        <references count="1">
          <reference field="6" count="1">
            <x v="464"/>
          </reference>
        </references>
      </pivotArea>
    </format>
    <format dxfId="1277">
      <pivotArea collapsedLevelsAreSubtotals="1" fieldPosition="0">
        <references count="1">
          <reference field="6" count="1">
            <x v="465"/>
          </reference>
        </references>
      </pivotArea>
    </format>
    <format dxfId="1276">
      <pivotArea collapsedLevelsAreSubtotals="1" fieldPosition="0">
        <references count="1">
          <reference field="6" count="1">
            <x v="468"/>
          </reference>
        </references>
      </pivotArea>
    </format>
    <format dxfId="1275">
      <pivotArea collapsedLevelsAreSubtotals="1" fieldPosition="0">
        <references count="1">
          <reference field="6" count="1">
            <x v="471"/>
          </reference>
        </references>
      </pivotArea>
    </format>
    <format dxfId="1274">
      <pivotArea collapsedLevelsAreSubtotals="1" fieldPosition="0">
        <references count="1">
          <reference field="6" count="1">
            <x v="472"/>
          </reference>
        </references>
      </pivotArea>
    </format>
    <format dxfId="1273">
      <pivotArea collapsedLevelsAreSubtotals="1" fieldPosition="0">
        <references count="1">
          <reference field="6" count="1">
            <x v="477"/>
          </reference>
        </references>
      </pivotArea>
    </format>
    <format dxfId="1272">
      <pivotArea collapsedLevelsAreSubtotals="1" fieldPosition="0">
        <references count="1">
          <reference field="6" count="1">
            <x v="479"/>
          </reference>
        </references>
      </pivotArea>
    </format>
    <format dxfId="1271">
      <pivotArea collapsedLevelsAreSubtotals="1" fieldPosition="0">
        <references count="1">
          <reference field="6" count="1">
            <x v="503"/>
          </reference>
        </references>
      </pivotArea>
    </format>
    <format dxfId="1270">
      <pivotArea collapsedLevelsAreSubtotals="1" fieldPosition="0">
        <references count="1">
          <reference field="6" count="1">
            <x v="511"/>
          </reference>
        </references>
      </pivotArea>
    </format>
    <format dxfId="1269">
      <pivotArea collapsedLevelsAreSubtotals="1" fieldPosition="0">
        <references count="1">
          <reference field="6" count="1">
            <x v="515"/>
          </reference>
        </references>
      </pivotArea>
    </format>
    <format dxfId="1268">
      <pivotArea collapsedLevelsAreSubtotals="1" fieldPosition="0">
        <references count="1">
          <reference field="6" count="1">
            <x v="520"/>
          </reference>
        </references>
      </pivotArea>
    </format>
    <format dxfId="1267">
      <pivotArea collapsedLevelsAreSubtotals="1" fieldPosition="0">
        <references count="1">
          <reference field="6" count="1">
            <x v="525"/>
          </reference>
        </references>
      </pivotArea>
    </format>
    <format dxfId="1266">
      <pivotArea collapsedLevelsAreSubtotals="1" fieldPosition="0">
        <references count="1">
          <reference field="6" count="1">
            <x v="530"/>
          </reference>
        </references>
      </pivotArea>
    </format>
    <format dxfId="1265">
      <pivotArea collapsedLevelsAreSubtotals="1" fieldPosition="0">
        <references count="1">
          <reference field="6" count="1">
            <x v="531"/>
          </reference>
        </references>
      </pivotArea>
    </format>
    <format dxfId="1264">
      <pivotArea collapsedLevelsAreSubtotals="1" fieldPosition="0">
        <references count="1">
          <reference field="6" count="1">
            <x v="534"/>
          </reference>
        </references>
      </pivotArea>
    </format>
    <format dxfId="1263">
      <pivotArea collapsedLevelsAreSubtotals="1" fieldPosition="0">
        <references count="1">
          <reference field="6" count="1">
            <x v="535"/>
          </reference>
        </references>
      </pivotArea>
    </format>
    <format dxfId="1262">
      <pivotArea collapsedLevelsAreSubtotals="1" fieldPosition="0">
        <references count="1">
          <reference field="6" count="1">
            <x v="538"/>
          </reference>
        </references>
      </pivotArea>
    </format>
    <format dxfId="1261">
      <pivotArea collapsedLevelsAreSubtotals="1" fieldPosition="0">
        <references count="1">
          <reference field="6" count="1">
            <x v="543"/>
          </reference>
        </references>
      </pivotArea>
    </format>
    <format dxfId="1260">
      <pivotArea collapsedLevelsAreSubtotals="1" fieldPosition="0">
        <references count="1">
          <reference field="6" count="1">
            <x v="544"/>
          </reference>
        </references>
      </pivotArea>
    </format>
    <format dxfId="1259">
      <pivotArea collapsedLevelsAreSubtotals="1" fieldPosition="0">
        <references count="1">
          <reference field="6" count="1">
            <x v="545"/>
          </reference>
        </references>
      </pivotArea>
    </format>
    <format dxfId="1258">
      <pivotArea collapsedLevelsAreSubtotals="1" fieldPosition="0">
        <references count="1">
          <reference field="6" count="1">
            <x v="549"/>
          </reference>
        </references>
      </pivotArea>
    </format>
    <format dxfId="1257">
      <pivotArea collapsedLevelsAreSubtotals="1" fieldPosition="0">
        <references count="1">
          <reference field="6" count="1">
            <x v="550"/>
          </reference>
        </references>
      </pivotArea>
    </format>
    <format dxfId="1256">
      <pivotArea collapsedLevelsAreSubtotals="1" fieldPosition="0">
        <references count="1">
          <reference field="6" count="1">
            <x v="555"/>
          </reference>
        </references>
      </pivotArea>
    </format>
    <format dxfId="1255">
      <pivotArea collapsedLevelsAreSubtotals="1" fieldPosition="0">
        <references count="1">
          <reference field="6" count="1">
            <x v="558"/>
          </reference>
        </references>
      </pivotArea>
    </format>
    <format dxfId="1254">
      <pivotArea collapsedLevelsAreSubtotals="1" fieldPosition="0">
        <references count="1">
          <reference field="6" count="1">
            <x v="564"/>
          </reference>
        </references>
      </pivotArea>
    </format>
    <format dxfId="1253">
      <pivotArea collapsedLevelsAreSubtotals="1" fieldPosition="0">
        <references count="1">
          <reference field="6" count="1">
            <x v="566"/>
          </reference>
        </references>
      </pivotArea>
    </format>
    <format dxfId="1252">
      <pivotArea collapsedLevelsAreSubtotals="1" fieldPosition="0">
        <references count="1">
          <reference field="6" count="1">
            <x v="571"/>
          </reference>
        </references>
      </pivotArea>
    </format>
    <format dxfId="1251">
      <pivotArea collapsedLevelsAreSubtotals="1" fieldPosition="0">
        <references count="1">
          <reference field="6" count="1">
            <x v="595"/>
          </reference>
        </references>
      </pivotArea>
    </format>
    <format dxfId="1250">
      <pivotArea collapsedLevelsAreSubtotals="1" fieldPosition="0">
        <references count="1">
          <reference field="6" count="1">
            <x v="597"/>
          </reference>
        </references>
      </pivotArea>
    </format>
    <format dxfId="1249">
      <pivotArea collapsedLevelsAreSubtotals="1" fieldPosition="0">
        <references count="1">
          <reference field="6" count="1">
            <x v="604"/>
          </reference>
        </references>
      </pivotArea>
    </format>
    <format dxfId="1248">
      <pivotArea collapsedLevelsAreSubtotals="1" fieldPosition="0">
        <references count="1">
          <reference field="6" count="1">
            <x v="611"/>
          </reference>
        </references>
      </pivotArea>
    </format>
    <format dxfId="1247">
      <pivotArea collapsedLevelsAreSubtotals="1" fieldPosition="0">
        <references count="1">
          <reference field="6" count="1">
            <x v="612"/>
          </reference>
        </references>
      </pivotArea>
    </format>
    <format dxfId="1246">
      <pivotArea collapsedLevelsAreSubtotals="1" fieldPosition="0">
        <references count="1">
          <reference field="6" count="1">
            <x v="617"/>
          </reference>
        </references>
      </pivotArea>
    </format>
    <format dxfId="1245">
      <pivotArea collapsedLevelsAreSubtotals="1" fieldPosition="0">
        <references count="1">
          <reference field="6" count="1">
            <x v="618"/>
          </reference>
        </references>
      </pivotArea>
    </format>
    <format dxfId="1244">
      <pivotArea collapsedLevelsAreSubtotals="1" fieldPosition="0">
        <references count="1">
          <reference field="6" count="1">
            <x v="620"/>
          </reference>
        </references>
      </pivotArea>
    </format>
    <format dxfId="1243">
      <pivotArea collapsedLevelsAreSubtotals="1" fieldPosition="0">
        <references count="1">
          <reference field="6" count="1">
            <x v="626"/>
          </reference>
        </references>
      </pivotArea>
    </format>
    <format dxfId="1242">
      <pivotArea collapsedLevelsAreSubtotals="1" fieldPosition="0">
        <references count="1">
          <reference field="6" count="1">
            <x v="634"/>
          </reference>
        </references>
      </pivotArea>
    </format>
    <format dxfId="1241">
      <pivotArea collapsedLevelsAreSubtotals="1" fieldPosition="0">
        <references count="1">
          <reference field="6" count="1">
            <x v="640"/>
          </reference>
        </references>
      </pivotArea>
    </format>
    <format dxfId="1240">
      <pivotArea collapsedLevelsAreSubtotals="1" fieldPosition="0">
        <references count="1">
          <reference field="6" count="1">
            <x v="644"/>
          </reference>
        </references>
      </pivotArea>
    </format>
    <format dxfId="1239">
      <pivotArea collapsedLevelsAreSubtotals="1" fieldPosition="0">
        <references count="1">
          <reference field="6" count="1">
            <x v="663"/>
          </reference>
        </references>
      </pivotArea>
    </format>
    <format dxfId="1238">
      <pivotArea collapsedLevelsAreSubtotals="1" fieldPosition="0">
        <references count="1">
          <reference field="6" count="1">
            <x v="680"/>
          </reference>
        </references>
      </pivotArea>
    </format>
    <format dxfId="1237">
      <pivotArea collapsedLevelsAreSubtotals="1" fieldPosition="0">
        <references count="1">
          <reference field="6" count="1">
            <x v="697"/>
          </reference>
        </references>
      </pivotArea>
    </format>
    <format dxfId="1236">
      <pivotArea collapsedLevelsAreSubtotals="1" fieldPosition="0">
        <references count="1">
          <reference field="6" count="1">
            <x v="699"/>
          </reference>
        </references>
      </pivotArea>
    </format>
    <format dxfId="1235">
      <pivotArea collapsedLevelsAreSubtotals="1" fieldPosition="0">
        <references count="1">
          <reference field="6" count="1">
            <x v="703"/>
          </reference>
        </references>
      </pivotArea>
    </format>
    <format dxfId="1234">
      <pivotArea collapsedLevelsAreSubtotals="1" fieldPosition="0">
        <references count="1">
          <reference field="6" count="1">
            <x v="705"/>
          </reference>
        </references>
      </pivotArea>
    </format>
    <format dxfId="1233">
      <pivotArea collapsedLevelsAreSubtotals="1" fieldPosition="0">
        <references count="1">
          <reference field="6" count="1">
            <x v="706"/>
          </reference>
        </references>
      </pivotArea>
    </format>
    <format dxfId="1232">
      <pivotArea collapsedLevelsAreSubtotals="1" fieldPosition="0">
        <references count="1">
          <reference field="6" count="1">
            <x v="712"/>
          </reference>
        </references>
      </pivotArea>
    </format>
    <format dxfId="1231">
      <pivotArea collapsedLevelsAreSubtotals="1" fieldPosition="0">
        <references count="1">
          <reference field="6" count="1">
            <x v="733"/>
          </reference>
        </references>
      </pivotArea>
    </format>
    <format dxfId="1230">
      <pivotArea collapsedLevelsAreSubtotals="1" fieldPosition="0">
        <references count="1">
          <reference field="6" count="1">
            <x v="734"/>
          </reference>
        </references>
      </pivotArea>
    </format>
    <format dxfId="1229">
      <pivotArea collapsedLevelsAreSubtotals="1" fieldPosition="0">
        <references count="1">
          <reference field="6" count="1">
            <x v="735"/>
          </reference>
        </references>
      </pivotArea>
    </format>
    <format dxfId="1228">
      <pivotArea collapsedLevelsAreSubtotals="1" fieldPosition="0">
        <references count="1">
          <reference field="6" count="1">
            <x v="736"/>
          </reference>
        </references>
      </pivotArea>
    </format>
    <format dxfId="1227">
      <pivotArea collapsedLevelsAreSubtotals="1" fieldPosition="0">
        <references count="1">
          <reference field="6" count="1">
            <x v="738"/>
          </reference>
        </references>
      </pivotArea>
    </format>
    <format dxfId="1226">
      <pivotArea collapsedLevelsAreSubtotals="1" fieldPosition="0">
        <references count="1">
          <reference field="6" count="1">
            <x v="744"/>
          </reference>
        </references>
      </pivotArea>
    </format>
    <format dxfId="1225">
      <pivotArea collapsedLevelsAreSubtotals="1" fieldPosition="0">
        <references count="1">
          <reference field="6" count="1">
            <x v="756"/>
          </reference>
        </references>
      </pivotArea>
    </format>
    <format dxfId="1224">
      <pivotArea collapsedLevelsAreSubtotals="1" fieldPosition="0">
        <references count="1">
          <reference field="6" count="1">
            <x v="759"/>
          </reference>
        </references>
      </pivotArea>
    </format>
    <format dxfId="1223">
      <pivotArea collapsedLevelsAreSubtotals="1" fieldPosition="0">
        <references count="1">
          <reference field="6" count="1">
            <x v="761"/>
          </reference>
        </references>
      </pivotArea>
    </format>
    <format dxfId="1222">
      <pivotArea collapsedLevelsAreSubtotals="1" fieldPosition="0">
        <references count="1">
          <reference field="6" count="1">
            <x v="766"/>
          </reference>
        </references>
      </pivotArea>
    </format>
    <format dxfId="1221">
      <pivotArea collapsedLevelsAreSubtotals="1" fieldPosition="0">
        <references count="1">
          <reference field="6" count="1">
            <x v="767"/>
          </reference>
        </references>
      </pivotArea>
    </format>
    <format dxfId="1220">
      <pivotArea collapsedLevelsAreSubtotals="1" fieldPosition="0">
        <references count="1">
          <reference field="6" count="1">
            <x v="770"/>
          </reference>
        </references>
      </pivotArea>
    </format>
    <format dxfId="1219">
      <pivotArea collapsedLevelsAreSubtotals="1" fieldPosition="0">
        <references count="1">
          <reference field="6" count="1">
            <x v="772"/>
          </reference>
        </references>
      </pivotArea>
    </format>
    <format dxfId="1218">
      <pivotArea collapsedLevelsAreSubtotals="1" fieldPosition="0">
        <references count="1">
          <reference field="6" count="1">
            <x v="774"/>
          </reference>
        </references>
      </pivotArea>
    </format>
    <format dxfId="1217">
      <pivotArea collapsedLevelsAreSubtotals="1" fieldPosition="0">
        <references count="1">
          <reference field="6" count="1">
            <x v="778"/>
          </reference>
        </references>
      </pivotArea>
    </format>
    <format dxfId="1216">
      <pivotArea collapsedLevelsAreSubtotals="1" fieldPosition="0">
        <references count="1">
          <reference field="6" count="1">
            <x v="780"/>
          </reference>
        </references>
      </pivotArea>
    </format>
    <format dxfId="1215">
      <pivotArea collapsedLevelsAreSubtotals="1" fieldPosition="0">
        <references count="1">
          <reference field="6" count="1">
            <x v="789"/>
          </reference>
        </references>
      </pivotArea>
    </format>
    <format dxfId="1214">
      <pivotArea collapsedLevelsAreSubtotals="1" fieldPosition="0">
        <references count="1">
          <reference field="6" count="1">
            <x v="804"/>
          </reference>
        </references>
      </pivotArea>
    </format>
    <format dxfId="1213">
      <pivotArea collapsedLevelsAreSubtotals="1" fieldPosition="0">
        <references count="1">
          <reference field="6" count="1">
            <x v="806"/>
          </reference>
        </references>
      </pivotArea>
    </format>
    <format dxfId="1212">
      <pivotArea collapsedLevelsAreSubtotals="1" fieldPosition="0">
        <references count="1">
          <reference field="6" count="1">
            <x v="807"/>
          </reference>
        </references>
      </pivotArea>
    </format>
    <format dxfId="1211">
      <pivotArea collapsedLevelsAreSubtotals="1" fieldPosition="0">
        <references count="1">
          <reference field="6" count="1">
            <x v="808"/>
          </reference>
        </references>
      </pivotArea>
    </format>
    <format dxfId="1210">
      <pivotArea collapsedLevelsAreSubtotals="1" fieldPosition="0">
        <references count="1">
          <reference field="6" count="1">
            <x v="809"/>
          </reference>
        </references>
      </pivotArea>
    </format>
    <format dxfId="1209">
      <pivotArea collapsedLevelsAreSubtotals="1" fieldPosition="0">
        <references count="1">
          <reference field="6" count="1">
            <x v="812"/>
          </reference>
        </references>
      </pivotArea>
    </format>
    <format dxfId="1208">
      <pivotArea collapsedLevelsAreSubtotals="1" fieldPosition="0">
        <references count="1">
          <reference field="6" count="1">
            <x v="813"/>
          </reference>
        </references>
      </pivotArea>
    </format>
    <format dxfId="1207">
      <pivotArea collapsedLevelsAreSubtotals="1" fieldPosition="0">
        <references count="1">
          <reference field="6" count="1">
            <x v="826"/>
          </reference>
        </references>
      </pivotArea>
    </format>
    <format dxfId="1206">
      <pivotArea collapsedLevelsAreSubtotals="1" fieldPosition="0">
        <references count="1">
          <reference field="6" count="1">
            <x v="827"/>
          </reference>
        </references>
      </pivotArea>
    </format>
    <format dxfId="1205">
      <pivotArea collapsedLevelsAreSubtotals="1" fieldPosition="0">
        <references count="1">
          <reference field="6" count="1">
            <x v="830"/>
          </reference>
        </references>
      </pivotArea>
    </format>
    <format dxfId="1204">
      <pivotArea collapsedLevelsAreSubtotals="1" fieldPosition="0">
        <references count="1">
          <reference field="6" count="1">
            <x v="845"/>
          </reference>
        </references>
      </pivotArea>
    </format>
    <format dxfId="1203">
      <pivotArea collapsedLevelsAreSubtotals="1" fieldPosition="0">
        <references count="1">
          <reference field="6" count="1">
            <x v="846"/>
          </reference>
        </references>
      </pivotArea>
    </format>
    <format dxfId="1202">
      <pivotArea collapsedLevelsAreSubtotals="1" fieldPosition="0">
        <references count="1">
          <reference field="6" count="1">
            <x v="850"/>
          </reference>
        </references>
      </pivotArea>
    </format>
    <format dxfId="1201">
      <pivotArea collapsedLevelsAreSubtotals="1" fieldPosition="0">
        <references count="1">
          <reference field="6" count="1">
            <x v="855"/>
          </reference>
        </references>
      </pivotArea>
    </format>
    <format dxfId="1200">
      <pivotArea collapsedLevelsAreSubtotals="1" fieldPosition="0">
        <references count="1">
          <reference field="6" count="1">
            <x v="856"/>
          </reference>
        </references>
      </pivotArea>
    </format>
    <format dxfId="1199">
      <pivotArea collapsedLevelsAreSubtotals="1" fieldPosition="0">
        <references count="1">
          <reference field="6" count="1">
            <x v="857"/>
          </reference>
        </references>
      </pivotArea>
    </format>
    <format dxfId="1198">
      <pivotArea collapsedLevelsAreSubtotals="1" fieldPosition="0">
        <references count="1">
          <reference field="6" count="1">
            <x v="859"/>
          </reference>
        </references>
      </pivotArea>
    </format>
    <format dxfId="1197">
      <pivotArea collapsedLevelsAreSubtotals="1" fieldPosition="0">
        <references count="1">
          <reference field="6" count="1">
            <x v="860"/>
          </reference>
        </references>
      </pivotArea>
    </format>
    <format dxfId="1196">
      <pivotArea collapsedLevelsAreSubtotals="1" fieldPosition="0">
        <references count="1">
          <reference field="6" count="1">
            <x v="868"/>
          </reference>
        </references>
      </pivotArea>
    </format>
    <format dxfId="1195">
      <pivotArea collapsedLevelsAreSubtotals="1" fieldPosition="0">
        <references count="1">
          <reference field="6" count="1">
            <x v="870"/>
          </reference>
        </references>
      </pivotArea>
    </format>
    <format dxfId="1194">
      <pivotArea collapsedLevelsAreSubtotals="1" fieldPosition="0">
        <references count="1">
          <reference field="6" count="1">
            <x v="872"/>
          </reference>
        </references>
      </pivotArea>
    </format>
    <format dxfId="1193">
      <pivotArea collapsedLevelsAreSubtotals="1" fieldPosition="0">
        <references count="1">
          <reference field="6" count="1">
            <x v="878"/>
          </reference>
        </references>
      </pivotArea>
    </format>
    <format dxfId="1192">
      <pivotArea collapsedLevelsAreSubtotals="1" fieldPosition="0">
        <references count="1">
          <reference field="6" count="1">
            <x v="879"/>
          </reference>
        </references>
      </pivotArea>
    </format>
    <format dxfId="1191">
      <pivotArea collapsedLevelsAreSubtotals="1" fieldPosition="0">
        <references count="1">
          <reference field="6" count="1">
            <x v="882"/>
          </reference>
        </references>
      </pivotArea>
    </format>
    <format dxfId="1190">
      <pivotArea collapsedLevelsAreSubtotals="1" fieldPosition="0">
        <references count="1">
          <reference field="6" count="1">
            <x v="885"/>
          </reference>
        </references>
      </pivotArea>
    </format>
    <format dxfId="1189">
      <pivotArea collapsedLevelsAreSubtotals="1" fieldPosition="0">
        <references count="1">
          <reference field="6" count="1">
            <x v="887"/>
          </reference>
        </references>
      </pivotArea>
    </format>
    <format dxfId="1188">
      <pivotArea collapsedLevelsAreSubtotals="1" fieldPosition="0">
        <references count="1">
          <reference field="6" count="1">
            <x v="888"/>
          </reference>
        </references>
      </pivotArea>
    </format>
    <format dxfId="1187">
      <pivotArea collapsedLevelsAreSubtotals="1" fieldPosition="0">
        <references count="1">
          <reference field="6" count="1">
            <x v="897"/>
          </reference>
        </references>
      </pivotArea>
    </format>
    <format dxfId="1186">
      <pivotArea collapsedLevelsAreSubtotals="1" fieldPosition="0">
        <references count="1">
          <reference field="6" count="1">
            <x v="901"/>
          </reference>
        </references>
      </pivotArea>
    </format>
    <format dxfId="1185">
      <pivotArea collapsedLevelsAreSubtotals="1" fieldPosition="0">
        <references count="1">
          <reference field="6" count="1">
            <x v="904"/>
          </reference>
        </references>
      </pivotArea>
    </format>
    <format dxfId="1184">
      <pivotArea collapsedLevelsAreSubtotals="1" fieldPosition="0">
        <references count="1">
          <reference field="6" count="1">
            <x v="910"/>
          </reference>
        </references>
      </pivotArea>
    </format>
    <format dxfId="1183">
      <pivotArea collapsedLevelsAreSubtotals="1" fieldPosition="0">
        <references count="1">
          <reference field="6" count="1">
            <x v="916"/>
          </reference>
        </references>
      </pivotArea>
    </format>
    <format dxfId="1182">
      <pivotArea collapsedLevelsAreSubtotals="1" fieldPosition="0">
        <references count="1">
          <reference field="6" count="1">
            <x v="923"/>
          </reference>
        </references>
      </pivotArea>
    </format>
    <format dxfId="1181">
      <pivotArea collapsedLevelsAreSubtotals="1" fieldPosition="0">
        <references count="1">
          <reference field="6" count="1">
            <x v="928"/>
          </reference>
        </references>
      </pivotArea>
    </format>
    <format dxfId="1180">
      <pivotArea collapsedLevelsAreSubtotals="1" fieldPosition="0">
        <references count="1">
          <reference field="6" count="1">
            <x v="932"/>
          </reference>
        </references>
      </pivotArea>
    </format>
    <format dxfId="1179">
      <pivotArea collapsedLevelsAreSubtotals="1" fieldPosition="0">
        <references count="1">
          <reference field="6" count="1">
            <x v="940"/>
          </reference>
        </references>
      </pivotArea>
    </format>
    <format dxfId="1178">
      <pivotArea collapsedLevelsAreSubtotals="1" fieldPosition="0">
        <references count="1">
          <reference field="6" count="1">
            <x v="948"/>
          </reference>
        </references>
      </pivotArea>
    </format>
    <format dxfId="1177">
      <pivotArea collapsedLevelsAreSubtotals="1" fieldPosition="0">
        <references count="1">
          <reference field="6" count="1">
            <x v="949"/>
          </reference>
        </references>
      </pivotArea>
    </format>
    <format dxfId="1176">
      <pivotArea collapsedLevelsAreSubtotals="1" fieldPosition="0">
        <references count="1">
          <reference field="6" count="1">
            <x v="952"/>
          </reference>
        </references>
      </pivotArea>
    </format>
    <format dxfId="1175">
      <pivotArea collapsedLevelsAreSubtotals="1" fieldPosition="0">
        <references count="1">
          <reference field="6" count="1">
            <x v="954"/>
          </reference>
        </references>
      </pivotArea>
    </format>
    <format dxfId="1174">
      <pivotArea collapsedLevelsAreSubtotals="1" fieldPosition="0">
        <references count="1">
          <reference field="6" count="1">
            <x v="968"/>
          </reference>
        </references>
      </pivotArea>
    </format>
    <format dxfId="1173">
      <pivotArea collapsedLevelsAreSubtotals="1" fieldPosition="0">
        <references count="1">
          <reference field="6" count="1">
            <x v="969"/>
          </reference>
        </references>
      </pivotArea>
    </format>
    <format dxfId="1172">
      <pivotArea collapsedLevelsAreSubtotals="1" fieldPosition="0">
        <references count="1">
          <reference field="6" count="1">
            <x v="970"/>
          </reference>
        </references>
      </pivotArea>
    </format>
    <format dxfId="1171">
      <pivotArea collapsedLevelsAreSubtotals="1" fieldPosition="0">
        <references count="1">
          <reference field="6" count="1">
            <x v="971"/>
          </reference>
        </references>
      </pivotArea>
    </format>
    <format dxfId="1170">
      <pivotArea collapsedLevelsAreSubtotals="1" fieldPosition="0">
        <references count="1">
          <reference field="6" count="1">
            <x v="973"/>
          </reference>
        </references>
      </pivotArea>
    </format>
    <format dxfId="1169">
      <pivotArea collapsedLevelsAreSubtotals="1" fieldPosition="0">
        <references count="1">
          <reference field="6" count="1">
            <x v="977"/>
          </reference>
        </references>
      </pivotArea>
    </format>
    <format dxfId="1168">
      <pivotArea collapsedLevelsAreSubtotals="1" fieldPosition="0">
        <references count="1">
          <reference field="6" count="1">
            <x v="991"/>
          </reference>
        </references>
      </pivotArea>
    </format>
    <format dxfId="1167">
      <pivotArea collapsedLevelsAreSubtotals="1" fieldPosition="0">
        <references count="1">
          <reference field="6" count="1">
            <x v="1001"/>
          </reference>
        </references>
      </pivotArea>
    </format>
    <format dxfId="1166">
      <pivotArea collapsedLevelsAreSubtotals="1" fieldPosition="0">
        <references count="1">
          <reference field="6" count="1">
            <x v="1002"/>
          </reference>
        </references>
      </pivotArea>
    </format>
    <format dxfId="1165">
      <pivotArea collapsedLevelsAreSubtotals="1" fieldPosition="0">
        <references count="1">
          <reference field="6" count="1">
            <x v="1008"/>
          </reference>
        </references>
      </pivotArea>
    </format>
    <format dxfId="1164">
      <pivotArea collapsedLevelsAreSubtotals="1" fieldPosition="0">
        <references count="1">
          <reference field="6" count="1">
            <x v="1020"/>
          </reference>
        </references>
      </pivotArea>
    </format>
    <format dxfId="1163">
      <pivotArea collapsedLevelsAreSubtotals="1" fieldPosition="0">
        <references count="1">
          <reference field="6" count="1">
            <x v="1022"/>
          </reference>
        </references>
      </pivotArea>
    </format>
    <format dxfId="1162">
      <pivotArea collapsedLevelsAreSubtotals="1" fieldPosition="0">
        <references count="1">
          <reference field="6" count="1">
            <x v="1028"/>
          </reference>
        </references>
      </pivotArea>
    </format>
    <format dxfId="1161">
      <pivotArea collapsedLevelsAreSubtotals="1" fieldPosition="0">
        <references count="1">
          <reference field="6" count="1">
            <x v="1032"/>
          </reference>
        </references>
      </pivotArea>
    </format>
    <format dxfId="1160">
      <pivotArea collapsedLevelsAreSubtotals="1" fieldPosition="0">
        <references count="1">
          <reference field="6" count="1">
            <x v="1033"/>
          </reference>
        </references>
      </pivotArea>
    </format>
    <format dxfId="1159">
      <pivotArea collapsedLevelsAreSubtotals="1" fieldPosition="0">
        <references count="1">
          <reference field="6" count="1">
            <x v="1034"/>
          </reference>
        </references>
      </pivotArea>
    </format>
    <format dxfId="1158">
      <pivotArea collapsedLevelsAreSubtotals="1" fieldPosition="0">
        <references count="1">
          <reference field="6" count="1">
            <x v="1037"/>
          </reference>
        </references>
      </pivotArea>
    </format>
    <format dxfId="1157">
      <pivotArea collapsedLevelsAreSubtotals="1" fieldPosition="0">
        <references count="1">
          <reference field="6" count="1">
            <x v="1038"/>
          </reference>
        </references>
      </pivotArea>
    </format>
    <format dxfId="1156">
      <pivotArea collapsedLevelsAreSubtotals="1" fieldPosition="0">
        <references count="1">
          <reference field="6" count="1">
            <x v="1039"/>
          </reference>
        </references>
      </pivotArea>
    </format>
    <format dxfId="1155">
      <pivotArea collapsedLevelsAreSubtotals="1" fieldPosition="0">
        <references count="1">
          <reference field="6" count="1">
            <x v="1040"/>
          </reference>
        </references>
      </pivotArea>
    </format>
    <format dxfId="1154">
      <pivotArea collapsedLevelsAreSubtotals="1" fieldPosition="0">
        <references count="1">
          <reference field="6" count="1">
            <x v="1046"/>
          </reference>
        </references>
      </pivotArea>
    </format>
    <format dxfId="1153">
      <pivotArea collapsedLevelsAreSubtotals="1" fieldPosition="0">
        <references count="1">
          <reference field="6" count="1">
            <x v="1047"/>
          </reference>
        </references>
      </pivotArea>
    </format>
    <format dxfId="1152">
      <pivotArea collapsedLevelsAreSubtotals="1" fieldPosition="0">
        <references count="1">
          <reference field="6" count="1">
            <x v="1048"/>
          </reference>
        </references>
      </pivotArea>
    </format>
    <format dxfId="1151">
      <pivotArea collapsedLevelsAreSubtotals="1" fieldPosition="0">
        <references count="1">
          <reference field="6" count="1">
            <x v="1057"/>
          </reference>
        </references>
      </pivotArea>
    </format>
    <format dxfId="1150">
      <pivotArea collapsedLevelsAreSubtotals="1" fieldPosition="0">
        <references count="1">
          <reference field="6" count="1">
            <x v="1058"/>
          </reference>
        </references>
      </pivotArea>
    </format>
    <format dxfId="1149">
      <pivotArea collapsedLevelsAreSubtotals="1" fieldPosition="0">
        <references count="1">
          <reference field="6" count="1">
            <x v="1059"/>
          </reference>
        </references>
      </pivotArea>
    </format>
    <format dxfId="1148">
      <pivotArea collapsedLevelsAreSubtotals="1" fieldPosition="0">
        <references count="1">
          <reference field="6" count="1">
            <x v="1060"/>
          </reference>
        </references>
      </pivotArea>
    </format>
    <format dxfId="1147">
      <pivotArea collapsedLevelsAreSubtotals="1" fieldPosition="0">
        <references count="1">
          <reference field="6" count="1">
            <x v="1062"/>
          </reference>
        </references>
      </pivotArea>
    </format>
    <format dxfId="1146">
      <pivotArea collapsedLevelsAreSubtotals="1" fieldPosition="0">
        <references count="1">
          <reference field="6" count="1">
            <x v="1063"/>
          </reference>
        </references>
      </pivotArea>
    </format>
    <format dxfId="1145">
      <pivotArea collapsedLevelsAreSubtotals="1" fieldPosition="0">
        <references count="1">
          <reference field="6" count="1">
            <x v="1072"/>
          </reference>
        </references>
      </pivotArea>
    </format>
    <format dxfId="1144">
      <pivotArea collapsedLevelsAreSubtotals="1" fieldPosition="0">
        <references count="1">
          <reference field="6" count="1">
            <x v="1074"/>
          </reference>
        </references>
      </pivotArea>
    </format>
    <format dxfId="1143">
      <pivotArea collapsedLevelsAreSubtotals="1" fieldPosition="0">
        <references count="1">
          <reference field="6" count="1">
            <x v="1079"/>
          </reference>
        </references>
      </pivotArea>
    </format>
    <format dxfId="1142">
      <pivotArea collapsedLevelsAreSubtotals="1" fieldPosition="0">
        <references count="1">
          <reference field="6" count="1">
            <x v="1087"/>
          </reference>
        </references>
      </pivotArea>
    </format>
    <format dxfId="1141">
      <pivotArea collapsedLevelsAreSubtotals="1" fieldPosition="0">
        <references count="1">
          <reference field="6" count="1">
            <x v="1088"/>
          </reference>
        </references>
      </pivotArea>
    </format>
    <format dxfId="1140">
      <pivotArea collapsedLevelsAreSubtotals="1" fieldPosition="0">
        <references count="1">
          <reference field="6" count="1">
            <x v="1109"/>
          </reference>
        </references>
      </pivotArea>
    </format>
    <format dxfId="1139">
      <pivotArea collapsedLevelsAreSubtotals="1" fieldPosition="0">
        <references count="1">
          <reference field="6" count="1">
            <x v="1116"/>
          </reference>
        </references>
      </pivotArea>
    </format>
    <format dxfId="1138">
      <pivotArea collapsedLevelsAreSubtotals="1" fieldPosition="0">
        <references count="1">
          <reference field="6" count="1">
            <x v="1129"/>
          </reference>
        </references>
      </pivotArea>
    </format>
    <format dxfId="1137">
      <pivotArea collapsedLevelsAreSubtotals="1" fieldPosition="0">
        <references count="1">
          <reference field="6" count="1">
            <x v="1130"/>
          </reference>
        </references>
      </pivotArea>
    </format>
    <format dxfId="1136">
      <pivotArea collapsedLevelsAreSubtotals="1" fieldPosition="0">
        <references count="1">
          <reference field="6" count="1">
            <x v="1131"/>
          </reference>
        </references>
      </pivotArea>
    </format>
    <format dxfId="1135">
      <pivotArea collapsedLevelsAreSubtotals="1" fieldPosition="0">
        <references count="1">
          <reference field="6" count="1">
            <x v="1134"/>
          </reference>
        </references>
      </pivotArea>
    </format>
    <format dxfId="1134">
      <pivotArea collapsedLevelsAreSubtotals="1" fieldPosition="0">
        <references count="1">
          <reference field="6" count="1">
            <x v="1141"/>
          </reference>
        </references>
      </pivotArea>
    </format>
    <format dxfId="1133">
      <pivotArea collapsedLevelsAreSubtotals="1" fieldPosition="0">
        <references count="1">
          <reference field="6" count="1">
            <x v="1146"/>
          </reference>
        </references>
      </pivotArea>
    </format>
    <format dxfId="1132">
      <pivotArea collapsedLevelsAreSubtotals="1" fieldPosition="0">
        <references count="1">
          <reference field="6" count="1">
            <x v="1149"/>
          </reference>
        </references>
      </pivotArea>
    </format>
    <format dxfId="1131">
      <pivotArea collapsedLevelsAreSubtotals="1" fieldPosition="0">
        <references count="1">
          <reference field="6" count="1">
            <x v="1153"/>
          </reference>
        </references>
      </pivotArea>
    </format>
    <format dxfId="1130">
      <pivotArea collapsedLevelsAreSubtotals="1" fieldPosition="0">
        <references count="1">
          <reference field="6" count="1">
            <x v="1161"/>
          </reference>
        </references>
      </pivotArea>
    </format>
    <format dxfId="1129">
      <pivotArea collapsedLevelsAreSubtotals="1" fieldPosition="0">
        <references count="1">
          <reference field="6" count="1">
            <x v="1166"/>
          </reference>
        </references>
      </pivotArea>
    </format>
    <format dxfId="1128">
      <pivotArea collapsedLevelsAreSubtotals="1" fieldPosition="0">
        <references count="1">
          <reference field="6" count="1">
            <x v="1167"/>
          </reference>
        </references>
      </pivotArea>
    </format>
    <format dxfId="1127">
      <pivotArea collapsedLevelsAreSubtotals="1" fieldPosition="0">
        <references count="1">
          <reference field="6" count="1">
            <x v="1168"/>
          </reference>
        </references>
      </pivotArea>
    </format>
    <format dxfId="1126">
      <pivotArea collapsedLevelsAreSubtotals="1" fieldPosition="0">
        <references count="1">
          <reference field="6" count="1">
            <x v="1170"/>
          </reference>
        </references>
      </pivotArea>
    </format>
    <format dxfId="1125">
      <pivotArea collapsedLevelsAreSubtotals="1" fieldPosition="0">
        <references count="1">
          <reference field="6" count="1">
            <x v="1174"/>
          </reference>
        </references>
      </pivotArea>
    </format>
    <format dxfId="1124">
      <pivotArea collapsedLevelsAreSubtotals="1" fieldPosition="0">
        <references count="1">
          <reference field="6" count="1">
            <x v="1176"/>
          </reference>
        </references>
      </pivotArea>
    </format>
    <format dxfId="1123">
      <pivotArea collapsedLevelsAreSubtotals="1" fieldPosition="0">
        <references count="1">
          <reference field="6" count="1">
            <x v="1178"/>
          </reference>
        </references>
      </pivotArea>
    </format>
    <format dxfId="1122">
      <pivotArea collapsedLevelsAreSubtotals="1" fieldPosition="0">
        <references count="1">
          <reference field="6" count="1">
            <x v="1186"/>
          </reference>
        </references>
      </pivotArea>
    </format>
    <format dxfId="1121">
      <pivotArea collapsedLevelsAreSubtotals="1" fieldPosition="0">
        <references count="1">
          <reference field="6" count="1">
            <x v="1189"/>
          </reference>
        </references>
      </pivotArea>
    </format>
    <format dxfId="1120">
      <pivotArea collapsedLevelsAreSubtotals="1" fieldPosition="0">
        <references count="1">
          <reference field="6" count="1">
            <x v="1202"/>
          </reference>
        </references>
      </pivotArea>
    </format>
    <format dxfId="1119">
      <pivotArea collapsedLevelsAreSubtotals="1" fieldPosition="0">
        <references count="1">
          <reference field="6" count="1">
            <x v="1205"/>
          </reference>
        </references>
      </pivotArea>
    </format>
    <format dxfId="1118">
      <pivotArea collapsedLevelsAreSubtotals="1" fieldPosition="0">
        <references count="1">
          <reference field="6" count="1">
            <x v="1211"/>
          </reference>
        </references>
      </pivotArea>
    </format>
    <format dxfId="1117">
      <pivotArea collapsedLevelsAreSubtotals="1" fieldPosition="0">
        <references count="1">
          <reference field="6" count="1">
            <x v="1216"/>
          </reference>
        </references>
      </pivotArea>
    </format>
    <format dxfId="1116">
      <pivotArea collapsedLevelsAreSubtotals="1" fieldPosition="0">
        <references count="1">
          <reference field="6" count="1">
            <x v="1217"/>
          </reference>
        </references>
      </pivotArea>
    </format>
    <format dxfId="1115">
      <pivotArea collapsedLevelsAreSubtotals="1" fieldPosition="0">
        <references count="1">
          <reference field="6" count="1">
            <x v="1223"/>
          </reference>
        </references>
      </pivotArea>
    </format>
    <format dxfId="1114">
      <pivotArea collapsedLevelsAreSubtotals="1" fieldPosition="0">
        <references count="1">
          <reference field="6" count="1">
            <x v="1226"/>
          </reference>
        </references>
      </pivotArea>
    </format>
    <format dxfId="1113">
      <pivotArea collapsedLevelsAreSubtotals="1" fieldPosition="0">
        <references count="1">
          <reference field="6" count="1">
            <x v="1228"/>
          </reference>
        </references>
      </pivotArea>
    </format>
    <format dxfId="1112">
      <pivotArea collapsedLevelsAreSubtotals="1" fieldPosition="0">
        <references count="1">
          <reference field="6" count="1">
            <x v="1234"/>
          </reference>
        </references>
      </pivotArea>
    </format>
    <format dxfId="1111">
      <pivotArea collapsedLevelsAreSubtotals="1" fieldPosition="0">
        <references count="1">
          <reference field="6" count="1">
            <x v="1245"/>
          </reference>
        </references>
      </pivotArea>
    </format>
    <format dxfId="1110">
      <pivotArea collapsedLevelsAreSubtotals="1" fieldPosition="0">
        <references count="1">
          <reference field="6" count="1">
            <x v="1250"/>
          </reference>
        </references>
      </pivotArea>
    </format>
    <format dxfId="1109">
      <pivotArea collapsedLevelsAreSubtotals="1" fieldPosition="0">
        <references count="1">
          <reference field="6" count="1">
            <x v="1254"/>
          </reference>
        </references>
      </pivotArea>
    </format>
    <format dxfId="1108">
      <pivotArea collapsedLevelsAreSubtotals="1" fieldPosition="0">
        <references count="1">
          <reference field="6" count="1">
            <x v="1272"/>
          </reference>
        </references>
      </pivotArea>
    </format>
    <format dxfId="1107">
      <pivotArea collapsedLevelsAreSubtotals="1" fieldPosition="0">
        <references count="1">
          <reference field="6" count="1">
            <x v="1279"/>
          </reference>
        </references>
      </pivotArea>
    </format>
    <format dxfId="1106">
      <pivotArea collapsedLevelsAreSubtotals="1" fieldPosition="0">
        <references count="1">
          <reference field="6" count="1">
            <x v="1284"/>
          </reference>
        </references>
      </pivotArea>
    </format>
    <format dxfId="1105">
      <pivotArea collapsedLevelsAreSubtotals="1" fieldPosition="0">
        <references count="1">
          <reference field="6" count="1">
            <x v="1286"/>
          </reference>
        </references>
      </pivotArea>
    </format>
    <format dxfId="1104">
      <pivotArea collapsedLevelsAreSubtotals="1" fieldPosition="0">
        <references count="1">
          <reference field="6" count="1">
            <x v="1290"/>
          </reference>
        </references>
      </pivotArea>
    </format>
    <format dxfId="1103">
      <pivotArea collapsedLevelsAreSubtotals="1" fieldPosition="0">
        <references count="1">
          <reference field="6" count="1">
            <x v="1291"/>
          </reference>
        </references>
      </pivotArea>
    </format>
    <format dxfId="1102">
      <pivotArea collapsedLevelsAreSubtotals="1" fieldPosition="0">
        <references count="1">
          <reference field="6" count="1">
            <x v="1298"/>
          </reference>
        </references>
      </pivotArea>
    </format>
    <format dxfId="1101">
      <pivotArea collapsedLevelsAreSubtotals="1" fieldPosition="0">
        <references count="1">
          <reference field="6" count="1">
            <x v="1303"/>
          </reference>
        </references>
      </pivotArea>
    </format>
    <format dxfId="1100">
      <pivotArea collapsedLevelsAreSubtotals="1" fieldPosition="0">
        <references count="1">
          <reference field="6" count="1">
            <x v="1307"/>
          </reference>
        </references>
      </pivotArea>
    </format>
    <format dxfId="1099">
      <pivotArea collapsedLevelsAreSubtotals="1" fieldPosition="0">
        <references count="1">
          <reference field="6" count="1">
            <x v="1310"/>
          </reference>
        </references>
      </pivotArea>
    </format>
    <format dxfId="1098">
      <pivotArea collapsedLevelsAreSubtotals="1" fieldPosition="0">
        <references count="1">
          <reference field="6" count="1">
            <x v="1311"/>
          </reference>
        </references>
      </pivotArea>
    </format>
    <format dxfId="1097">
      <pivotArea collapsedLevelsAreSubtotals="1" fieldPosition="0">
        <references count="1">
          <reference field="6" count="1">
            <x v="1312"/>
          </reference>
        </references>
      </pivotArea>
    </format>
    <format dxfId="1096">
      <pivotArea collapsedLevelsAreSubtotals="1" fieldPosition="0">
        <references count="1">
          <reference field="6" count="1">
            <x v="1325"/>
          </reference>
        </references>
      </pivotArea>
    </format>
    <format dxfId="1095">
      <pivotArea collapsedLevelsAreSubtotals="1" fieldPosition="0">
        <references count="1">
          <reference field="6" count="1">
            <x v="1331"/>
          </reference>
        </references>
      </pivotArea>
    </format>
    <format dxfId="1094">
      <pivotArea collapsedLevelsAreSubtotals="1" fieldPosition="0">
        <references count="1">
          <reference field="6" count="1">
            <x v="1335"/>
          </reference>
        </references>
      </pivotArea>
    </format>
    <format dxfId="1093">
      <pivotArea collapsedLevelsAreSubtotals="1" fieldPosition="0">
        <references count="1">
          <reference field="6" count="1">
            <x v="1337"/>
          </reference>
        </references>
      </pivotArea>
    </format>
    <format dxfId="1092">
      <pivotArea collapsedLevelsAreSubtotals="1" fieldPosition="0">
        <references count="1">
          <reference field="6" count="1">
            <x v="1339"/>
          </reference>
        </references>
      </pivotArea>
    </format>
    <format dxfId="1091">
      <pivotArea collapsedLevelsAreSubtotals="1" fieldPosition="0">
        <references count="1">
          <reference field="6" count="1">
            <x v="1342"/>
          </reference>
        </references>
      </pivotArea>
    </format>
    <format dxfId="1090">
      <pivotArea collapsedLevelsAreSubtotals="1" fieldPosition="0">
        <references count="1">
          <reference field="6" count="1">
            <x v="1347"/>
          </reference>
        </references>
      </pivotArea>
    </format>
    <format dxfId="1089">
      <pivotArea collapsedLevelsAreSubtotals="1" fieldPosition="0">
        <references count="1">
          <reference field="6" count="1">
            <x v="1362"/>
          </reference>
        </references>
      </pivotArea>
    </format>
    <format dxfId="1088">
      <pivotArea collapsedLevelsAreSubtotals="1" fieldPosition="0">
        <references count="1">
          <reference field="6" count="1">
            <x v="1366"/>
          </reference>
        </references>
      </pivotArea>
    </format>
    <format dxfId="1087">
      <pivotArea collapsedLevelsAreSubtotals="1" fieldPosition="0">
        <references count="1">
          <reference field="6" count="1">
            <x v="1369"/>
          </reference>
        </references>
      </pivotArea>
    </format>
    <format dxfId="1086">
      <pivotArea collapsedLevelsAreSubtotals="1" fieldPosition="0">
        <references count="1">
          <reference field="6" count="1">
            <x v="1376"/>
          </reference>
        </references>
      </pivotArea>
    </format>
    <format dxfId="1085">
      <pivotArea collapsedLevelsAreSubtotals="1" fieldPosition="0">
        <references count="1">
          <reference field="6" count="1">
            <x v="1383"/>
          </reference>
        </references>
      </pivotArea>
    </format>
    <format dxfId="1084">
      <pivotArea collapsedLevelsAreSubtotals="1" fieldPosition="0">
        <references count="1">
          <reference field="6" count="1">
            <x v="1390"/>
          </reference>
        </references>
      </pivotArea>
    </format>
    <format dxfId="1083">
      <pivotArea collapsedLevelsAreSubtotals="1" fieldPosition="0">
        <references count="1">
          <reference field="6" count="1">
            <x v="1391"/>
          </reference>
        </references>
      </pivotArea>
    </format>
    <format dxfId="1082">
      <pivotArea collapsedLevelsAreSubtotals="1" fieldPosition="0">
        <references count="1">
          <reference field="6" count="1">
            <x v="1397"/>
          </reference>
        </references>
      </pivotArea>
    </format>
    <format dxfId="1081">
      <pivotArea collapsedLevelsAreSubtotals="1" fieldPosition="0">
        <references count="1">
          <reference field="6" count="1">
            <x v="1399"/>
          </reference>
        </references>
      </pivotArea>
    </format>
    <format dxfId="1080">
      <pivotArea collapsedLevelsAreSubtotals="1" fieldPosition="0">
        <references count="1">
          <reference field="6" count="1">
            <x v="1411"/>
          </reference>
        </references>
      </pivotArea>
    </format>
    <format dxfId="1079">
      <pivotArea collapsedLevelsAreSubtotals="1" fieldPosition="0">
        <references count="1">
          <reference field="6" count="1">
            <x v="1413"/>
          </reference>
        </references>
      </pivotArea>
    </format>
    <format dxfId="1078">
      <pivotArea collapsedLevelsAreSubtotals="1" fieldPosition="0">
        <references count="1">
          <reference field="6" count="1">
            <x v="1423"/>
          </reference>
        </references>
      </pivotArea>
    </format>
    <format dxfId="1077">
      <pivotArea collapsedLevelsAreSubtotals="1" fieldPosition="0">
        <references count="1">
          <reference field="6" count="1">
            <x v="1425"/>
          </reference>
        </references>
      </pivotArea>
    </format>
    <format dxfId="1076">
      <pivotArea collapsedLevelsAreSubtotals="1" fieldPosition="0">
        <references count="1">
          <reference field="6" count="1">
            <x v="1428"/>
          </reference>
        </references>
      </pivotArea>
    </format>
    <format dxfId="1075">
      <pivotArea collapsedLevelsAreSubtotals="1" fieldPosition="0">
        <references count="1">
          <reference field="6" count="1">
            <x v="1436"/>
          </reference>
        </references>
      </pivotArea>
    </format>
    <format dxfId="1074">
      <pivotArea collapsedLevelsAreSubtotals="1" fieldPosition="0">
        <references count="1">
          <reference field="6" count="1">
            <x v="1438"/>
          </reference>
        </references>
      </pivotArea>
    </format>
    <format dxfId="1073">
      <pivotArea collapsedLevelsAreSubtotals="1" fieldPosition="0">
        <references count="1">
          <reference field="6" count="1">
            <x v="1440"/>
          </reference>
        </references>
      </pivotArea>
    </format>
    <format dxfId="1072">
      <pivotArea collapsedLevelsAreSubtotals="1" fieldPosition="0">
        <references count="1">
          <reference field="6" count="1">
            <x v="1443"/>
          </reference>
        </references>
      </pivotArea>
    </format>
    <format dxfId="1071">
      <pivotArea collapsedLevelsAreSubtotals="1" fieldPosition="0">
        <references count="1">
          <reference field="6" count="1">
            <x v="1450"/>
          </reference>
        </references>
      </pivotArea>
    </format>
    <format dxfId="1070">
      <pivotArea collapsedLevelsAreSubtotals="1" fieldPosition="0">
        <references count="1">
          <reference field="6" count="1">
            <x v="1452"/>
          </reference>
        </references>
      </pivotArea>
    </format>
    <format dxfId="1069">
      <pivotArea collapsedLevelsAreSubtotals="1" fieldPosition="0">
        <references count="1">
          <reference field="6" count="1">
            <x v="1453"/>
          </reference>
        </references>
      </pivotArea>
    </format>
    <format dxfId="1068">
      <pivotArea collapsedLevelsAreSubtotals="1" fieldPosition="0">
        <references count="1">
          <reference field="6" count="1">
            <x v="1468"/>
          </reference>
        </references>
      </pivotArea>
    </format>
    <format dxfId="1067">
      <pivotArea collapsedLevelsAreSubtotals="1" fieldPosition="0">
        <references count="1">
          <reference field="6" count="1">
            <x v="1478"/>
          </reference>
        </references>
      </pivotArea>
    </format>
    <format dxfId="1066">
      <pivotArea collapsedLevelsAreSubtotals="1" fieldPosition="0">
        <references count="1">
          <reference field="6" count="1">
            <x v="1488"/>
          </reference>
        </references>
      </pivotArea>
    </format>
    <format dxfId="1065">
      <pivotArea collapsedLevelsAreSubtotals="1" fieldPosition="0">
        <references count="1">
          <reference field="6" count="1">
            <x v="1489"/>
          </reference>
        </references>
      </pivotArea>
    </format>
    <format dxfId="1064">
      <pivotArea collapsedLevelsAreSubtotals="1" fieldPosition="0">
        <references count="1">
          <reference field="6" count="1">
            <x v="1497"/>
          </reference>
        </references>
      </pivotArea>
    </format>
    <format dxfId="1063">
      <pivotArea collapsedLevelsAreSubtotals="1" fieldPosition="0">
        <references count="1">
          <reference field="6" count="1">
            <x v="1503"/>
          </reference>
        </references>
      </pivotArea>
    </format>
    <format dxfId="1062">
      <pivotArea collapsedLevelsAreSubtotals="1" fieldPosition="0">
        <references count="1">
          <reference field="6" count="1">
            <x v="1504"/>
          </reference>
        </references>
      </pivotArea>
    </format>
    <format dxfId="1061">
      <pivotArea collapsedLevelsAreSubtotals="1" fieldPosition="0">
        <references count="1">
          <reference field="6" count="1">
            <x v="1517"/>
          </reference>
        </references>
      </pivotArea>
    </format>
    <format dxfId="1060">
      <pivotArea collapsedLevelsAreSubtotals="1" fieldPosition="0">
        <references count="1">
          <reference field="6" count="1">
            <x v="1520"/>
          </reference>
        </references>
      </pivotArea>
    </format>
    <format dxfId="1059">
      <pivotArea collapsedLevelsAreSubtotals="1" fieldPosition="0">
        <references count="1">
          <reference field="6" count="1">
            <x v="1521"/>
          </reference>
        </references>
      </pivotArea>
    </format>
    <format dxfId="1058">
      <pivotArea collapsedLevelsAreSubtotals="1" fieldPosition="0">
        <references count="1">
          <reference field="6" count="1">
            <x v="1527"/>
          </reference>
        </references>
      </pivotArea>
    </format>
    <format dxfId="1057">
      <pivotArea collapsedLevelsAreSubtotals="1" fieldPosition="0">
        <references count="1">
          <reference field="6" count="1">
            <x v="1529"/>
          </reference>
        </references>
      </pivotArea>
    </format>
    <format dxfId="1056">
      <pivotArea collapsedLevelsAreSubtotals="1" fieldPosition="0">
        <references count="1">
          <reference field="6" count="1">
            <x v="1533"/>
          </reference>
        </references>
      </pivotArea>
    </format>
    <format dxfId="1055">
      <pivotArea collapsedLevelsAreSubtotals="1" fieldPosition="0">
        <references count="1">
          <reference field="6" count="1">
            <x v="1535"/>
          </reference>
        </references>
      </pivotArea>
    </format>
    <format dxfId="1054">
      <pivotArea collapsedLevelsAreSubtotals="1" fieldPosition="0">
        <references count="1">
          <reference field="6" count="1">
            <x v="1547"/>
          </reference>
        </references>
      </pivotArea>
    </format>
    <format dxfId="1053">
      <pivotArea collapsedLevelsAreSubtotals="1" fieldPosition="0">
        <references count="1">
          <reference field="6" count="1">
            <x v="1551"/>
          </reference>
        </references>
      </pivotArea>
    </format>
    <format dxfId="1052">
      <pivotArea collapsedLevelsAreSubtotals="1" fieldPosition="0">
        <references count="1">
          <reference field="6" count="1">
            <x v="1553"/>
          </reference>
        </references>
      </pivotArea>
    </format>
    <format dxfId="1051">
      <pivotArea collapsedLevelsAreSubtotals="1" fieldPosition="0">
        <references count="1">
          <reference field="6" count="1">
            <x v="1559"/>
          </reference>
        </references>
      </pivotArea>
    </format>
    <format dxfId="1050">
      <pivotArea collapsedLevelsAreSubtotals="1" fieldPosition="0">
        <references count="1">
          <reference field="6" count="1">
            <x v="1562"/>
          </reference>
        </references>
      </pivotArea>
    </format>
    <format dxfId="1049">
      <pivotArea collapsedLevelsAreSubtotals="1" fieldPosition="0">
        <references count="1">
          <reference field="6" count="1">
            <x v="1563"/>
          </reference>
        </references>
      </pivotArea>
    </format>
    <format dxfId="1048">
      <pivotArea collapsedLevelsAreSubtotals="1" fieldPosition="0">
        <references count="1">
          <reference field="6" count="1">
            <x v="1571"/>
          </reference>
        </references>
      </pivotArea>
    </format>
    <format dxfId="1047">
      <pivotArea collapsedLevelsAreSubtotals="1" fieldPosition="0">
        <references count="1">
          <reference field="6" count="1">
            <x v="1573"/>
          </reference>
        </references>
      </pivotArea>
    </format>
    <format dxfId="1046">
      <pivotArea collapsedLevelsAreSubtotals="1" fieldPosition="0">
        <references count="1">
          <reference field="6" count="1">
            <x v="1586"/>
          </reference>
        </references>
      </pivotArea>
    </format>
    <format dxfId="1045">
      <pivotArea collapsedLevelsAreSubtotals="1" fieldPosition="0">
        <references count="1">
          <reference field="6" count="1">
            <x v="1590"/>
          </reference>
        </references>
      </pivotArea>
    </format>
    <format dxfId="1044">
      <pivotArea collapsedLevelsAreSubtotals="1" fieldPosition="0">
        <references count="1">
          <reference field="6" count="1">
            <x v="1593"/>
          </reference>
        </references>
      </pivotArea>
    </format>
    <format dxfId="1043">
      <pivotArea collapsedLevelsAreSubtotals="1" fieldPosition="0">
        <references count="1">
          <reference field="6" count="1">
            <x v="1603"/>
          </reference>
        </references>
      </pivotArea>
    </format>
    <format dxfId="1042">
      <pivotArea collapsedLevelsAreSubtotals="1" fieldPosition="0">
        <references count="1">
          <reference field="6" count="1">
            <x v="1605"/>
          </reference>
        </references>
      </pivotArea>
    </format>
    <format dxfId="1041">
      <pivotArea collapsedLevelsAreSubtotals="1" fieldPosition="0">
        <references count="1">
          <reference field="6" count="1">
            <x v="1608"/>
          </reference>
        </references>
      </pivotArea>
    </format>
    <format dxfId="1040">
      <pivotArea collapsedLevelsAreSubtotals="1" fieldPosition="0">
        <references count="1">
          <reference field="6" count="1">
            <x v="1609"/>
          </reference>
        </references>
      </pivotArea>
    </format>
    <format dxfId="1039">
      <pivotArea collapsedLevelsAreSubtotals="1" fieldPosition="0">
        <references count="1">
          <reference field="6" count="1">
            <x v="1611"/>
          </reference>
        </references>
      </pivotArea>
    </format>
    <format dxfId="1038">
      <pivotArea collapsedLevelsAreSubtotals="1" fieldPosition="0">
        <references count="1">
          <reference field="6" count="1">
            <x v="1612"/>
          </reference>
        </references>
      </pivotArea>
    </format>
    <format dxfId="1037">
      <pivotArea collapsedLevelsAreSubtotals="1" fieldPosition="0">
        <references count="1">
          <reference field="6" count="1">
            <x v="1620"/>
          </reference>
        </references>
      </pivotArea>
    </format>
    <format dxfId="1036">
      <pivotArea collapsedLevelsAreSubtotals="1" fieldPosition="0">
        <references count="1">
          <reference field="6" count="1">
            <x v="1623"/>
          </reference>
        </references>
      </pivotArea>
    </format>
    <format dxfId="1035">
      <pivotArea collapsedLevelsAreSubtotals="1" fieldPosition="0">
        <references count="1">
          <reference field="6" count="1">
            <x v="1635"/>
          </reference>
        </references>
      </pivotArea>
    </format>
    <format dxfId="1034">
      <pivotArea collapsedLevelsAreSubtotals="1" fieldPosition="0">
        <references count="1">
          <reference field="6" count="1">
            <x v="1640"/>
          </reference>
        </references>
      </pivotArea>
    </format>
    <format dxfId="1033">
      <pivotArea collapsedLevelsAreSubtotals="1" fieldPosition="0">
        <references count="1">
          <reference field="6" count="1">
            <x v="1645"/>
          </reference>
        </references>
      </pivotArea>
    </format>
    <format dxfId="1032">
      <pivotArea collapsedLevelsAreSubtotals="1" fieldPosition="0">
        <references count="1">
          <reference field="6" count="1">
            <x v="1646"/>
          </reference>
        </references>
      </pivotArea>
    </format>
    <format dxfId="1031">
      <pivotArea collapsedLevelsAreSubtotals="1" fieldPosition="0">
        <references count="1">
          <reference field="6" count="1">
            <x v="1651"/>
          </reference>
        </references>
      </pivotArea>
    </format>
    <format dxfId="1030">
      <pivotArea collapsedLevelsAreSubtotals="1" fieldPosition="0">
        <references count="1">
          <reference field="6" count="1">
            <x v="1661"/>
          </reference>
        </references>
      </pivotArea>
    </format>
    <format dxfId="1029">
      <pivotArea collapsedLevelsAreSubtotals="1" fieldPosition="0">
        <references count="1">
          <reference field="6" count="1">
            <x v="1662"/>
          </reference>
        </references>
      </pivotArea>
    </format>
    <format dxfId="1028">
      <pivotArea collapsedLevelsAreSubtotals="1" fieldPosition="0">
        <references count="1">
          <reference field="6" count="1">
            <x v="1664"/>
          </reference>
        </references>
      </pivotArea>
    </format>
    <format dxfId="1027">
      <pivotArea collapsedLevelsAreSubtotals="1" fieldPosition="0">
        <references count="1">
          <reference field="6" count="1">
            <x v="1667"/>
          </reference>
        </references>
      </pivotArea>
    </format>
    <format dxfId="1026">
      <pivotArea collapsedLevelsAreSubtotals="1" fieldPosition="0">
        <references count="1">
          <reference field="6" count="1">
            <x v="1669"/>
          </reference>
        </references>
      </pivotArea>
    </format>
    <format dxfId="1025">
      <pivotArea collapsedLevelsAreSubtotals="1" fieldPosition="0">
        <references count="1">
          <reference field="6" count="1">
            <x v="1676"/>
          </reference>
        </references>
      </pivotArea>
    </format>
    <format dxfId="1024">
      <pivotArea collapsedLevelsAreSubtotals="1" fieldPosition="0">
        <references count="1">
          <reference field="6" count="1">
            <x v="1679"/>
          </reference>
        </references>
      </pivotArea>
    </format>
    <format dxfId="1023">
      <pivotArea collapsedLevelsAreSubtotals="1" fieldPosition="0">
        <references count="1">
          <reference field="6" count="1">
            <x v="1683"/>
          </reference>
        </references>
      </pivotArea>
    </format>
    <format dxfId="1022">
      <pivotArea collapsedLevelsAreSubtotals="1" fieldPosition="0">
        <references count="1">
          <reference field="6" count="1">
            <x v="1686"/>
          </reference>
        </references>
      </pivotArea>
    </format>
    <format dxfId="1021">
      <pivotArea collapsedLevelsAreSubtotals="1" fieldPosition="0">
        <references count="1">
          <reference field="6" count="1">
            <x v="1691"/>
          </reference>
        </references>
      </pivotArea>
    </format>
    <format dxfId="1020">
      <pivotArea collapsedLevelsAreSubtotals="1" fieldPosition="0">
        <references count="1">
          <reference field="6" count="1">
            <x v="1696"/>
          </reference>
        </references>
      </pivotArea>
    </format>
    <format dxfId="1019">
      <pivotArea collapsedLevelsAreSubtotals="1" fieldPosition="0">
        <references count="1">
          <reference field="6" count="1">
            <x v="1699"/>
          </reference>
        </references>
      </pivotArea>
    </format>
    <format dxfId="1018">
      <pivotArea collapsedLevelsAreSubtotals="1" fieldPosition="0">
        <references count="1">
          <reference field="6" count="1">
            <x v="1700"/>
          </reference>
        </references>
      </pivotArea>
    </format>
    <format dxfId="1017">
      <pivotArea collapsedLevelsAreSubtotals="1" fieldPosition="0">
        <references count="1">
          <reference field="6" count="1">
            <x v="1704"/>
          </reference>
        </references>
      </pivotArea>
    </format>
    <format dxfId="1016">
      <pivotArea collapsedLevelsAreSubtotals="1" fieldPosition="0">
        <references count="1">
          <reference field="6" count="1">
            <x v="1716"/>
          </reference>
        </references>
      </pivotArea>
    </format>
    <format dxfId="1015">
      <pivotArea collapsedLevelsAreSubtotals="1" fieldPosition="0">
        <references count="1">
          <reference field="6" count="1">
            <x v="1721"/>
          </reference>
        </references>
      </pivotArea>
    </format>
    <format dxfId="1014">
      <pivotArea collapsedLevelsAreSubtotals="1" fieldPosition="0">
        <references count="1">
          <reference field="6" count="1">
            <x v="1724"/>
          </reference>
        </references>
      </pivotArea>
    </format>
    <format dxfId="1013">
      <pivotArea collapsedLevelsAreSubtotals="1" fieldPosition="0">
        <references count="1">
          <reference field="6" count="1">
            <x v="1732"/>
          </reference>
        </references>
      </pivotArea>
    </format>
    <format dxfId="1012">
      <pivotArea collapsedLevelsAreSubtotals="1" fieldPosition="0">
        <references count="1">
          <reference field="6" count="1">
            <x v="1733"/>
          </reference>
        </references>
      </pivotArea>
    </format>
    <format dxfId="1011">
      <pivotArea collapsedLevelsAreSubtotals="1" fieldPosition="0">
        <references count="1">
          <reference field="6" count="1">
            <x v="1734"/>
          </reference>
        </references>
      </pivotArea>
    </format>
    <format dxfId="1010">
      <pivotArea collapsedLevelsAreSubtotals="1" fieldPosition="0">
        <references count="1">
          <reference field="6" count="1">
            <x v="1737"/>
          </reference>
        </references>
      </pivotArea>
    </format>
    <format dxfId="1009">
      <pivotArea collapsedLevelsAreSubtotals="1" fieldPosition="0">
        <references count="1">
          <reference field="6" count="1">
            <x v="1743"/>
          </reference>
        </references>
      </pivotArea>
    </format>
    <format dxfId="1008">
      <pivotArea collapsedLevelsAreSubtotals="1" fieldPosition="0">
        <references count="1">
          <reference field="6" count="1">
            <x v="1745"/>
          </reference>
        </references>
      </pivotArea>
    </format>
    <format dxfId="1007">
      <pivotArea collapsedLevelsAreSubtotals="1" fieldPosition="0">
        <references count="1">
          <reference field="6" count="1">
            <x v="1757"/>
          </reference>
        </references>
      </pivotArea>
    </format>
    <format dxfId="1006">
      <pivotArea collapsedLevelsAreSubtotals="1" fieldPosition="0">
        <references count="1">
          <reference field="6" count="1">
            <x v="1758"/>
          </reference>
        </references>
      </pivotArea>
    </format>
    <format dxfId="1005">
      <pivotArea collapsedLevelsAreSubtotals="1" fieldPosition="0">
        <references count="1">
          <reference field="6" count="1">
            <x v="1759"/>
          </reference>
        </references>
      </pivotArea>
    </format>
    <format dxfId="1004">
      <pivotArea collapsedLevelsAreSubtotals="1" fieldPosition="0">
        <references count="1">
          <reference field="6" count="1">
            <x v="1760"/>
          </reference>
        </references>
      </pivotArea>
    </format>
    <format dxfId="1003">
      <pivotArea collapsedLevelsAreSubtotals="1" fieldPosition="0">
        <references count="1">
          <reference field="6" count="1">
            <x v="1764"/>
          </reference>
        </references>
      </pivotArea>
    </format>
    <format dxfId="1002">
      <pivotArea collapsedLevelsAreSubtotals="1" fieldPosition="0">
        <references count="1">
          <reference field="6" count="1">
            <x v="1770"/>
          </reference>
        </references>
      </pivotArea>
    </format>
    <format dxfId="1001">
      <pivotArea collapsedLevelsAreSubtotals="1" fieldPosition="0">
        <references count="1">
          <reference field="6" count="1">
            <x v="1775"/>
          </reference>
        </references>
      </pivotArea>
    </format>
    <format dxfId="1000">
      <pivotArea collapsedLevelsAreSubtotals="1" fieldPosition="0">
        <references count="1">
          <reference field="6" count="1">
            <x v="1776"/>
          </reference>
        </references>
      </pivotArea>
    </format>
    <format dxfId="999">
      <pivotArea collapsedLevelsAreSubtotals="1" fieldPosition="0">
        <references count="1">
          <reference field="6" count="1">
            <x v="1785"/>
          </reference>
        </references>
      </pivotArea>
    </format>
    <format dxfId="998">
      <pivotArea collapsedLevelsAreSubtotals="1" fieldPosition="0">
        <references count="1">
          <reference field="6" count="1">
            <x v="1787"/>
          </reference>
        </references>
      </pivotArea>
    </format>
    <format dxfId="997">
      <pivotArea collapsedLevelsAreSubtotals="1" fieldPosition="0">
        <references count="1">
          <reference field="6" count="1">
            <x v="1788"/>
          </reference>
        </references>
      </pivotArea>
    </format>
    <format dxfId="996">
      <pivotArea collapsedLevelsAreSubtotals="1" fieldPosition="0">
        <references count="1">
          <reference field="6" count="1">
            <x v="1789"/>
          </reference>
        </references>
      </pivotArea>
    </format>
    <format dxfId="995">
      <pivotArea collapsedLevelsAreSubtotals="1" fieldPosition="0">
        <references count="1">
          <reference field="6" count="1">
            <x v="1795"/>
          </reference>
        </references>
      </pivotArea>
    </format>
    <format dxfId="994">
      <pivotArea collapsedLevelsAreSubtotals="1" fieldPosition="0">
        <references count="1">
          <reference field="6" count="1">
            <x v="1797"/>
          </reference>
        </references>
      </pivotArea>
    </format>
    <format dxfId="993">
      <pivotArea collapsedLevelsAreSubtotals="1" fieldPosition="0">
        <references count="1">
          <reference field="6" count="1">
            <x v="1800"/>
          </reference>
        </references>
      </pivotArea>
    </format>
    <format dxfId="992">
      <pivotArea collapsedLevelsAreSubtotals="1" fieldPosition="0">
        <references count="1">
          <reference field="6" count="1">
            <x v="1808"/>
          </reference>
        </references>
      </pivotArea>
    </format>
    <format dxfId="991">
      <pivotArea collapsedLevelsAreSubtotals="1" fieldPosition="0">
        <references count="1">
          <reference field="6" count="1">
            <x v="1818"/>
          </reference>
        </references>
      </pivotArea>
    </format>
    <format dxfId="990">
      <pivotArea collapsedLevelsAreSubtotals="1" fieldPosition="0">
        <references count="1">
          <reference field="6" count="1">
            <x v="1819"/>
          </reference>
        </references>
      </pivotArea>
    </format>
    <format dxfId="989">
      <pivotArea collapsedLevelsAreSubtotals="1" fieldPosition="0">
        <references count="1">
          <reference field="6" count="1">
            <x v="1833"/>
          </reference>
        </references>
      </pivotArea>
    </format>
    <format dxfId="988">
      <pivotArea collapsedLevelsAreSubtotals="1" fieldPosition="0">
        <references count="1">
          <reference field="6" count="1">
            <x v="1836"/>
          </reference>
        </references>
      </pivotArea>
    </format>
    <format dxfId="987">
      <pivotArea collapsedLevelsAreSubtotals="1" fieldPosition="0">
        <references count="1">
          <reference field="6" count="1">
            <x v="1843"/>
          </reference>
        </references>
      </pivotArea>
    </format>
    <format dxfId="986">
      <pivotArea collapsedLevelsAreSubtotals="1" fieldPosition="0">
        <references count="1">
          <reference field="6" count="1">
            <x v="1844"/>
          </reference>
        </references>
      </pivotArea>
    </format>
    <format dxfId="985">
      <pivotArea collapsedLevelsAreSubtotals="1" fieldPosition="0">
        <references count="1">
          <reference field="6" count="1">
            <x v="1845"/>
          </reference>
        </references>
      </pivotArea>
    </format>
    <format dxfId="984">
      <pivotArea collapsedLevelsAreSubtotals="1" fieldPosition="0">
        <references count="1">
          <reference field="6" count="1">
            <x v="1848"/>
          </reference>
        </references>
      </pivotArea>
    </format>
    <format dxfId="983">
      <pivotArea collapsedLevelsAreSubtotals="1" fieldPosition="0">
        <references count="1">
          <reference field="6" count="1">
            <x v="1849"/>
          </reference>
        </references>
      </pivotArea>
    </format>
    <format dxfId="982">
      <pivotArea collapsedLevelsAreSubtotals="1" fieldPosition="0">
        <references count="1">
          <reference field="6" count="1">
            <x v="1855"/>
          </reference>
        </references>
      </pivotArea>
    </format>
    <format dxfId="981">
      <pivotArea collapsedLevelsAreSubtotals="1" fieldPosition="0">
        <references count="1">
          <reference field="6" count="1">
            <x v="1857"/>
          </reference>
        </references>
      </pivotArea>
    </format>
    <format dxfId="980">
      <pivotArea collapsedLevelsAreSubtotals="1" fieldPosition="0">
        <references count="1">
          <reference field="6" count="1">
            <x v="1861"/>
          </reference>
        </references>
      </pivotArea>
    </format>
    <format dxfId="979">
      <pivotArea collapsedLevelsAreSubtotals="1" fieldPosition="0">
        <references count="1">
          <reference field="6" count="1">
            <x v="1864"/>
          </reference>
        </references>
      </pivotArea>
    </format>
    <format dxfId="978">
      <pivotArea collapsedLevelsAreSubtotals="1" fieldPosition="0">
        <references count="1">
          <reference field="6" count="1">
            <x v="1867"/>
          </reference>
        </references>
      </pivotArea>
    </format>
    <format dxfId="977">
      <pivotArea collapsedLevelsAreSubtotals="1" fieldPosition="0">
        <references count="1">
          <reference field="6" count="1">
            <x v="1870"/>
          </reference>
        </references>
      </pivotArea>
    </format>
    <format dxfId="976">
      <pivotArea collapsedLevelsAreSubtotals="1" fieldPosition="0">
        <references count="1">
          <reference field="6" count="1">
            <x v="1871"/>
          </reference>
        </references>
      </pivotArea>
    </format>
    <format dxfId="975">
      <pivotArea collapsedLevelsAreSubtotals="1" fieldPosition="0">
        <references count="1">
          <reference field="6" count="1">
            <x v="1895"/>
          </reference>
        </references>
      </pivotArea>
    </format>
    <format dxfId="974">
      <pivotArea collapsedLevelsAreSubtotals="1" fieldPosition="0">
        <references count="1">
          <reference field="6" count="1">
            <x v="1897"/>
          </reference>
        </references>
      </pivotArea>
    </format>
    <format dxfId="973">
      <pivotArea collapsedLevelsAreSubtotals="1" fieldPosition="0">
        <references count="1">
          <reference field="6" count="1">
            <x v="1909"/>
          </reference>
        </references>
      </pivotArea>
    </format>
    <format dxfId="972">
      <pivotArea collapsedLevelsAreSubtotals="1" fieldPosition="0">
        <references count="1">
          <reference field="6" count="1">
            <x v="1911"/>
          </reference>
        </references>
      </pivotArea>
    </format>
    <format dxfId="971">
      <pivotArea collapsedLevelsAreSubtotals="1" fieldPosition="0">
        <references count="1">
          <reference field="6" count="1">
            <x v="1917"/>
          </reference>
        </references>
      </pivotArea>
    </format>
    <format dxfId="970">
      <pivotArea collapsedLevelsAreSubtotals="1" fieldPosition="0">
        <references count="1">
          <reference field="6" count="1">
            <x v="1926"/>
          </reference>
        </references>
      </pivotArea>
    </format>
    <format dxfId="969">
      <pivotArea collapsedLevelsAreSubtotals="1" fieldPosition="0">
        <references count="1">
          <reference field="6" count="1">
            <x v="1928"/>
          </reference>
        </references>
      </pivotArea>
    </format>
    <format dxfId="968">
      <pivotArea collapsedLevelsAreSubtotals="1" fieldPosition="0">
        <references count="1">
          <reference field="6" count="1">
            <x v="1938"/>
          </reference>
        </references>
      </pivotArea>
    </format>
    <format dxfId="967">
      <pivotArea collapsedLevelsAreSubtotals="1" fieldPosition="0">
        <references count="1">
          <reference field="6" count="1">
            <x v="1941"/>
          </reference>
        </references>
      </pivotArea>
    </format>
    <format dxfId="966">
      <pivotArea collapsedLevelsAreSubtotals="1" fieldPosition="0">
        <references count="1">
          <reference field="6" count="1">
            <x v="1946"/>
          </reference>
        </references>
      </pivotArea>
    </format>
    <format dxfId="965">
      <pivotArea collapsedLevelsAreSubtotals="1" fieldPosition="0">
        <references count="1">
          <reference field="6" count="1">
            <x v="1948"/>
          </reference>
        </references>
      </pivotArea>
    </format>
    <format dxfId="964">
      <pivotArea dataOnly="0" labelOnly="1" fieldPosition="0">
        <references count="1">
          <reference field="6" count="50">
            <x v="26"/>
            <x v="38"/>
            <x v="46"/>
            <x v="49"/>
            <x v="51"/>
            <x v="60"/>
            <x v="63"/>
            <x v="65"/>
            <x v="66"/>
            <x v="67"/>
            <x v="75"/>
            <x v="83"/>
            <x v="88"/>
            <x v="90"/>
            <x v="96"/>
            <x v="99"/>
            <x v="104"/>
            <x v="105"/>
            <x v="113"/>
            <x v="114"/>
            <x v="116"/>
            <x v="123"/>
            <x v="125"/>
            <x v="130"/>
            <x v="141"/>
            <x v="145"/>
            <x v="154"/>
            <x v="155"/>
            <x v="159"/>
            <x v="165"/>
            <x v="177"/>
            <x v="188"/>
            <x v="189"/>
            <x v="194"/>
            <x v="195"/>
            <x v="196"/>
            <x v="198"/>
            <x v="205"/>
            <x v="212"/>
            <x v="215"/>
            <x v="222"/>
            <x v="228"/>
            <x v="229"/>
            <x v="234"/>
            <x v="245"/>
            <x v="247"/>
            <x v="250"/>
            <x v="254"/>
            <x v="256"/>
            <x v="259"/>
          </reference>
        </references>
      </pivotArea>
    </format>
    <format dxfId="963">
      <pivotArea dataOnly="0" labelOnly="1" fieldPosition="0">
        <references count="1">
          <reference field="6" count="50">
            <x v="262"/>
            <x v="266"/>
            <x v="269"/>
            <x v="272"/>
            <x v="274"/>
            <x v="275"/>
            <x v="278"/>
            <x v="280"/>
            <x v="282"/>
            <x v="285"/>
            <x v="286"/>
            <x v="296"/>
            <x v="299"/>
            <x v="302"/>
            <x v="304"/>
            <x v="308"/>
            <x v="315"/>
            <x v="319"/>
            <x v="324"/>
            <x v="326"/>
            <x v="329"/>
            <x v="340"/>
            <x v="349"/>
            <x v="350"/>
            <x v="358"/>
            <x v="360"/>
            <x v="365"/>
            <x v="369"/>
            <x v="377"/>
            <x v="384"/>
            <x v="385"/>
            <x v="391"/>
            <x v="395"/>
            <x v="401"/>
            <x v="404"/>
            <x v="406"/>
            <x v="411"/>
            <x v="414"/>
            <x v="415"/>
            <x v="417"/>
            <x v="436"/>
            <x v="440"/>
            <x v="464"/>
            <x v="465"/>
            <x v="468"/>
            <x v="471"/>
            <x v="472"/>
            <x v="477"/>
            <x v="479"/>
            <x v="503"/>
          </reference>
        </references>
      </pivotArea>
    </format>
    <format dxfId="962">
      <pivotArea dataOnly="0" labelOnly="1" fieldPosition="0">
        <references count="1">
          <reference field="6" count="50">
            <x v="511"/>
            <x v="515"/>
            <x v="520"/>
            <x v="525"/>
            <x v="530"/>
            <x v="531"/>
            <x v="534"/>
            <x v="535"/>
            <x v="538"/>
            <x v="543"/>
            <x v="544"/>
            <x v="545"/>
            <x v="549"/>
            <x v="550"/>
            <x v="555"/>
            <x v="558"/>
            <x v="564"/>
            <x v="566"/>
            <x v="571"/>
            <x v="595"/>
            <x v="597"/>
            <x v="604"/>
            <x v="611"/>
            <x v="612"/>
            <x v="617"/>
            <x v="618"/>
            <x v="620"/>
            <x v="626"/>
            <x v="634"/>
            <x v="640"/>
            <x v="644"/>
            <x v="663"/>
            <x v="680"/>
            <x v="697"/>
            <x v="699"/>
            <x v="703"/>
            <x v="705"/>
            <x v="706"/>
            <x v="712"/>
            <x v="733"/>
            <x v="734"/>
            <x v="735"/>
            <x v="736"/>
            <x v="738"/>
            <x v="744"/>
            <x v="756"/>
            <x v="759"/>
            <x v="761"/>
            <x v="766"/>
            <x v="767"/>
          </reference>
        </references>
      </pivotArea>
    </format>
    <format dxfId="961">
      <pivotArea dataOnly="0" labelOnly="1" fieldPosition="0">
        <references count="1">
          <reference field="6" count="50">
            <x v="770"/>
            <x v="772"/>
            <x v="774"/>
            <x v="778"/>
            <x v="780"/>
            <x v="789"/>
            <x v="804"/>
            <x v="806"/>
            <x v="807"/>
            <x v="808"/>
            <x v="809"/>
            <x v="812"/>
            <x v="813"/>
            <x v="826"/>
            <x v="827"/>
            <x v="830"/>
            <x v="845"/>
            <x v="846"/>
            <x v="850"/>
            <x v="855"/>
            <x v="856"/>
            <x v="857"/>
            <x v="859"/>
            <x v="860"/>
            <x v="868"/>
            <x v="870"/>
            <x v="872"/>
            <x v="878"/>
            <x v="879"/>
            <x v="882"/>
            <x v="885"/>
            <x v="887"/>
            <x v="888"/>
            <x v="897"/>
            <x v="901"/>
            <x v="904"/>
            <x v="910"/>
            <x v="916"/>
            <x v="923"/>
            <x v="928"/>
            <x v="932"/>
            <x v="940"/>
            <x v="948"/>
            <x v="949"/>
            <x v="952"/>
            <x v="954"/>
            <x v="968"/>
            <x v="969"/>
            <x v="970"/>
            <x v="971"/>
          </reference>
        </references>
      </pivotArea>
    </format>
    <format dxfId="960">
      <pivotArea dataOnly="0" labelOnly="1" fieldPosition="0">
        <references count="1">
          <reference field="6" count="50">
            <x v="973"/>
            <x v="977"/>
            <x v="991"/>
            <x v="1001"/>
            <x v="1002"/>
            <x v="1008"/>
            <x v="1020"/>
            <x v="1022"/>
            <x v="1028"/>
            <x v="1032"/>
            <x v="1033"/>
            <x v="1034"/>
            <x v="1037"/>
            <x v="1038"/>
            <x v="1039"/>
            <x v="1040"/>
            <x v="1046"/>
            <x v="1047"/>
            <x v="1048"/>
            <x v="1057"/>
            <x v="1058"/>
            <x v="1059"/>
            <x v="1060"/>
            <x v="1062"/>
            <x v="1063"/>
            <x v="1072"/>
            <x v="1074"/>
            <x v="1079"/>
            <x v="1087"/>
            <x v="1088"/>
            <x v="1109"/>
            <x v="1116"/>
            <x v="1129"/>
            <x v="1130"/>
            <x v="1131"/>
            <x v="1134"/>
            <x v="1141"/>
            <x v="1146"/>
            <x v="1149"/>
            <x v="1153"/>
            <x v="1161"/>
            <x v="1166"/>
            <x v="1167"/>
            <x v="1168"/>
            <x v="1170"/>
            <x v="1174"/>
            <x v="1176"/>
            <x v="1178"/>
            <x v="1186"/>
            <x v="1189"/>
          </reference>
        </references>
      </pivotArea>
    </format>
    <format dxfId="959">
      <pivotArea dataOnly="0" labelOnly="1" fieldPosition="0">
        <references count="1">
          <reference field="6" count="50">
            <x v="1202"/>
            <x v="1205"/>
            <x v="1211"/>
            <x v="1216"/>
            <x v="1217"/>
            <x v="1223"/>
            <x v="1226"/>
            <x v="1228"/>
            <x v="1234"/>
            <x v="1245"/>
            <x v="1250"/>
            <x v="1254"/>
            <x v="1272"/>
            <x v="1279"/>
            <x v="1284"/>
            <x v="1286"/>
            <x v="1290"/>
            <x v="1291"/>
            <x v="1298"/>
            <x v="1303"/>
            <x v="1307"/>
            <x v="1310"/>
            <x v="1311"/>
            <x v="1312"/>
            <x v="1325"/>
            <x v="1331"/>
            <x v="1335"/>
            <x v="1337"/>
            <x v="1339"/>
            <x v="1342"/>
            <x v="1347"/>
            <x v="1362"/>
            <x v="1366"/>
            <x v="1369"/>
            <x v="1376"/>
            <x v="1383"/>
            <x v="1390"/>
            <x v="1391"/>
            <x v="1397"/>
            <x v="1399"/>
            <x v="1411"/>
            <x v="1413"/>
            <x v="1423"/>
            <x v="1425"/>
            <x v="1428"/>
            <x v="1436"/>
            <x v="1438"/>
            <x v="1440"/>
            <x v="1443"/>
            <x v="1450"/>
          </reference>
        </references>
      </pivotArea>
    </format>
    <format dxfId="958">
      <pivotArea dataOnly="0" labelOnly="1" fieldPosition="0">
        <references count="1">
          <reference field="6" count="50">
            <x v="1452"/>
            <x v="1453"/>
            <x v="1468"/>
            <x v="1478"/>
            <x v="1488"/>
            <x v="1489"/>
            <x v="1497"/>
            <x v="1503"/>
            <x v="1504"/>
            <x v="1517"/>
            <x v="1520"/>
            <x v="1521"/>
            <x v="1527"/>
            <x v="1529"/>
            <x v="1533"/>
            <x v="1535"/>
            <x v="1547"/>
            <x v="1551"/>
            <x v="1553"/>
            <x v="1559"/>
            <x v="1562"/>
            <x v="1563"/>
            <x v="1571"/>
            <x v="1573"/>
            <x v="1586"/>
            <x v="1590"/>
            <x v="1593"/>
            <x v="1603"/>
            <x v="1605"/>
            <x v="1608"/>
            <x v="1609"/>
            <x v="1611"/>
            <x v="1612"/>
            <x v="1620"/>
            <x v="1623"/>
            <x v="1635"/>
            <x v="1640"/>
            <x v="1645"/>
            <x v="1646"/>
            <x v="1651"/>
            <x v="1661"/>
            <x v="1662"/>
            <x v="1664"/>
            <x v="1667"/>
            <x v="1669"/>
            <x v="1676"/>
            <x v="1679"/>
            <x v="1683"/>
            <x v="1686"/>
            <x v="1691"/>
          </reference>
        </references>
      </pivotArea>
    </format>
    <format dxfId="957">
      <pivotArea dataOnly="0" labelOnly="1" fieldPosition="0">
        <references count="1">
          <reference field="6" count="50">
            <x v="1696"/>
            <x v="1699"/>
            <x v="1700"/>
            <x v="1704"/>
            <x v="1716"/>
            <x v="1721"/>
            <x v="1724"/>
            <x v="1732"/>
            <x v="1733"/>
            <x v="1734"/>
            <x v="1737"/>
            <x v="1743"/>
            <x v="1745"/>
            <x v="1757"/>
            <x v="1758"/>
            <x v="1759"/>
            <x v="1760"/>
            <x v="1764"/>
            <x v="1770"/>
            <x v="1775"/>
            <x v="1776"/>
            <x v="1785"/>
            <x v="1787"/>
            <x v="1788"/>
            <x v="1789"/>
            <x v="1795"/>
            <x v="1797"/>
            <x v="1800"/>
            <x v="1808"/>
            <x v="1818"/>
            <x v="1819"/>
            <x v="1833"/>
            <x v="1836"/>
            <x v="1843"/>
            <x v="1844"/>
            <x v="1845"/>
            <x v="1848"/>
            <x v="1849"/>
            <x v="1855"/>
            <x v="1857"/>
            <x v="1861"/>
            <x v="1864"/>
            <x v="1867"/>
            <x v="1870"/>
            <x v="1871"/>
            <x v="1895"/>
            <x v="1897"/>
            <x v="1909"/>
            <x v="1911"/>
            <x v="1917"/>
          </reference>
        </references>
      </pivotArea>
    </format>
    <format dxfId="956">
      <pivotArea dataOnly="0" labelOnly="1" fieldPosition="0">
        <references count="1">
          <reference field="6" count="6">
            <x v="1926"/>
            <x v="1928"/>
            <x v="1938"/>
            <x v="1941"/>
            <x v="1946"/>
            <x v="1948"/>
          </reference>
        </references>
      </pivotArea>
    </format>
    <format dxfId="955">
      <pivotArea collapsedLevelsAreSubtotals="1" fieldPosition="0">
        <references count="1">
          <reference field="6" count="1">
            <x v="26"/>
          </reference>
        </references>
      </pivotArea>
    </format>
    <format dxfId="954">
      <pivotArea collapsedLevelsAreSubtotals="1" fieldPosition="0">
        <references count="1">
          <reference field="6" count="1">
            <x v="38"/>
          </reference>
        </references>
      </pivotArea>
    </format>
    <format dxfId="953">
      <pivotArea collapsedLevelsAreSubtotals="1" fieldPosition="0">
        <references count="1">
          <reference field="6" count="1">
            <x v="46"/>
          </reference>
        </references>
      </pivotArea>
    </format>
    <format dxfId="952">
      <pivotArea collapsedLevelsAreSubtotals="1" fieldPosition="0">
        <references count="1">
          <reference field="6" count="1">
            <x v="49"/>
          </reference>
        </references>
      </pivotArea>
    </format>
    <format dxfId="951">
      <pivotArea collapsedLevelsAreSubtotals="1" fieldPosition="0">
        <references count="1">
          <reference field="6" count="1">
            <x v="51"/>
          </reference>
        </references>
      </pivotArea>
    </format>
    <format dxfId="950">
      <pivotArea collapsedLevelsAreSubtotals="1" fieldPosition="0">
        <references count="1">
          <reference field="6" count="1">
            <x v="60"/>
          </reference>
        </references>
      </pivotArea>
    </format>
    <format dxfId="949">
      <pivotArea collapsedLevelsAreSubtotals="1" fieldPosition="0">
        <references count="1">
          <reference field="6" count="1">
            <x v="63"/>
          </reference>
        </references>
      </pivotArea>
    </format>
    <format dxfId="948">
      <pivotArea collapsedLevelsAreSubtotals="1" fieldPosition="0">
        <references count="1">
          <reference field="6" count="1">
            <x v="65"/>
          </reference>
        </references>
      </pivotArea>
    </format>
    <format dxfId="947">
      <pivotArea collapsedLevelsAreSubtotals="1" fieldPosition="0">
        <references count="1">
          <reference field="6" count="1">
            <x v="66"/>
          </reference>
        </references>
      </pivotArea>
    </format>
    <format dxfId="946">
      <pivotArea collapsedLevelsAreSubtotals="1" fieldPosition="0">
        <references count="1">
          <reference field="6" count="1">
            <x v="67"/>
          </reference>
        </references>
      </pivotArea>
    </format>
    <format dxfId="945">
      <pivotArea collapsedLevelsAreSubtotals="1" fieldPosition="0">
        <references count="1">
          <reference field="6" count="1">
            <x v="75"/>
          </reference>
        </references>
      </pivotArea>
    </format>
    <format dxfId="944">
      <pivotArea collapsedLevelsAreSubtotals="1" fieldPosition="0">
        <references count="1">
          <reference field="6" count="1">
            <x v="83"/>
          </reference>
        </references>
      </pivotArea>
    </format>
    <format dxfId="943">
      <pivotArea collapsedLevelsAreSubtotals="1" fieldPosition="0">
        <references count="1">
          <reference field="6" count="1">
            <x v="88"/>
          </reference>
        </references>
      </pivotArea>
    </format>
    <format dxfId="942">
      <pivotArea collapsedLevelsAreSubtotals="1" fieldPosition="0">
        <references count="1">
          <reference field="6" count="1">
            <x v="90"/>
          </reference>
        </references>
      </pivotArea>
    </format>
    <format dxfId="941">
      <pivotArea collapsedLevelsAreSubtotals="1" fieldPosition="0">
        <references count="1">
          <reference field="6" count="1">
            <x v="96"/>
          </reference>
        </references>
      </pivotArea>
    </format>
    <format dxfId="940">
      <pivotArea collapsedLevelsAreSubtotals="1" fieldPosition="0">
        <references count="1">
          <reference field="6" count="1">
            <x v="99"/>
          </reference>
        </references>
      </pivotArea>
    </format>
    <format dxfId="939">
      <pivotArea collapsedLevelsAreSubtotals="1" fieldPosition="0">
        <references count="1">
          <reference field="6" count="1">
            <x v="104"/>
          </reference>
        </references>
      </pivotArea>
    </format>
    <format dxfId="938">
      <pivotArea collapsedLevelsAreSubtotals="1" fieldPosition="0">
        <references count="1">
          <reference field="6" count="1">
            <x v="105"/>
          </reference>
        </references>
      </pivotArea>
    </format>
    <format dxfId="937">
      <pivotArea collapsedLevelsAreSubtotals="1" fieldPosition="0">
        <references count="1">
          <reference field="6" count="1">
            <x v="113"/>
          </reference>
        </references>
      </pivotArea>
    </format>
    <format dxfId="936">
      <pivotArea collapsedLevelsAreSubtotals="1" fieldPosition="0">
        <references count="1">
          <reference field="6" count="1">
            <x v="114"/>
          </reference>
        </references>
      </pivotArea>
    </format>
    <format dxfId="935">
      <pivotArea collapsedLevelsAreSubtotals="1" fieldPosition="0">
        <references count="1">
          <reference field="6" count="1">
            <x v="116"/>
          </reference>
        </references>
      </pivotArea>
    </format>
    <format dxfId="934">
      <pivotArea collapsedLevelsAreSubtotals="1" fieldPosition="0">
        <references count="1">
          <reference field="6" count="1">
            <x v="123"/>
          </reference>
        </references>
      </pivotArea>
    </format>
    <format dxfId="933">
      <pivotArea collapsedLevelsAreSubtotals="1" fieldPosition="0">
        <references count="1">
          <reference field="6" count="1">
            <x v="125"/>
          </reference>
        </references>
      </pivotArea>
    </format>
    <format dxfId="932">
      <pivotArea collapsedLevelsAreSubtotals="1" fieldPosition="0">
        <references count="1">
          <reference field="6" count="1">
            <x v="130"/>
          </reference>
        </references>
      </pivotArea>
    </format>
    <format dxfId="931">
      <pivotArea collapsedLevelsAreSubtotals="1" fieldPosition="0">
        <references count="1">
          <reference field="6" count="1">
            <x v="141"/>
          </reference>
        </references>
      </pivotArea>
    </format>
    <format dxfId="930">
      <pivotArea collapsedLevelsAreSubtotals="1" fieldPosition="0">
        <references count="1">
          <reference field="6" count="1">
            <x v="145"/>
          </reference>
        </references>
      </pivotArea>
    </format>
    <format dxfId="929">
      <pivotArea collapsedLevelsAreSubtotals="1" fieldPosition="0">
        <references count="1">
          <reference field="6" count="1">
            <x v="154"/>
          </reference>
        </references>
      </pivotArea>
    </format>
    <format dxfId="928">
      <pivotArea collapsedLevelsAreSubtotals="1" fieldPosition="0">
        <references count="1">
          <reference field="6" count="1">
            <x v="155"/>
          </reference>
        </references>
      </pivotArea>
    </format>
    <format dxfId="927">
      <pivotArea collapsedLevelsAreSubtotals="1" fieldPosition="0">
        <references count="1">
          <reference field="6" count="1">
            <x v="159"/>
          </reference>
        </references>
      </pivotArea>
    </format>
    <format dxfId="926">
      <pivotArea collapsedLevelsAreSubtotals="1" fieldPosition="0">
        <references count="1">
          <reference field="6" count="1">
            <x v="165"/>
          </reference>
        </references>
      </pivotArea>
    </format>
    <format dxfId="925">
      <pivotArea collapsedLevelsAreSubtotals="1" fieldPosition="0">
        <references count="1">
          <reference field="6" count="1">
            <x v="177"/>
          </reference>
        </references>
      </pivotArea>
    </format>
    <format dxfId="924">
      <pivotArea collapsedLevelsAreSubtotals="1" fieldPosition="0">
        <references count="1">
          <reference field="6" count="1">
            <x v="188"/>
          </reference>
        </references>
      </pivotArea>
    </format>
    <format dxfId="923">
      <pivotArea collapsedLevelsAreSubtotals="1" fieldPosition="0">
        <references count="1">
          <reference field="6" count="1">
            <x v="189"/>
          </reference>
        </references>
      </pivotArea>
    </format>
    <format dxfId="922">
      <pivotArea collapsedLevelsAreSubtotals="1" fieldPosition="0">
        <references count="1">
          <reference field="6" count="1">
            <x v="194"/>
          </reference>
        </references>
      </pivotArea>
    </format>
    <format dxfId="921">
      <pivotArea collapsedLevelsAreSubtotals="1" fieldPosition="0">
        <references count="1">
          <reference field="6" count="1">
            <x v="195"/>
          </reference>
        </references>
      </pivotArea>
    </format>
    <format dxfId="920">
      <pivotArea collapsedLevelsAreSubtotals="1" fieldPosition="0">
        <references count="1">
          <reference field="6" count="1">
            <x v="196"/>
          </reference>
        </references>
      </pivotArea>
    </format>
    <format dxfId="919">
      <pivotArea collapsedLevelsAreSubtotals="1" fieldPosition="0">
        <references count="1">
          <reference field="6" count="1">
            <x v="198"/>
          </reference>
        </references>
      </pivotArea>
    </format>
    <format dxfId="918">
      <pivotArea collapsedLevelsAreSubtotals="1" fieldPosition="0">
        <references count="1">
          <reference field="6" count="1">
            <x v="205"/>
          </reference>
        </references>
      </pivotArea>
    </format>
    <format dxfId="917">
      <pivotArea collapsedLevelsAreSubtotals="1" fieldPosition="0">
        <references count="1">
          <reference field="6" count="1">
            <x v="212"/>
          </reference>
        </references>
      </pivotArea>
    </format>
    <format dxfId="916">
      <pivotArea collapsedLevelsAreSubtotals="1" fieldPosition="0">
        <references count="1">
          <reference field="6" count="1">
            <x v="215"/>
          </reference>
        </references>
      </pivotArea>
    </format>
    <format dxfId="915">
      <pivotArea collapsedLevelsAreSubtotals="1" fieldPosition="0">
        <references count="1">
          <reference field="6" count="1">
            <x v="222"/>
          </reference>
        </references>
      </pivotArea>
    </format>
    <format dxfId="914">
      <pivotArea collapsedLevelsAreSubtotals="1" fieldPosition="0">
        <references count="1">
          <reference field="6" count="1">
            <x v="228"/>
          </reference>
        </references>
      </pivotArea>
    </format>
    <format dxfId="913">
      <pivotArea collapsedLevelsAreSubtotals="1" fieldPosition="0">
        <references count="1">
          <reference field="6" count="1">
            <x v="229"/>
          </reference>
        </references>
      </pivotArea>
    </format>
    <format dxfId="912">
      <pivotArea collapsedLevelsAreSubtotals="1" fieldPosition="0">
        <references count="1">
          <reference field="6" count="1">
            <x v="234"/>
          </reference>
        </references>
      </pivotArea>
    </format>
    <format dxfId="911">
      <pivotArea collapsedLevelsAreSubtotals="1" fieldPosition="0">
        <references count="1">
          <reference field="6" count="1">
            <x v="245"/>
          </reference>
        </references>
      </pivotArea>
    </format>
    <format dxfId="910">
      <pivotArea collapsedLevelsAreSubtotals="1" fieldPosition="0">
        <references count="1">
          <reference field="6" count="1">
            <x v="247"/>
          </reference>
        </references>
      </pivotArea>
    </format>
    <format dxfId="909">
      <pivotArea collapsedLevelsAreSubtotals="1" fieldPosition="0">
        <references count="1">
          <reference field="6" count="1">
            <x v="250"/>
          </reference>
        </references>
      </pivotArea>
    </format>
    <format dxfId="908">
      <pivotArea collapsedLevelsAreSubtotals="1" fieldPosition="0">
        <references count="1">
          <reference field="6" count="1">
            <x v="254"/>
          </reference>
        </references>
      </pivotArea>
    </format>
    <format dxfId="907">
      <pivotArea collapsedLevelsAreSubtotals="1" fieldPosition="0">
        <references count="1">
          <reference field="6" count="1">
            <x v="256"/>
          </reference>
        </references>
      </pivotArea>
    </format>
    <format dxfId="906">
      <pivotArea collapsedLevelsAreSubtotals="1" fieldPosition="0">
        <references count="1">
          <reference field="6" count="1">
            <x v="259"/>
          </reference>
        </references>
      </pivotArea>
    </format>
    <format dxfId="905">
      <pivotArea collapsedLevelsAreSubtotals="1" fieldPosition="0">
        <references count="1">
          <reference field="6" count="1">
            <x v="262"/>
          </reference>
        </references>
      </pivotArea>
    </format>
    <format dxfId="904">
      <pivotArea collapsedLevelsAreSubtotals="1" fieldPosition="0">
        <references count="1">
          <reference field="6" count="1">
            <x v="266"/>
          </reference>
        </references>
      </pivotArea>
    </format>
    <format dxfId="903">
      <pivotArea collapsedLevelsAreSubtotals="1" fieldPosition="0">
        <references count="1">
          <reference field="6" count="1">
            <x v="269"/>
          </reference>
        </references>
      </pivotArea>
    </format>
    <format dxfId="902">
      <pivotArea collapsedLevelsAreSubtotals="1" fieldPosition="0">
        <references count="1">
          <reference field="6" count="1">
            <x v="272"/>
          </reference>
        </references>
      </pivotArea>
    </format>
    <format dxfId="901">
      <pivotArea collapsedLevelsAreSubtotals="1" fieldPosition="0">
        <references count="1">
          <reference field="6" count="1">
            <x v="274"/>
          </reference>
        </references>
      </pivotArea>
    </format>
    <format dxfId="900">
      <pivotArea collapsedLevelsAreSubtotals="1" fieldPosition="0">
        <references count="1">
          <reference field="6" count="1">
            <x v="275"/>
          </reference>
        </references>
      </pivotArea>
    </format>
    <format dxfId="899">
      <pivotArea collapsedLevelsAreSubtotals="1" fieldPosition="0">
        <references count="1">
          <reference field="6" count="1">
            <x v="278"/>
          </reference>
        </references>
      </pivotArea>
    </format>
    <format dxfId="898">
      <pivotArea collapsedLevelsAreSubtotals="1" fieldPosition="0">
        <references count="1">
          <reference field="6" count="1">
            <x v="280"/>
          </reference>
        </references>
      </pivotArea>
    </format>
    <format dxfId="897">
      <pivotArea collapsedLevelsAreSubtotals="1" fieldPosition="0">
        <references count="1">
          <reference field="6" count="1">
            <x v="282"/>
          </reference>
        </references>
      </pivotArea>
    </format>
    <format dxfId="896">
      <pivotArea collapsedLevelsAreSubtotals="1" fieldPosition="0">
        <references count="1">
          <reference field="6" count="1">
            <x v="285"/>
          </reference>
        </references>
      </pivotArea>
    </format>
    <format dxfId="895">
      <pivotArea collapsedLevelsAreSubtotals="1" fieldPosition="0">
        <references count="1">
          <reference field="6" count="1">
            <x v="286"/>
          </reference>
        </references>
      </pivotArea>
    </format>
    <format dxfId="894">
      <pivotArea collapsedLevelsAreSubtotals="1" fieldPosition="0">
        <references count="1">
          <reference field="6" count="1">
            <x v="296"/>
          </reference>
        </references>
      </pivotArea>
    </format>
    <format dxfId="893">
      <pivotArea collapsedLevelsAreSubtotals="1" fieldPosition="0">
        <references count="1">
          <reference field="6" count="1">
            <x v="299"/>
          </reference>
        </references>
      </pivotArea>
    </format>
    <format dxfId="892">
      <pivotArea collapsedLevelsAreSubtotals="1" fieldPosition="0">
        <references count="1">
          <reference field="6" count="1">
            <x v="302"/>
          </reference>
        </references>
      </pivotArea>
    </format>
    <format dxfId="891">
      <pivotArea collapsedLevelsAreSubtotals="1" fieldPosition="0">
        <references count="1">
          <reference field="6" count="1">
            <x v="304"/>
          </reference>
        </references>
      </pivotArea>
    </format>
    <format dxfId="890">
      <pivotArea collapsedLevelsAreSubtotals="1" fieldPosition="0">
        <references count="1">
          <reference field="6" count="1">
            <x v="308"/>
          </reference>
        </references>
      </pivotArea>
    </format>
    <format dxfId="889">
      <pivotArea collapsedLevelsAreSubtotals="1" fieldPosition="0">
        <references count="1">
          <reference field="6" count="1">
            <x v="315"/>
          </reference>
        </references>
      </pivotArea>
    </format>
    <format dxfId="888">
      <pivotArea collapsedLevelsAreSubtotals="1" fieldPosition="0">
        <references count="1">
          <reference field="6" count="1">
            <x v="319"/>
          </reference>
        </references>
      </pivotArea>
    </format>
    <format dxfId="887">
      <pivotArea collapsedLevelsAreSubtotals="1" fieldPosition="0">
        <references count="1">
          <reference field="6" count="1">
            <x v="324"/>
          </reference>
        </references>
      </pivotArea>
    </format>
    <format dxfId="886">
      <pivotArea collapsedLevelsAreSubtotals="1" fieldPosition="0">
        <references count="1">
          <reference field="6" count="1">
            <x v="326"/>
          </reference>
        </references>
      </pivotArea>
    </format>
    <format dxfId="885">
      <pivotArea collapsedLevelsAreSubtotals="1" fieldPosition="0">
        <references count="1">
          <reference field="6" count="1">
            <x v="329"/>
          </reference>
        </references>
      </pivotArea>
    </format>
    <format dxfId="884">
      <pivotArea collapsedLevelsAreSubtotals="1" fieldPosition="0">
        <references count="1">
          <reference field="6" count="1">
            <x v="340"/>
          </reference>
        </references>
      </pivotArea>
    </format>
    <format dxfId="883">
      <pivotArea collapsedLevelsAreSubtotals="1" fieldPosition="0">
        <references count="1">
          <reference field="6" count="1">
            <x v="349"/>
          </reference>
        </references>
      </pivotArea>
    </format>
    <format dxfId="882">
      <pivotArea collapsedLevelsAreSubtotals="1" fieldPosition="0">
        <references count="1">
          <reference field="6" count="1">
            <x v="350"/>
          </reference>
        </references>
      </pivotArea>
    </format>
    <format dxfId="881">
      <pivotArea collapsedLevelsAreSubtotals="1" fieldPosition="0">
        <references count="1">
          <reference field="6" count="1">
            <x v="358"/>
          </reference>
        </references>
      </pivotArea>
    </format>
    <format dxfId="880">
      <pivotArea collapsedLevelsAreSubtotals="1" fieldPosition="0">
        <references count="1">
          <reference field="6" count="1">
            <x v="360"/>
          </reference>
        </references>
      </pivotArea>
    </format>
    <format dxfId="879">
      <pivotArea collapsedLevelsAreSubtotals="1" fieldPosition="0">
        <references count="1">
          <reference field="6" count="1">
            <x v="365"/>
          </reference>
        </references>
      </pivotArea>
    </format>
    <format dxfId="878">
      <pivotArea collapsedLevelsAreSubtotals="1" fieldPosition="0">
        <references count="1">
          <reference field="6" count="1">
            <x v="369"/>
          </reference>
        </references>
      </pivotArea>
    </format>
    <format dxfId="877">
      <pivotArea collapsedLevelsAreSubtotals="1" fieldPosition="0">
        <references count="1">
          <reference field="6" count="1">
            <x v="377"/>
          </reference>
        </references>
      </pivotArea>
    </format>
    <format dxfId="876">
      <pivotArea collapsedLevelsAreSubtotals="1" fieldPosition="0">
        <references count="1">
          <reference field="6" count="1">
            <x v="384"/>
          </reference>
        </references>
      </pivotArea>
    </format>
    <format dxfId="875">
      <pivotArea collapsedLevelsAreSubtotals="1" fieldPosition="0">
        <references count="1">
          <reference field="6" count="1">
            <x v="385"/>
          </reference>
        </references>
      </pivotArea>
    </format>
    <format dxfId="874">
      <pivotArea collapsedLevelsAreSubtotals="1" fieldPosition="0">
        <references count="1">
          <reference field="6" count="1">
            <x v="391"/>
          </reference>
        </references>
      </pivotArea>
    </format>
    <format dxfId="873">
      <pivotArea collapsedLevelsAreSubtotals="1" fieldPosition="0">
        <references count="1">
          <reference field="6" count="1">
            <x v="395"/>
          </reference>
        </references>
      </pivotArea>
    </format>
    <format dxfId="872">
      <pivotArea collapsedLevelsAreSubtotals="1" fieldPosition="0">
        <references count="1">
          <reference field="6" count="1">
            <x v="401"/>
          </reference>
        </references>
      </pivotArea>
    </format>
    <format dxfId="871">
      <pivotArea collapsedLevelsAreSubtotals="1" fieldPosition="0">
        <references count="1">
          <reference field="6" count="1">
            <x v="404"/>
          </reference>
        </references>
      </pivotArea>
    </format>
    <format dxfId="870">
      <pivotArea collapsedLevelsAreSubtotals="1" fieldPosition="0">
        <references count="1">
          <reference field="6" count="1">
            <x v="406"/>
          </reference>
        </references>
      </pivotArea>
    </format>
    <format dxfId="869">
      <pivotArea collapsedLevelsAreSubtotals="1" fieldPosition="0">
        <references count="1">
          <reference field="6" count="1">
            <x v="411"/>
          </reference>
        </references>
      </pivotArea>
    </format>
    <format dxfId="868">
      <pivotArea collapsedLevelsAreSubtotals="1" fieldPosition="0">
        <references count="1">
          <reference field="6" count="1">
            <x v="414"/>
          </reference>
        </references>
      </pivotArea>
    </format>
    <format dxfId="867">
      <pivotArea collapsedLevelsAreSubtotals="1" fieldPosition="0">
        <references count="1">
          <reference field="6" count="1">
            <x v="415"/>
          </reference>
        </references>
      </pivotArea>
    </format>
    <format dxfId="866">
      <pivotArea collapsedLevelsAreSubtotals="1" fieldPosition="0">
        <references count="1">
          <reference field="6" count="1">
            <x v="417"/>
          </reference>
        </references>
      </pivotArea>
    </format>
    <format dxfId="865">
      <pivotArea collapsedLevelsAreSubtotals="1" fieldPosition="0">
        <references count="1">
          <reference field="6" count="1">
            <x v="436"/>
          </reference>
        </references>
      </pivotArea>
    </format>
    <format dxfId="864">
      <pivotArea collapsedLevelsAreSubtotals="1" fieldPosition="0">
        <references count="1">
          <reference field="6" count="1">
            <x v="440"/>
          </reference>
        </references>
      </pivotArea>
    </format>
    <format dxfId="863">
      <pivotArea collapsedLevelsAreSubtotals="1" fieldPosition="0">
        <references count="1">
          <reference field="6" count="1">
            <x v="464"/>
          </reference>
        </references>
      </pivotArea>
    </format>
    <format dxfId="862">
      <pivotArea collapsedLevelsAreSubtotals="1" fieldPosition="0">
        <references count="1">
          <reference field="6" count="1">
            <x v="465"/>
          </reference>
        </references>
      </pivotArea>
    </format>
    <format dxfId="861">
      <pivotArea collapsedLevelsAreSubtotals="1" fieldPosition="0">
        <references count="1">
          <reference field="6" count="1">
            <x v="468"/>
          </reference>
        </references>
      </pivotArea>
    </format>
    <format dxfId="860">
      <pivotArea collapsedLevelsAreSubtotals="1" fieldPosition="0">
        <references count="1">
          <reference field="6" count="1">
            <x v="471"/>
          </reference>
        </references>
      </pivotArea>
    </format>
    <format dxfId="859">
      <pivotArea collapsedLevelsAreSubtotals="1" fieldPosition="0">
        <references count="1">
          <reference field="6" count="1">
            <x v="472"/>
          </reference>
        </references>
      </pivotArea>
    </format>
    <format dxfId="858">
      <pivotArea collapsedLevelsAreSubtotals="1" fieldPosition="0">
        <references count="1">
          <reference field="6" count="1">
            <x v="477"/>
          </reference>
        </references>
      </pivotArea>
    </format>
    <format dxfId="857">
      <pivotArea collapsedLevelsAreSubtotals="1" fieldPosition="0">
        <references count="1">
          <reference field="6" count="1">
            <x v="479"/>
          </reference>
        </references>
      </pivotArea>
    </format>
    <format dxfId="856">
      <pivotArea collapsedLevelsAreSubtotals="1" fieldPosition="0">
        <references count="1">
          <reference field="6" count="1">
            <x v="503"/>
          </reference>
        </references>
      </pivotArea>
    </format>
    <format dxfId="855">
      <pivotArea collapsedLevelsAreSubtotals="1" fieldPosition="0">
        <references count="1">
          <reference field="6" count="1">
            <x v="511"/>
          </reference>
        </references>
      </pivotArea>
    </format>
    <format dxfId="854">
      <pivotArea collapsedLevelsAreSubtotals="1" fieldPosition="0">
        <references count="1">
          <reference field="6" count="1">
            <x v="515"/>
          </reference>
        </references>
      </pivotArea>
    </format>
    <format dxfId="853">
      <pivotArea collapsedLevelsAreSubtotals="1" fieldPosition="0">
        <references count="1">
          <reference field="6" count="1">
            <x v="520"/>
          </reference>
        </references>
      </pivotArea>
    </format>
    <format dxfId="852">
      <pivotArea collapsedLevelsAreSubtotals="1" fieldPosition="0">
        <references count="1">
          <reference field="6" count="1">
            <x v="525"/>
          </reference>
        </references>
      </pivotArea>
    </format>
    <format dxfId="851">
      <pivotArea collapsedLevelsAreSubtotals="1" fieldPosition="0">
        <references count="1">
          <reference field="6" count="1">
            <x v="530"/>
          </reference>
        </references>
      </pivotArea>
    </format>
    <format dxfId="850">
      <pivotArea collapsedLevelsAreSubtotals="1" fieldPosition="0">
        <references count="1">
          <reference field="6" count="1">
            <x v="531"/>
          </reference>
        </references>
      </pivotArea>
    </format>
    <format dxfId="849">
      <pivotArea collapsedLevelsAreSubtotals="1" fieldPosition="0">
        <references count="1">
          <reference field="6" count="1">
            <x v="534"/>
          </reference>
        </references>
      </pivotArea>
    </format>
    <format dxfId="848">
      <pivotArea collapsedLevelsAreSubtotals="1" fieldPosition="0">
        <references count="1">
          <reference field="6" count="1">
            <x v="535"/>
          </reference>
        </references>
      </pivotArea>
    </format>
    <format dxfId="847">
      <pivotArea collapsedLevelsAreSubtotals="1" fieldPosition="0">
        <references count="1">
          <reference field="6" count="1">
            <x v="538"/>
          </reference>
        </references>
      </pivotArea>
    </format>
    <format dxfId="846">
      <pivotArea collapsedLevelsAreSubtotals="1" fieldPosition="0">
        <references count="1">
          <reference field="6" count="1">
            <x v="543"/>
          </reference>
        </references>
      </pivotArea>
    </format>
    <format dxfId="845">
      <pivotArea collapsedLevelsAreSubtotals="1" fieldPosition="0">
        <references count="1">
          <reference field="6" count="1">
            <x v="544"/>
          </reference>
        </references>
      </pivotArea>
    </format>
    <format dxfId="844">
      <pivotArea collapsedLevelsAreSubtotals="1" fieldPosition="0">
        <references count="1">
          <reference field="6" count="1">
            <x v="545"/>
          </reference>
        </references>
      </pivotArea>
    </format>
    <format dxfId="843">
      <pivotArea collapsedLevelsAreSubtotals="1" fieldPosition="0">
        <references count="1">
          <reference field="6" count="1">
            <x v="549"/>
          </reference>
        </references>
      </pivotArea>
    </format>
    <format dxfId="842">
      <pivotArea collapsedLevelsAreSubtotals="1" fieldPosition="0">
        <references count="1">
          <reference field="6" count="1">
            <x v="550"/>
          </reference>
        </references>
      </pivotArea>
    </format>
    <format dxfId="841">
      <pivotArea collapsedLevelsAreSubtotals="1" fieldPosition="0">
        <references count="1">
          <reference field="6" count="1">
            <x v="555"/>
          </reference>
        </references>
      </pivotArea>
    </format>
    <format dxfId="840">
      <pivotArea collapsedLevelsAreSubtotals="1" fieldPosition="0">
        <references count="1">
          <reference field="6" count="1">
            <x v="558"/>
          </reference>
        </references>
      </pivotArea>
    </format>
    <format dxfId="839">
      <pivotArea collapsedLevelsAreSubtotals="1" fieldPosition="0">
        <references count="1">
          <reference field="6" count="1">
            <x v="564"/>
          </reference>
        </references>
      </pivotArea>
    </format>
    <format dxfId="838">
      <pivotArea collapsedLevelsAreSubtotals="1" fieldPosition="0">
        <references count="1">
          <reference field="6" count="1">
            <x v="566"/>
          </reference>
        </references>
      </pivotArea>
    </format>
    <format dxfId="837">
      <pivotArea collapsedLevelsAreSubtotals="1" fieldPosition="0">
        <references count="1">
          <reference field="6" count="1">
            <x v="571"/>
          </reference>
        </references>
      </pivotArea>
    </format>
    <format dxfId="836">
      <pivotArea collapsedLevelsAreSubtotals="1" fieldPosition="0">
        <references count="1">
          <reference field="6" count="1">
            <x v="595"/>
          </reference>
        </references>
      </pivotArea>
    </format>
    <format dxfId="835">
      <pivotArea collapsedLevelsAreSubtotals="1" fieldPosition="0">
        <references count="1">
          <reference field="6" count="1">
            <x v="597"/>
          </reference>
        </references>
      </pivotArea>
    </format>
    <format dxfId="834">
      <pivotArea collapsedLevelsAreSubtotals="1" fieldPosition="0">
        <references count="1">
          <reference field="6" count="1">
            <x v="604"/>
          </reference>
        </references>
      </pivotArea>
    </format>
    <format dxfId="833">
      <pivotArea collapsedLevelsAreSubtotals="1" fieldPosition="0">
        <references count="1">
          <reference field="6" count="1">
            <x v="611"/>
          </reference>
        </references>
      </pivotArea>
    </format>
    <format dxfId="832">
      <pivotArea collapsedLevelsAreSubtotals="1" fieldPosition="0">
        <references count="1">
          <reference field="6" count="1">
            <x v="612"/>
          </reference>
        </references>
      </pivotArea>
    </format>
    <format dxfId="831">
      <pivotArea collapsedLevelsAreSubtotals="1" fieldPosition="0">
        <references count="1">
          <reference field="6" count="1">
            <x v="617"/>
          </reference>
        </references>
      </pivotArea>
    </format>
    <format dxfId="830">
      <pivotArea collapsedLevelsAreSubtotals="1" fieldPosition="0">
        <references count="1">
          <reference field="6" count="1">
            <x v="618"/>
          </reference>
        </references>
      </pivotArea>
    </format>
    <format dxfId="829">
      <pivotArea collapsedLevelsAreSubtotals="1" fieldPosition="0">
        <references count="1">
          <reference field="6" count="1">
            <x v="620"/>
          </reference>
        </references>
      </pivotArea>
    </format>
    <format dxfId="828">
      <pivotArea collapsedLevelsAreSubtotals="1" fieldPosition="0">
        <references count="1">
          <reference field="6" count="1">
            <x v="626"/>
          </reference>
        </references>
      </pivotArea>
    </format>
    <format dxfId="827">
      <pivotArea collapsedLevelsAreSubtotals="1" fieldPosition="0">
        <references count="1">
          <reference field="6" count="1">
            <x v="634"/>
          </reference>
        </references>
      </pivotArea>
    </format>
    <format dxfId="826">
      <pivotArea collapsedLevelsAreSubtotals="1" fieldPosition="0">
        <references count="1">
          <reference field="6" count="1">
            <x v="640"/>
          </reference>
        </references>
      </pivotArea>
    </format>
    <format dxfId="825">
      <pivotArea collapsedLevelsAreSubtotals="1" fieldPosition="0">
        <references count="1">
          <reference field="6" count="1">
            <x v="644"/>
          </reference>
        </references>
      </pivotArea>
    </format>
    <format dxfId="824">
      <pivotArea collapsedLevelsAreSubtotals="1" fieldPosition="0">
        <references count="1">
          <reference field="6" count="1">
            <x v="663"/>
          </reference>
        </references>
      </pivotArea>
    </format>
    <format dxfId="823">
      <pivotArea collapsedLevelsAreSubtotals="1" fieldPosition="0">
        <references count="1">
          <reference field="6" count="1">
            <x v="680"/>
          </reference>
        </references>
      </pivotArea>
    </format>
    <format dxfId="822">
      <pivotArea collapsedLevelsAreSubtotals="1" fieldPosition="0">
        <references count="1">
          <reference field="6" count="1">
            <x v="697"/>
          </reference>
        </references>
      </pivotArea>
    </format>
    <format dxfId="821">
      <pivotArea collapsedLevelsAreSubtotals="1" fieldPosition="0">
        <references count="1">
          <reference field="6" count="1">
            <x v="699"/>
          </reference>
        </references>
      </pivotArea>
    </format>
    <format dxfId="820">
      <pivotArea collapsedLevelsAreSubtotals="1" fieldPosition="0">
        <references count="1">
          <reference field="6" count="1">
            <x v="703"/>
          </reference>
        </references>
      </pivotArea>
    </format>
    <format dxfId="819">
      <pivotArea collapsedLevelsAreSubtotals="1" fieldPosition="0">
        <references count="1">
          <reference field="6" count="1">
            <x v="705"/>
          </reference>
        </references>
      </pivotArea>
    </format>
    <format dxfId="818">
      <pivotArea collapsedLevelsAreSubtotals="1" fieldPosition="0">
        <references count="1">
          <reference field="6" count="1">
            <x v="706"/>
          </reference>
        </references>
      </pivotArea>
    </format>
    <format dxfId="817">
      <pivotArea collapsedLevelsAreSubtotals="1" fieldPosition="0">
        <references count="1">
          <reference field="6" count="1">
            <x v="712"/>
          </reference>
        </references>
      </pivotArea>
    </format>
    <format dxfId="816">
      <pivotArea collapsedLevelsAreSubtotals="1" fieldPosition="0">
        <references count="1">
          <reference field="6" count="1">
            <x v="733"/>
          </reference>
        </references>
      </pivotArea>
    </format>
    <format dxfId="815">
      <pivotArea collapsedLevelsAreSubtotals="1" fieldPosition="0">
        <references count="1">
          <reference field="6" count="1">
            <x v="734"/>
          </reference>
        </references>
      </pivotArea>
    </format>
    <format dxfId="814">
      <pivotArea collapsedLevelsAreSubtotals="1" fieldPosition="0">
        <references count="1">
          <reference field="6" count="1">
            <x v="735"/>
          </reference>
        </references>
      </pivotArea>
    </format>
    <format dxfId="813">
      <pivotArea collapsedLevelsAreSubtotals="1" fieldPosition="0">
        <references count="1">
          <reference field="6" count="1">
            <x v="736"/>
          </reference>
        </references>
      </pivotArea>
    </format>
    <format dxfId="812">
      <pivotArea collapsedLevelsAreSubtotals="1" fieldPosition="0">
        <references count="1">
          <reference field="6" count="1">
            <x v="738"/>
          </reference>
        </references>
      </pivotArea>
    </format>
    <format dxfId="811">
      <pivotArea collapsedLevelsAreSubtotals="1" fieldPosition="0">
        <references count="1">
          <reference field="6" count="1">
            <x v="744"/>
          </reference>
        </references>
      </pivotArea>
    </format>
    <format dxfId="810">
      <pivotArea collapsedLevelsAreSubtotals="1" fieldPosition="0">
        <references count="1">
          <reference field="6" count="1">
            <x v="756"/>
          </reference>
        </references>
      </pivotArea>
    </format>
    <format dxfId="809">
      <pivotArea collapsedLevelsAreSubtotals="1" fieldPosition="0">
        <references count="1">
          <reference field="6" count="1">
            <x v="759"/>
          </reference>
        </references>
      </pivotArea>
    </format>
    <format dxfId="808">
      <pivotArea collapsedLevelsAreSubtotals="1" fieldPosition="0">
        <references count="1">
          <reference field="6" count="1">
            <x v="761"/>
          </reference>
        </references>
      </pivotArea>
    </format>
    <format dxfId="807">
      <pivotArea collapsedLevelsAreSubtotals="1" fieldPosition="0">
        <references count="1">
          <reference field="6" count="1">
            <x v="766"/>
          </reference>
        </references>
      </pivotArea>
    </format>
    <format dxfId="806">
      <pivotArea collapsedLevelsAreSubtotals="1" fieldPosition="0">
        <references count="1">
          <reference field="6" count="1">
            <x v="767"/>
          </reference>
        </references>
      </pivotArea>
    </format>
    <format dxfId="805">
      <pivotArea collapsedLevelsAreSubtotals="1" fieldPosition="0">
        <references count="1">
          <reference field="6" count="1">
            <x v="770"/>
          </reference>
        </references>
      </pivotArea>
    </format>
    <format dxfId="804">
      <pivotArea collapsedLevelsAreSubtotals="1" fieldPosition="0">
        <references count="1">
          <reference field="6" count="1">
            <x v="772"/>
          </reference>
        </references>
      </pivotArea>
    </format>
    <format dxfId="803">
      <pivotArea collapsedLevelsAreSubtotals="1" fieldPosition="0">
        <references count="1">
          <reference field="6" count="1">
            <x v="774"/>
          </reference>
        </references>
      </pivotArea>
    </format>
    <format dxfId="802">
      <pivotArea collapsedLevelsAreSubtotals="1" fieldPosition="0">
        <references count="1">
          <reference field="6" count="1">
            <x v="778"/>
          </reference>
        </references>
      </pivotArea>
    </format>
    <format dxfId="801">
      <pivotArea collapsedLevelsAreSubtotals="1" fieldPosition="0">
        <references count="1">
          <reference field="6" count="1">
            <x v="780"/>
          </reference>
        </references>
      </pivotArea>
    </format>
    <format dxfId="800">
      <pivotArea collapsedLevelsAreSubtotals="1" fieldPosition="0">
        <references count="1">
          <reference field="6" count="1">
            <x v="789"/>
          </reference>
        </references>
      </pivotArea>
    </format>
    <format dxfId="799">
      <pivotArea collapsedLevelsAreSubtotals="1" fieldPosition="0">
        <references count="1">
          <reference field="6" count="1">
            <x v="804"/>
          </reference>
        </references>
      </pivotArea>
    </format>
    <format dxfId="798">
      <pivotArea collapsedLevelsAreSubtotals="1" fieldPosition="0">
        <references count="1">
          <reference field="6" count="1">
            <x v="806"/>
          </reference>
        </references>
      </pivotArea>
    </format>
    <format dxfId="797">
      <pivotArea collapsedLevelsAreSubtotals="1" fieldPosition="0">
        <references count="1">
          <reference field="6" count="1">
            <x v="807"/>
          </reference>
        </references>
      </pivotArea>
    </format>
    <format dxfId="796">
      <pivotArea collapsedLevelsAreSubtotals="1" fieldPosition="0">
        <references count="1">
          <reference field="6" count="1">
            <x v="808"/>
          </reference>
        </references>
      </pivotArea>
    </format>
    <format dxfId="795">
      <pivotArea collapsedLevelsAreSubtotals="1" fieldPosition="0">
        <references count="1">
          <reference field="6" count="1">
            <x v="809"/>
          </reference>
        </references>
      </pivotArea>
    </format>
    <format dxfId="794">
      <pivotArea collapsedLevelsAreSubtotals="1" fieldPosition="0">
        <references count="1">
          <reference field="6" count="1">
            <x v="812"/>
          </reference>
        </references>
      </pivotArea>
    </format>
    <format dxfId="793">
      <pivotArea collapsedLevelsAreSubtotals="1" fieldPosition="0">
        <references count="1">
          <reference field="6" count="1">
            <x v="813"/>
          </reference>
        </references>
      </pivotArea>
    </format>
    <format dxfId="792">
      <pivotArea collapsedLevelsAreSubtotals="1" fieldPosition="0">
        <references count="1">
          <reference field="6" count="1">
            <x v="826"/>
          </reference>
        </references>
      </pivotArea>
    </format>
    <format dxfId="791">
      <pivotArea collapsedLevelsAreSubtotals="1" fieldPosition="0">
        <references count="1">
          <reference field="6" count="1">
            <x v="827"/>
          </reference>
        </references>
      </pivotArea>
    </format>
    <format dxfId="790">
      <pivotArea collapsedLevelsAreSubtotals="1" fieldPosition="0">
        <references count="1">
          <reference field="6" count="1">
            <x v="830"/>
          </reference>
        </references>
      </pivotArea>
    </format>
    <format dxfId="789">
      <pivotArea collapsedLevelsAreSubtotals="1" fieldPosition="0">
        <references count="1">
          <reference field="6" count="1">
            <x v="845"/>
          </reference>
        </references>
      </pivotArea>
    </format>
    <format dxfId="788">
      <pivotArea collapsedLevelsAreSubtotals="1" fieldPosition="0">
        <references count="1">
          <reference field="6" count="1">
            <x v="846"/>
          </reference>
        </references>
      </pivotArea>
    </format>
    <format dxfId="787">
      <pivotArea collapsedLevelsAreSubtotals="1" fieldPosition="0">
        <references count="1">
          <reference field="6" count="1">
            <x v="850"/>
          </reference>
        </references>
      </pivotArea>
    </format>
    <format dxfId="786">
      <pivotArea collapsedLevelsAreSubtotals="1" fieldPosition="0">
        <references count="1">
          <reference field="6" count="1">
            <x v="855"/>
          </reference>
        </references>
      </pivotArea>
    </format>
    <format dxfId="785">
      <pivotArea collapsedLevelsAreSubtotals="1" fieldPosition="0">
        <references count="1">
          <reference field="6" count="1">
            <x v="856"/>
          </reference>
        </references>
      </pivotArea>
    </format>
    <format dxfId="784">
      <pivotArea collapsedLevelsAreSubtotals="1" fieldPosition="0">
        <references count="1">
          <reference field="6" count="1">
            <x v="857"/>
          </reference>
        </references>
      </pivotArea>
    </format>
    <format dxfId="783">
      <pivotArea collapsedLevelsAreSubtotals="1" fieldPosition="0">
        <references count="1">
          <reference field="6" count="1">
            <x v="859"/>
          </reference>
        </references>
      </pivotArea>
    </format>
    <format dxfId="782">
      <pivotArea collapsedLevelsAreSubtotals="1" fieldPosition="0">
        <references count="1">
          <reference field="6" count="1">
            <x v="860"/>
          </reference>
        </references>
      </pivotArea>
    </format>
    <format dxfId="781">
      <pivotArea collapsedLevelsAreSubtotals="1" fieldPosition="0">
        <references count="1">
          <reference field="6" count="1">
            <x v="868"/>
          </reference>
        </references>
      </pivotArea>
    </format>
    <format dxfId="780">
      <pivotArea collapsedLevelsAreSubtotals="1" fieldPosition="0">
        <references count="1">
          <reference field="6" count="1">
            <x v="870"/>
          </reference>
        </references>
      </pivotArea>
    </format>
    <format dxfId="779">
      <pivotArea collapsedLevelsAreSubtotals="1" fieldPosition="0">
        <references count="1">
          <reference field="6" count="1">
            <x v="872"/>
          </reference>
        </references>
      </pivotArea>
    </format>
    <format dxfId="778">
      <pivotArea collapsedLevelsAreSubtotals="1" fieldPosition="0">
        <references count="1">
          <reference field="6" count="1">
            <x v="878"/>
          </reference>
        </references>
      </pivotArea>
    </format>
    <format dxfId="777">
      <pivotArea collapsedLevelsAreSubtotals="1" fieldPosition="0">
        <references count="1">
          <reference field="6" count="1">
            <x v="879"/>
          </reference>
        </references>
      </pivotArea>
    </format>
    <format dxfId="776">
      <pivotArea collapsedLevelsAreSubtotals="1" fieldPosition="0">
        <references count="1">
          <reference field="6" count="1">
            <x v="882"/>
          </reference>
        </references>
      </pivotArea>
    </format>
    <format dxfId="775">
      <pivotArea collapsedLevelsAreSubtotals="1" fieldPosition="0">
        <references count="1">
          <reference field="6" count="1">
            <x v="885"/>
          </reference>
        </references>
      </pivotArea>
    </format>
    <format dxfId="774">
      <pivotArea collapsedLevelsAreSubtotals="1" fieldPosition="0">
        <references count="1">
          <reference field="6" count="1">
            <x v="887"/>
          </reference>
        </references>
      </pivotArea>
    </format>
    <format dxfId="773">
      <pivotArea collapsedLevelsAreSubtotals="1" fieldPosition="0">
        <references count="1">
          <reference field="6" count="1">
            <x v="888"/>
          </reference>
        </references>
      </pivotArea>
    </format>
    <format dxfId="772">
      <pivotArea collapsedLevelsAreSubtotals="1" fieldPosition="0">
        <references count="1">
          <reference field="6" count="1">
            <x v="897"/>
          </reference>
        </references>
      </pivotArea>
    </format>
    <format dxfId="771">
      <pivotArea collapsedLevelsAreSubtotals="1" fieldPosition="0">
        <references count="1">
          <reference field="6" count="1">
            <x v="901"/>
          </reference>
        </references>
      </pivotArea>
    </format>
    <format dxfId="770">
      <pivotArea collapsedLevelsAreSubtotals="1" fieldPosition="0">
        <references count="1">
          <reference field="6" count="1">
            <x v="904"/>
          </reference>
        </references>
      </pivotArea>
    </format>
    <format dxfId="769">
      <pivotArea collapsedLevelsAreSubtotals="1" fieldPosition="0">
        <references count="1">
          <reference field="6" count="1">
            <x v="910"/>
          </reference>
        </references>
      </pivotArea>
    </format>
    <format dxfId="768">
      <pivotArea collapsedLevelsAreSubtotals="1" fieldPosition="0">
        <references count="1">
          <reference field="6" count="1">
            <x v="916"/>
          </reference>
        </references>
      </pivotArea>
    </format>
    <format dxfId="767">
      <pivotArea collapsedLevelsAreSubtotals="1" fieldPosition="0">
        <references count="1">
          <reference field="6" count="1">
            <x v="923"/>
          </reference>
        </references>
      </pivotArea>
    </format>
    <format dxfId="766">
      <pivotArea collapsedLevelsAreSubtotals="1" fieldPosition="0">
        <references count="1">
          <reference field="6" count="1">
            <x v="928"/>
          </reference>
        </references>
      </pivotArea>
    </format>
    <format dxfId="765">
      <pivotArea collapsedLevelsAreSubtotals="1" fieldPosition="0">
        <references count="1">
          <reference field="6" count="1">
            <x v="932"/>
          </reference>
        </references>
      </pivotArea>
    </format>
    <format dxfId="764">
      <pivotArea collapsedLevelsAreSubtotals="1" fieldPosition="0">
        <references count="1">
          <reference field="6" count="1">
            <x v="940"/>
          </reference>
        </references>
      </pivotArea>
    </format>
    <format dxfId="763">
      <pivotArea collapsedLevelsAreSubtotals="1" fieldPosition="0">
        <references count="1">
          <reference field="6" count="1">
            <x v="948"/>
          </reference>
        </references>
      </pivotArea>
    </format>
    <format dxfId="762">
      <pivotArea collapsedLevelsAreSubtotals="1" fieldPosition="0">
        <references count="1">
          <reference field="6" count="1">
            <x v="949"/>
          </reference>
        </references>
      </pivotArea>
    </format>
    <format dxfId="761">
      <pivotArea collapsedLevelsAreSubtotals="1" fieldPosition="0">
        <references count="1">
          <reference field="6" count="1">
            <x v="952"/>
          </reference>
        </references>
      </pivotArea>
    </format>
    <format dxfId="760">
      <pivotArea collapsedLevelsAreSubtotals="1" fieldPosition="0">
        <references count="1">
          <reference field="6" count="1">
            <x v="954"/>
          </reference>
        </references>
      </pivotArea>
    </format>
    <format dxfId="759">
      <pivotArea collapsedLevelsAreSubtotals="1" fieldPosition="0">
        <references count="1">
          <reference field="6" count="1">
            <x v="968"/>
          </reference>
        </references>
      </pivotArea>
    </format>
    <format dxfId="758">
      <pivotArea collapsedLevelsAreSubtotals="1" fieldPosition="0">
        <references count="1">
          <reference field="6" count="1">
            <x v="969"/>
          </reference>
        </references>
      </pivotArea>
    </format>
    <format dxfId="757">
      <pivotArea collapsedLevelsAreSubtotals="1" fieldPosition="0">
        <references count="1">
          <reference field="6" count="1">
            <x v="970"/>
          </reference>
        </references>
      </pivotArea>
    </format>
    <format dxfId="756">
      <pivotArea collapsedLevelsAreSubtotals="1" fieldPosition="0">
        <references count="1">
          <reference field="6" count="1">
            <x v="971"/>
          </reference>
        </references>
      </pivotArea>
    </format>
    <format dxfId="755">
      <pivotArea collapsedLevelsAreSubtotals="1" fieldPosition="0">
        <references count="1">
          <reference field="6" count="1">
            <x v="973"/>
          </reference>
        </references>
      </pivotArea>
    </format>
    <format dxfId="754">
      <pivotArea collapsedLevelsAreSubtotals="1" fieldPosition="0">
        <references count="1">
          <reference field="6" count="1">
            <x v="977"/>
          </reference>
        </references>
      </pivotArea>
    </format>
    <format dxfId="753">
      <pivotArea collapsedLevelsAreSubtotals="1" fieldPosition="0">
        <references count="1">
          <reference field="6" count="1">
            <x v="991"/>
          </reference>
        </references>
      </pivotArea>
    </format>
    <format dxfId="752">
      <pivotArea collapsedLevelsAreSubtotals="1" fieldPosition="0">
        <references count="1">
          <reference field="6" count="1">
            <x v="1001"/>
          </reference>
        </references>
      </pivotArea>
    </format>
    <format dxfId="751">
      <pivotArea collapsedLevelsAreSubtotals="1" fieldPosition="0">
        <references count="1">
          <reference field="6" count="1">
            <x v="1002"/>
          </reference>
        </references>
      </pivotArea>
    </format>
    <format dxfId="750">
      <pivotArea collapsedLevelsAreSubtotals="1" fieldPosition="0">
        <references count="1">
          <reference field="6" count="1">
            <x v="1008"/>
          </reference>
        </references>
      </pivotArea>
    </format>
    <format dxfId="749">
      <pivotArea collapsedLevelsAreSubtotals="1" fieldPosition="0">
        <references count="1">
          <reference field="6" count="1">
            <x v="1020"/>
          </reference>
        </references>
      </pivotArea>
    </format>
    <format dxfId="748">
      <pivotArea collapsedLevelsAreSubtotals="1" fieldPosition="0">
        <references count="1">
          <reference field="6" count="1">
            <x v="1022"/>
          </reference>
        </references>
      </pivotArea>
    </format>
    <format dxfId="747">
      <pivotArea collapsedLevelsAreSubtotals="1" fieldPosition="0">
        <references count="1">
          <reference field="6" count="1">
            <x v="1028"/>
          </reference>
        </references>
      </pivotArea>
    </format>
    <format dxfId="746">
      <pivotArea collapsedLevelsAreSubtotals="1" fieldPosition="0">
        <references count="1">
          <reference field="6" count="1">
            <x v="1032"/>
          </reference>
        </references>
      </pivotArea>
    </format>
    <format dxfId="745">
      <pivotArea collapsedLevelsAreSubtotals="1" fieldPosition="0">
        <references count="1">
          <reference field="6" count="1">
            <x v="1033"/>
          </reference>
        </references>
      </pivotArea>
    </format>
    <format dxfId="744">
      <pivotArea collapsedLevelsAreSubtotals="1" fieldPosition="0">
        <references count="1">
          <reference field="6" count="1">
            <x v="1034"/>
          </reference>
        </references>
      </pivotArea>
    </format>
    <format dxfId="743">
      <pivotArea collapsedLevelsAreSubtotals="1" fieldPosition="0">
        <references count="1">
          <reference field="6" count="1">
            <x v="1037"/>
          </reference>
        </references>
      </pivotArea>
    </format>
    <format dxfId="742">
      <pivotArea collapsedLevelsAreSubtotals="1" fieldPosition="0">
        <references count="1">
          <reference field="6" count="1">
            <x v="1038"/>
          </reference>
        </references>
      </pivotArea>
    </format>
    <format dxfId="741">
      <pivotArea collapsedLevelsAreSubtotals="1" fieldPosition="0">
        <references count="1">
          <reference field="6" count="1">
            <x v="1039"/>
          </reference>
        </references>
      </pivotArea>
    </format>
    <format dxfId="740">
      <pivotArea collapsedLevelsAreSubtotals="1" fieldPosition="0">
        <references count="1">
          <reference field="6" count="1">
            <x v="1040"/>
          </reference>
        </references>
      </pivotArea>
    </format>
    <format dxfId="739">
      <pivotArea collapsedLevelsAreSubtotals="1" fieldPosition="0">
        <references count="1">
          <reference field="6" count="1">
            <x v="1046"/>
          </reference>
        </references>
      </pivotArea>
    </format>
    <format dxfId="738">
      <pivotArea collapsedLevelsAreSubtotals="1" fieldPosition="0">
        <references count="1">
          <reference field="6" count="1">
            <x v="1047"/>
          </reference>
        </references>
      </pivotArea>
    </format>
    <format dxfId="737">
      <pivotArea collapsedLevelsAreSubtotals="1" fieldPosition="0">
        <references count="1">
          <reference field="6" count="1">
            <x v="1048"/>
          </reference>
        </references>
      </pivotArea>
    </format>
    <format dxfId="736">
      <pivotArea collapsedLevelsAreSubtotals="1" fieldPosition="0">
        <references count="1">
          <reference field="6" count="1">
            <x v="1057"/>
          </reference>
        </references>
      </pivotArea>
    </format>
    <format dxfId="735">
      <pivotArea collapsedLevelsAreSubtotals="1" fieldPosition="0">
        <references count="1">
          <reference field="6" count="1">
            <x v="1058"/>
          </reference>
        </references>
      </pivotArea>
    </format>
    <format dxfId="734">
      <pivotArea collapsedLevelsAreSubtotals="1" fieldPosition="0">
        <references count="1">
          <reference field="6" count="1">
            <x v="1059"/>
          </reference>
        </references>
      </pivotArea>
    </format>
    <format dxfId="733">
      <pivotArea collapsedLevelsAreSubtotals="1" fieldPosition="0">
        <references count="1">
          <reference field="6" count="1">
            <x v="1060"/>
          </reference>
        </references>
      </pivotArea>
    </format>
    <format dxfId="732">
      <pivotArea collapsedLevelsAreSubtotals="1" fieldPosition="0">
        <references count="1">
          <reference field="6" count="1">
            <x v="1062"/>
          </reference>
        </references>
      </pivotArea>
    </format>
    <format dxfId="731">
      <pivotArea collapsedLevelsAreSubtotals="1" fieldPosition="0">
        <references count="1">
          <reference field="6" count="1">
            <x v="1063"/>
          </reference>
        </references>
      </pivotArea>
    </format>
    <format dxfId="730">
      <pivotArea collapsedLevelsAreSubtotals="1" fieldPosition="0">
        <references count="1">
          <reference field="6" count="1">
            <x v="1072"/>
          </reference>
        </references>
      </pivotArea>
    </format>
    <format dxfId="729">
      <pivotArea collapsedLevelsAreSubtotals="1" fieldPosition="0">
        <references count="1">
          <reference field="6" count="1">
            <x v="1074"/>
          </reference>
        </references>
      </pivotArea>
    </format>
    <format dxfId="728">
      <pivotArea collapsedLevelsAreSubtotals="1" fieldPosition="0">
        <references count="1">
          <reference field="6" count="1">
            <x v="1079"/>
          </reference>
        </references>
      </pivotArea>
    </format>
    <format dxfId="727">
      <pivotArea collapsedLevelsAreSubtotals="1" fieldPosition="0">
        <references count="1">
          <reference field="6" count="1">
            <x v="1087"/>
          </reference>
        </references>
      </pivotArea>
    </format>
    <format dxfId="726">
      <pivotArea collapsedLevelsAreSubtotals="1" fieldPosition="0">
        <references count="1">
          <reference field="6" count="1">
            <x v="1088"/>
          </reference>
        </references>
      </pivotArea>
    </format>
    <format dxfId="725">
      <pivotArea collapsedLevelsAreSubtotals="1" fieldPosition="0">
        <references count="1">
          <reference field="6" count="1">
            <x v="1109"/>
          </reference>
        </references>
      </pivotArea>
    </format>
    <format dxfId="724">
      <pivotArea collapsedLevelsAreSubtotals="1" fieldPosition="0">
        <references count="1">
          <reference field="6" count="1">
            <x v="1116"/>
          </reference>
        </references>
      </pivotArea>
    </format>
    <format dxfId="723">
      <pivotArea collapsedLevelsAreSubtotals="1" fieldPosition="0">
        <references count="1">
          <reference field="6" count="1">
            <x v="1129"/>
          </reference>
        </references>
      </pivotArea>
    </format>
    <format dxfId="722">
      <pivotArea collapsedLevelsAreSubtotals="1" fieldPosition="0">
        <references count="1">
          <reference field="6" count="1">
            <x v="1130"/>
          </reference>
        </references>
      </pivotArea>
    </format>
    <format dxfId="721">
      <pivotArea collapsedLevelsAreSubtotals="1" fieldPosition="0">
        <references count="1">
          <reference field="6" count="1">
            <x v="1131"/>
          </reference>
        </references>
      </pivotArea>
    </format>
    <format dxfId="720">
      <pivotArea collapsedLevelsAreSubtotals="1" fieldPosition="0">
        <references count="1">
          <reference field="6" count="1">
            <x v="1134"/>
          </reference>
        </references>
      </pivotArea>
    </format>
    <format dxfId="719">
      <pivotArea collapsedLevelsAreSubtotals="1" fieldPosition="0">
        <references count="1">
          <reference field="6" count="1">
            <x v="1141"/>
          </reference>
        </references>
      </pivotArea>
    </format>
    <format dxfId="718">
      <pivotArea collapsedLevelsAreSubtotals="1" fieldPosition="0">
        <references count="1">
          <reference field="6" count="1">
            <x v="1146"/>
          </reference>
        </references>
      </pivotArea>
    </format>
    <format dxfId="717">
      <pivotArea collapsedLevelsAreSubtotals="1" fieldPosition="0">
        <references count="1">
          <reference field="6" count="1">
            <x v="1149"/>
          </reference>
        </references>
      </pivotArea>
    </format>
    <format dxfId="716">
      <pivotArea collapsedLevelsAreSubtotals="1" fieldPosition="0">
        <references count="1">
          <reference field="6" count="1">
            <x v="1153"/>
          </reference>
        </references>
      </pivotArea>
    </format>
    <format dxfId="715">
      <pivotArea collapsedLevelsAreSubtotals="1" fieldPosition="0">
        <references count="1">
          <reference field="6" count="1">
            <x v="1161"/>
          </reference>
        </references>
      </pivotArea>
    </format>
    <format dxfId="714">
      <pivotArea collapsedLevelsAreSubtotals="1" fieldPosition="0">
        <references count="1">
          <reference field="6" count="1">
            <x v="1166"/>
          </reference>
        </references>
      </pivotArea>
    </format>
    <format dxfId="713">
      <pivotArea collapsedLevelsAreSubtotals="1" fieldPosition="0">
        <references count="1">
          <reference field="6" count="1">
            <x v="1167"/>
          </reference>
        </references>
      </pivotArea>
    </format>
    <format dxfId="712">
      <pivotArea collapsedLevelsAreSubtotals="1" fieldPosition="0">
        <references count="1">
          <reference field="6" count="1">
            <x v="1168"/>
          </reference>
        </references>
      </pivotArea>
    </format>
    <format dxfId="711">
      <pivotArea collapsedLevelsAreSubtotals="1" fieldPosition="0">
        <references count="1">
          <reference field="6" count="1">
            <x v="1170"/>
          </reference>
        </references>
      </pivotArea>
    </format>
    <format dxfId="710">
      <pivotArea collapsedLevelsAreSubtotals="1" fieldPosition="0">
        <references count="1">
          <reference field="6" count="1">
            <x v="1174"/>
          </reference>
        </references>
      </pivotArea>
    </format>
    <format dxfId="709">
      <pivotArea collapsedLevelsAreSubtotals="1" fieldPosition="0">
        <references count="1">
          <reference field="6" count="1">
            <x v="1176"/>
          </reference>
        </references>
      </pivotArea>
    </format>
    <format dxfId="708">
      <pivotArea collapsedLevelsAreSubtotals="1" fieldPosition="0">
        <references count="1">
          <reference field="6" count="1">
            <x v="1178"/>
          </reference>
        </references>
      </pivotArea>
    </format>
    <format dxfId="707">
      <pivotArea collapsedLevelsAreSubtotals="1" fieldPosition="0">
        <references count="1">
          <reference field="6" count="1">
            <x v="1186"/>
          </reference>
        </references>
      </pivotArea>
    </format>
    <format dxfId="706">
      <pivotArea collapsedLevelsAreSubtotals="1" fieldPosition="0">
        <references count="1">
          <reference field="6" count="1">
            <x v="1189"/>
          </reference>
        </references>
      </pivotArea>
    </format>
    <format dxfId="705">
      <pivotArea collapsedLevelsAreSubtotals="1" fieldPosition="0">
        <references count="1">
          <reference field="6" count="1">
            <x v="1202"/>
          </reference>
        </references>
      </pivotArea>
    </format>
    <format dxfId="704">
      <pivotArea collapsedLevelsAreSubtotals="1" fieldPosition="0">
        <references count="1">
          <reference field="6" count="1">
            <x v="1205"/>
          </reference>
        </references>
      </pivotArea>
    </format>
    <format dxfId="703">
      <pivotArea collapsedLevelsAreSubtotals="1" fieldPosition="0">
        <references count="1">
          <reference field="6" count="1">
            <x v="1211"/>
          </reference>
        </references>
      </pivotArea>
    </format>
    <format dxfId="702">
      <pivotArea collapsedLevelsAreSubtotals="1" fieldPosition="0">
        <references count="1">
          <reference field="6" count="1">
            <x v="1216"/>
          </reference>
        </references>
      </pivotArea>
    </format>
    <format dxfId="701">
      <pivotArea collapsedLevelsAreSubtotals="1" fieldPosition="0">
        <references count="1">
          <reference field="6" count="1">
            <x v="1217"/>
          </reference>
        </references>
      </pivotArea>
    </format>
    <format dxfId="700">
      <pivotArea collapsedLevelsAreSubtotals="1" fieldPosition="0">
        <references count="1">
          <reference field="6" count="1">
            <x v="1223"/>
          </reference>
        </references>
      </pivotArea>
    </format>
    <format dxfId="699">
      <pivotArea collapsedLevelsAreSubtotals="1" fieldPosition="0">
        <references count="1">
          <reference field="6" count="1">
            <x v="1226"/>
          </reference>
        </references>
      </pivotArea>
    </format>
    <format dxfId="698">
      <pivotArea collapsedLevelsAreSubtotals="1" fieldPosition="0">
        <references count="1">
          <reference field="6" count="1">
            <x v="1228"/>
          </reference>
        </references>
      </pivotArea>
    </format>
    <format dxfId="697">
      <pivotArea collapsedLevelsAreSubtotals="1" fieldPosition="0">
        <references count="1">
          <reference field="6" count="1">
            <x v="1234"/>
          </reference>
        </references>
      </pivotArea>
    </format>
    <format dxfId="696">
      <pivotArea collapsedLevelsAreSubtotals="1" fieldPosition="0">
        <references count="1">
          <reference field="6" count="1">
            <x v="1245"/>
          </reference>
        </references>
      </pivotArea>
    </format>
    <format dxfId="695">
      <pivotArea collapsedLevelsAreSubtotals="1" fieldPosition="0">
        <references count="1">
          <reference field="6" count="1">
            <x v="1250"/>
          </reference>
        </references>
      </pivotArea>
    </format>
    <format dxfId="694">
      <pivotArea collapsedLevelsAreSubtotals="1" fieldPosition="0">
        <references count="1">
          <reference field="6" count="1">
            <x v="1254"/>
          </reference>
        </references>
      </pivotArea>
    </format>
    <format dxfId="693">
      <pivotArea collapsedLevelsAreSubtotals="1" fieldPosition="0">
        <references count="1">
          <reference field="6" count="1">
            <x v="1272"/>
          </reference>
        </references>
      </pivotArea>
    </format>
    <format dxfId="692">
      <pivotArea collapsedLevelsAreSubtotals="1" fieldPosition="0">
        <references count="1">
          <reference field="6" count="1">
            <x v="1279"/>
          </reference>
        </references>
      </pivotArea>
    </format>
    <format dxfId="691">
      <pivotArea collapsedLevelsAreSubtotals="1" fieldPosition="0">
        <references count="1">
          <reference field="6" count="1">
            <x v="1284"/>
          </reference>
        </references>
      </pivotArea>
    </format>
    <format dxfId="690">
      <pivotArea collapsedLevelsAreSubtotals="1" fieldPosition="0">
        <references count="1">
          <reference field="6" count="1">
            <x v="1286"/>
          </reference>
        </references>
      </pivotArea>
    </format>
    <format dxfId="689">
      <pivotArea collapsedLevelsAreSubtotals="1" fieldPosition="0">
        <references count="1">
          <reference field="6" count="1">
            <x v="1290"/>
          </reference>
        </references>
      </pivotArea>
    </format>
    <format dxfId="688">
      <pivotArea collapsedLevelsAreSubtotals="1" fieldPosition="0">
        <references count="1">
          <reference field="6" count="1">
            <x v="1291"/>
          </reference>
        </references>
      </pivotArea>
    </format>
    <format dxfId="687">
      <pivotArea collapsedLevelsAreSubtotals="1" fieldPosition="0">
        <references count="1">
          <reference field="6" count="1">
            <x v="1298"/>
          </reference>
        </references>
      </pivotArea>
    </format>
    <format dxfId="686">
      <pivotArea collapsedLevelsAreSubtotals="1" fieldPosition="0">
        <references count="1">
          <reference field="6" count="1">
            <x v="1303"/>
          </reference>
        </references>
      </pivotArea>
    </format>
    <format dxfId="685">
      <pivotArea collapsedLevelsAreSubtotals="1" fieldPosition="0">
        <references count="1">
          <reference field="6" count="1">
            <x v="1307"/>
          </reference>
        </references>
      </pivotArea>
    </format>
    <format dxfId="684">
      <pivotArea collapsedLevelsAreSubtotals="1" fieldPosition="0">
        <references count="1">
          <reference field="6" count="1">
            <x v="1310"/>
          </reference>
        </references>
      </pivotArea>
    </format>
    <format dxfId="683">
      <pivotArea collapsedLevelsAreSubtotals="1" fieldPosition="0">
        <references count="1">
          <reference field="6" count="1">
            <x v="1311"/>
          </reference>
        </references>
      </pivotArea>
    </format>
    <format dxfId="682">
      <pivotArea collapsedLevelsAreSubtotals="1" fieldPosition="0">
        <references count="1">
          <reference field="6" count="1">
            <x v="1312"/>
          </reference>
        </references>
      </pivotArea>
    </format>
    <format dxfId="681">
      <pivotArea collapsedLevelsAreSubtotals="1" fieldPosition="0">
        <references count="1">
          <reference field="6" count="1">
            <x v="1325"/>
          </reference>
        </references>
      </pivotArea>
    </format>
    <format dxfId="680">
      <pivotArea collapsedLevelsAreSubtotals="1" fieldPosition="0">
        <references count="1">
          <reference field="6" count="1">
            <x v="1331"/>
          </reference>
        </references>
      </pivotArea>
    </format>
    <format dxfId="679">
      <pivotArea collapsedLevelsAreSubtotals="1" fieldPosition="0">
        <references count="1">
          <reference field="6" count="1">
            <x v="1335"/>
          </reference>
        </references>
      </pivotArea>
    </format>
    <format dxfId="678">
      <pivotArea collapsedLevelsAreSubtotals="1" fieldPosition="0">
        <references count="1">
          <reference field="6" count="1">
            <x v="1337"/>
          </reference>
        </references>
      </pivotArea>
    </format>
    <format dxfId="677">
      <pivotArea collapsedLevelsAreSubtotals="1" fieldPosition="0">
        <references count="1">
          <reference field="6" count="1">
            <x v="1339"/>
          </reference>
        </references>
      </pivotArea>
    </format>
    <format dxfId="676">
      <pivotArea collapsedLevelsAreSubtotals="1" fieldPosition="0">
        <references count="1">
          <reference field="6" count="1">
            <x v="1342"/>
          </reference>
        </references>
      </pivotArea>
    </format>
    <format dxfId="675">
      <pivotArea collapsedLevelsAreSubtotals="1" fieldPosition="0">
        <references count="1">
          <reference field="6" count="1">
            <x v="1347"/>
          </reference>
        </references>
      </pivotArea>
    </format>
    <format dxfId="674">
      <pivotArea collapsedLevelsAreSubtotals="1" fieldPosition="0">
        <references count="1">
          <reference field="6" count="1">
            <x v="1362"/>
          </reference>
        </references>
      </pivotArea>
    </format>
    <format dxfId="673">
      <pivotArea collapsedLevelsAreSubtotals="1" fieldPosition="0">
        <references count="1">
          <reference field="6" count="1">
            <x v="1366"/>
          </reference>
        </references>
      </pivotArea>
    </format>
    <format dxfId="672">
      <pivotArea collapsedLevelsAreSubtotals="1" fieldPosition="0">
        <references count="1">
          <reference field="6" count="1">
            <x v="1369"/>
          </reference>
        </references>
      </pivotArea>
    </format>
    <format dxfId="671">
      <pivotArea collapsedLevelsAreSubtotals="1" fieldPosition="0">
        <references count="1">
          <reference field="6" count="1">
            <x v="1376"/>
          </reference>
        </references>
      </pivotArea>
    </format>
    <format dxfId="670">
      <pivotArea collapsedLevelsAreSubtotals="1" fieldPosition="0">
        <references count="1">
          <reference field="6" count="1">
            <x v="1383"/>
          </reference>
        </references>
      </pivotArea>
    </format>
    <format dxfId="669">
      <pivotArea collapsedLevelsAreSubtotals="1" fieldPosition="0">
        <references count="1">
          <reference field="6" count="1">
            <x v="1390"/>
          </reference>
        </references>
      </pivotArea>
    </format>
    <format dxfId="668">
      <pivotArea collapsedLevelsAreSubtotals="1" fieldPosition="0">
        <references count="1">
          <reference field="6" count="1">
            <x v="1391"/>
          </reference>
        </references>
      </pivotArea>
    </format>
    <format dxfId="667">
      <pivotArea collapsedLevelsAreSubtotals="1" fieldPosition="0">
        <references count="1">
          <reference field="6" count="1">
            <x v="1397"/>
          </reference>
        </references>
      </pivotArea>
    </format>
    <format dxfId="666">
      <pivotArea collapsedLevelsAreSubtotals="1" fieldPosition="0">
        <references count="1">
          <reference field="6" count="1">
            <x v="1399"/>
          </reference>
        </references>
      </pivotArea>
    </format>
    <format dxfId="665">
      <pivotArea collapsedLevelsAreSubtotals="1" fieldPosition="0">
        <references count="1">
          <reference field="6" count="1">
            <x v="1411"/>
          </reference>
        </references>
      </pivotArea>
    </format>
    <format dxfId="664">
      <pivotArea collapsedLevelsAreSubtotals="1" fieldPosition="0">
        <references count="1">
          <reference field="6" count="1">
            <x v="1413"/>
          </reference>
        </references>
      </pivotArea>
    </format>
    <format dxfId="663">
      <pivotArea collapsedLevelsAreSubtotals="1" fieldPosition="0">
        <references count="1">
          <reference field="6" count="1">
            <x v="1423"/>
          </reference>
        </references>
      </pivotArea>
    </format>
    <format dxfId="662">
      <pivotArea collapsedLevelsAreSubtotals="1" fieldPosition="0">
        <references count="1">
          <reference field="6" count="1">
            <x v="1425"/>
          </reference>
        </references>
      </pivotArea>
    </format>
    <format dxfId="661">
      <pivotArea collapsedLevelsAreSubtotals="1" fieldPosition="0">
        <references count="1">
          <reference field="6" count="1">
            <x v="1428"/>
          </reference>
        </references>
      </pivotArea>
    </format>
    <format dxfId="660">
      <pivotArea collapsedLevelsAreSubtotals="1" fieldPosition="0">
        <references count="1">
          <reference field="6" count="1">
            <x v="1436"/>
          </reference>
        </references>
      </pivotArea>
    </format>
    <format dxfId="659">
      <pivotArea collapsedLevelsAreSubtotals="1" fieldPosition="0">
        <references count="1">
          <reference field="6" count="1">
            <x v="1438"/>
          </reference>
        </references>
      </pivotArea>
    </format>
    <format dxfId="658">
      <pivotArea collapsedLevelsAreSubtotals="1" fieldPosition="0">
        <references count="1">
          <reference field="6" count="1">
            <x v="1440"/>
          </reference>
        </references>
      </pivotArea>
    </format>
    <format dxfId="657">
      <pivotArea collapsedLevelsAreSubtotals="1" fieldPosition="0">
        <references count="1">
          <reference field="6" count="1">
            <x v="1443"/>
          </reference>
        </references>
      </pivotArea>
    </format>
    <format dxfId="656">
      <pivotArea collapsedLevelsAreSubtotals="1" fieldPosition="0">
        <references count="1">
          <reference field="6" count="1">
            <x v="1450"/>
          </reference>
        </references>
      </pivotArea>
    </format>
    <format dxfId="655">
      <pivotArea collapsedLevelsAreSubtotals="1" fieldPosition="0">
        <references count="1">
          <reference field="6" count="1">
            <x v="1452"/>
          </reference>
        </references>
      </pivotArea>
    </format>
    <format dxfId="654">
      <pivotArea collapsedLevelsAreSubtotals="1" fieldPosition="0">
        <references count="1">
          <reference field="6" count="1">
            <x v="1453"/>
          </reference>
        </references>
      </pivotArea>
    </format>
    <format dxfId="653">
      <pivotArea collapsedLevelsAreSubtotals="1" fieldPosition="0">
        <references count="1">
          <reference field="6" count="1">
            <x v="1468"/>
          </reference>
        </references>
      </pivotArea>
    </format>
    <format dxfId="652">
      <pivotArea collapsedLevelsAreSubtotals="1" fieldPosition="0">
        <references count="1">
          <reference field="6" count="1">
            <x v="1478"/>
          </reference>
        </references>
      </pivotArea>
    </format>
    <format dxfId="651">
      <pivotArea collapsedLevelsAreSubtotals="1" fieldPosition="0">
        <references count="1">
          <reference field="6" count="1">
            <x v="1488"/>
          </reference>
        </references>
      </pivotArea>
    </format>
    <format dxfId="650">
      <pivotArea collapsedLevelsAreSubtotals="1" fieldPosition="0">
        <references count="1">
          <reference field="6" count="1">
            <x v="1489"/>
          </reference>
        </references>
      </pivotArea>
    </format>
    <format dxfId="649">
      <pivotArea collapsedLevelsAreSubtotals="1" fieldPosition="0">
        <references count="1">
          <reference field="6" count="1">
            <x v="1497"/>
          </reference>
        </references>
      </pivotArea>
    </format>
    <format dxfId="648">
      <pivotArea collapsedLevelsAreSubtotals="1" fieldPosition="0">
        <references count="1">
          <reference field="6" count="1">
            <x v="1503"/>
          </reference>
        </references>
      </pivotArea>
    </format>
    <format dxfId="647">
      <pivotArea collapsedLevelsAreSubtotals="1" fieldPosition="0">
        <references count="1">
          <reference field="6" count="1">
            <x v="1504"/>
          </reference>
        </references>
      </pivotArea>
    </format>
    <format dxfId="646">
      <pivotArea collapsedLevelsAreSubtotals="1" fieldPosition="0">
        <references count="1">
          <reference field="6" count="1">
            <x v="1517"/>
          </reference>
        </references>
      </pivotArea>
    </format>
    <format dxfId="645">
      <pivotArea collapsedLevelsAreSubtotals="1" fieldPosition="0">
        <references count="1">
          <reference field="6" count="1">
            <x v="1520"/>
          </reference>
        </references>
      </pivotArea>
    </format>
    <format dxfId="644">
      <pivotArea collapsedLevelsAreSubtotals="1" fieldPosition="0">
        <references count="1">
          <reference field="6" count="1">
            <x v="1521"/>
          </reference>
        </references>
      </pivotArea>
    </format>
    <format dxfId="643">
      <pivotArea collapsedLevelsAreSubtotals="1" fieldPosition="0">
        <references count="1">
          <reference field="6" count="1">
            <x v="1527"/>
          </reference>
        </references>
      </pivotArea>
    </format>
    <format dxfId="642">
      <pivotArea collapsedLevelsAreSubtotals="1" fieldPosition="0">
        <references count="1">
          <reference field="6" count="1">
            <x v="1529"/>
          </reference>
        </references>
      </pivotArea>
    </format>
    <format dxfId="641">
      <pivotArea collapsedLevelsAreSubtotals="1" fieldPosition="0">
        <references count="1">
          <reference field="6" count="1">
            <x v="1533"/>
          </reference>
        </references>
      </pivotArea>
    </format>
    <format dxfId="640">
      <pivotArea collapsedLevelsAreSubtotals="1" fieldPosition="0">
        <references count="1">
          <reference field="6" count="1">
            <x v="1535"/>
          </reference>
        </references>
      </pivotArea>
    </format>
    <format dxfId="639">
      <pivotArea collapsedLevelsAreSubtotals="1" fieldPosition="0">
        <references count="1">
          <reference field="6" count="1">
            <x v="1547"/>
          </reference>
        </references>
      </pivotArea>
    </format>
    <format dxfId="638">
      <pivotArea collapsedLevelsAreSubtotals="1" fieldPosition="0">
        <references count="1">
          <reference field="6" count="1">
            <x v="1551"/>
          </reference>
        </references>
      </pivotArea>
    </format>
    <format dxfId="637">
      <pivotArea collapsedLevelsAreSubtotals="1" fieldPosition="0">
        <references count="1">
          <reference field="6" count="1">
            <x v="1553"/>
          </reference>
        </references>
      </pivotArea>
    </format>
    <format dxfId="636">
      <pivotArea collapsedLevelsAreSubtotals="1" fieldPosition="0">
        <references count="1">
          <reference field="6" count="1">
            <x v="1559"/>
          </reference>
        </references>
      </pivotArea>
    </format>
    <format dxfId="635">
      <pivotArea collapsedLevelsAreSubtotals="1" fieldPosition="0">
        <references count="1">
          <reference field="6" count="1">
            <x v="1562"/>
          </reference>
        </references>
      </pivotArea>
    </format>
    <format dxfId="634">
      <pivotArea collapsedLevelsAreSubtotals="1" fieldPosition="0">
        <references count="1">
          <reference field="6" count="1">
            <x v="1563"/>
          </reference>
        </references>
      </pivotArea>
    </format>
    <format dxfId="633">
      <pivotArea collapsedLevelsAreSubtotals="1" fieldPosition="0">
        <references count="1">
          <reference field="6" count="1">
            <x v="1571"/>
          </reference>
        </references>
      </pivotArea>
    </format>
    <format dxfId="632">
      <pivotArea collapsedLevelsAreSubtotals="1" fieldPosition="0">
        <references count="1">
          <reference field="6" count="1">
            <x v="1573"/>
          </reference>
        </references>
      </pivotArea>
    </format>
    <format dxfId="631">
      <pivotArea collapsedLevelsAreSubtotals="1" fieldPosition="0">
        <references count="1">
          <reference field="6" count="1">
            <x v="1586"/>
          </reference>
        </references>
      </pivotArea>
    </format>
    <format dxfId="630">
      <pivotArea collapsedLevelsAreSubtotals="1" fieldPosition="0">
        <references count="1">
          <reference field="6" count="1">
            <x v="1590"/>
          </reference>
        </references>
      </pivotArea>
    </format>
    <format dxfId="629">
      <pivotArea collapsedLevelsAreSubtotals="1" fieldPosition="0">
        <references count="1">
          <reference field="6" count="1">
            <x v="1593"/>
          </reference>
        </references>
      </pivotArea>
    </format>
    <format dxfId="628">
      <pivotArea collapsedLevelsAreSubtotals="1" fieldPosition="0">
        <references count="1">
          <reference field="6" count="1">
            <x v="1603"/>
          </reference>
        </references>
      </pivotArea>
    </format>
    <format dxfId="627">
      <pivotArea collapsedLevelsAreSubtotals="1" fieldPosition="0">
        <references count="1">
          <reference field="6" count="1">
            <x v="1605"/>
          </reference>
        </references>
      </pivotArea>
    </format>
    <format dxfId="626">
      <pivotArea collapsedLevelsAreSubtotals="1" fieldPosition="0">
        <references count="1">
          <reference field="6" count="1">
            <x v="1608"/>
          </reference>
        </references>
      </pivotArea>
    </format>
    <format dxfId="625">
      <pivotArea collapsedLevelsAreSubtotals="1" fieldPosition="0">
        <references count="1">
          <reference field="6" count="1">
            <x v="1609"/>
          </reference>
        </references>
      </pivotArea>
    </format>
    <format dxfId="624">
      <pivotArea collapsedLevelsAreSubtotals="1" fieldPosition="0">
        <references count="1">
          <reference field="6" count="1">
            <x v="1611"/>
          </reference>
        </references>
      </pivotArea>
    </format>
    <format dxfId="623">
      <pivotArea collapsedLevelsAreSubtotals="1" fieldPosition="0">
        <references count="1">
          <reference field="6" count="1">
            <x v="1612"/>
          </reference>
        </references>
      </pivotArea>
    </format>
    <format dxfId="622">
      <pivotArea collapsedLevelsAreSubtotals="1" fieldPosition="0">
        <references count="1">
          <reference field="6" count="1">
            <x v="1620"/>
          </reference>
        </references>
      </pivotArea>
    </format>
    <format dxfId="621">
      <pivotArea collapsedLevelsAreSubtotals="1" fieldPosition="0">
        <references count="1">
          <reference field="6" count="1">
            <x v="1623"/>
          </reference>
        </references>
      </pivotArea>
    </format>
    <format dxfId="620">
      <pivotArea collapsedLevelsAreSubtotals="1" fieldPosition="0">
        <references count="1">
          <reference field="6" count="1">
            <x v="1635"/>
          </reference>
        </references>
      </pivotArea>
    </format>
    <format dxfId="619">
      <pivotArea collapsedLevelsAreSubtotals="1" fieldPosition="0">
        <references count="1">
          <reference field="6" count="1">
            <x v="1640"/>
          </reference>
        </references>
      </pivotArea>
    </format>
    <format dxfId="618">
      <pivotArea collapsedLevelsAreSubtotals="1" fieldPosition="0">
        <references count="1">
          <reference field="6" count="1">
            <x v="1645"/>
          </reference>
        </references>
      </pivotArea>
    </format>
    <format dxfId="617">
      <pivotArea collapsedLevelsAreSubtotals="1" fieldPosition="0">
        <references count="1">
          <reference field="6" count="1">
            <x v="1646"/>
          </reference>
        </references>
      </pivotArea>
    </format>
    <format dxfId="616">
      <pivotArea collapsedLevelsAreSubtotals="1" fieldPosition="0">
        <references count="1">
          <reference field="6" count="1">
            <x v="1651"/>
          </reference>
        </references>
      </pivotArea>
    </format>
    <format dxfId="615">
      <pivotArea collapsedLevelsAreSubtotals="1" fieldPosition="0">
        <references count="1">
          <reference field="6" count="1">
            <x v="1661"/>
          </reference>
        </references>
      </pivotArea>
    </format>
    <format dxfId="614">
      <pivotArea collapsedLevelsAreSubtotals="1" fieldPosition="0">
        <references count="1">
          <reference field="6" count="1">
            <x v="1662"/>
          </reference>
        </references>
      </pivotArea>
    </format>
    <format dxfId="613">
      <pivotArea collapsedLevelsAreSubtotals="1" fieldPosition="0">
        <references count="1">
          <reference field="6" count="1">
            <x v="1664"/>
          </reference>
        </references>
      </pivotArea>
    </format>
    <format dxfId="612">
      <pivotArea collapsedLevelsAreSubtotals="1" fieldPosition="0">
        <references count="1">
          <reference field="6" count="1">
            <x v="1667"/>
          </reference>
        </references>
      </pivotArea>
    </format>
    <format dxfId="611">
      <pivotArea collapsedLevelsAreSubtotals="1" fieldPosition="0">
        <references count="1">
          <reference field="6" count="1">
            <x v="1669"/>
          </reference>
        </references>
      </pivotArea>
    </format>
    <format dxfId="610">
      <pivotArea collapsedLevelsAreSubtotals="1" fieldPosition="0">
        <references count="1">
          <reference field="6" count="1">
            <x v="1676"/>
          </reference>
        </references>
      </pivotArea>
    </format>
    <format dxfId="609">
      <pivotArea collapsedLevelsAreSubtotals="1" fieldPosition="0">
        <references count="1">
          <reference field="6" count="1">
            <x v="1679"/>
          </reference>
        </references>
      </pivotArea>
    </format>
    <format dxfId="608">
      <pivotArea collapsedLevelsAreSubtotals="1" fieldPosition="0">
        <references count="1">
          <reference field="6" count="1">
            <x v="1683"/>
          </reference>
        </references>
      </pivotArea>
    </format>
    <format dxfId="607">
      <pivotArea collapsedLevelsAreSubtotals="1" fieldPosition="0">
        <references count="1">
          <reference field="6" count="1">
            <x v="1686"/>
          </reference>
        </references>
      </pivotArea>
    </format>
    <format dxfId="606">
      <pivotArea collapsedLevelsAreSubtotals="1" fieldPosition="0">
        <references count="1">
          <reference field="6" count="1">
            <x v="1691"/>
          </reference>
        </references>
      </pivotArea>
    </format>
    <format dxfId="605">
      <pivotArea collapsedLevelsAreSubtotals="1" fieldPosition="0">
        <references count="1">
          <reference field="6" count="1">
            <x v="1696"/>
          </reference>
        </references>
      </pivotArea>
    </format>
    <format dxfId="604">
      <pivotArea collapsedLevelsAreSubtotals="1" fieldPosition="0">
        <references count="1">
          <reference field="6" count="1">
            <x v="1699"/>
          </reference>
        </references>
      </pivotArea>
    </format>
    <format dxfId="603">
      <pivotArea collapsedLevelsAreSubtotals="1" fieldPosition="0">
        <references count="1">
          <reference field="6" count="1">
            <x v="1700"/>
          </reference>
        </references>
      </pivotArea>
    </format>
    <format dxfId="602">
      <pivotArea collapsedLevelsAreSubtotals="1" fieldPosition="0">
        <references count="1">
          <reference field="6" count="1">
            <x v="1704"/>
          </reference>
        </references>
      </pivotArea>
    </format>
    <format dxfId="601">
      <pivotArea collapsedLevelsAreSubtotals="1" fieldPosition="0">
        <references count="1">
          <reference field="6" count="1">
            <x v="1716"/>
          </reference>
        </references>
      </pivotArea>
    </format>
    <format dxfId="600">
      <pivotArea collapsedLevelsAreSubtotals="1" fieldPosition="0">
        <references count="1">
          <reference field="6" count="1">
            <x v="1721"/>
          </reference>
        </references>
      </pivotArea>
    </format>
    <format dxfId="599">
      <pivotArea collapsedLevelsAreSubtotals="1" fieldPosition="0">
        <references count="1">
          <reference field="6" count="1">
            <x v="1724"/>
          </reference>
        </references>
      </pivotArea>
    </format>
    <format dxfId="598">
      <pivotArea collapsedLevelsAreSubtotals="1" fieldPosition="0">
        <references count="1">
          <reference field="6" count="1">
            <x v="1732"/>
          </reference>
        </references>
      </pivotArea>
    </format>
    <format dxfId="597">
      <pivotArea collapsedLevelsAreSubtotals="1" fieldPosition="0">
        <references count="1">
          <reference field="6" count="1">
            <x v="1733"/>
          </reference>
        </references>
      </pivotArea>
    </format>
    <format dxfId="596">
      <pivotArea collapsedLevelsAreSubtotals="1" fieldPosition="0">
        <references count="1">
          <reference field="6" count="1">
            <x v="1734"/>
          </reference>
        </references>
      </pivotArea>
    </format>
    <format dxfId="595">
      <pivotArea collapsedLevelsAreSubtotals="1" fieldPosition="0">
        <references count="1">
          <reference field="6" count="1">
            <x v="1737"/>
          </reference>
        </references>
      </pivotArea>
    </format>
    <format dxfId="594">
      <pivotArea collapsedLevelsAreSubtotals="1" fieldPosition="0">
        <references count="1">
          <reference field="6" count="1">
            <x v="1743"/>
          </reference>
        </references>
      </pivotArea>
    </format>
    <format dxfId="593">
      <pivotArea collapsedLevelsAreSubtotals="1" fieldPosition="0">
        <references count="1">
          <reference field="6" count="1">
            <x v="1745"/>
          </reference>
        </references>
      </pivotArea>
    </format>
    <format dxfId="592">
      <pivotArea collapsedLevelsAreSubtotals="1" fieldPosition="0">
        <references count="1">
          <reference field="6" count="1">
            <x v="1757"/>
          </reference>
        </references>
      </pivotArea>
    </format>
    <format dxfId="591">
      <pivotArea collapsedLevelsAreSubtotals="1" fieldPosition="0">
        <references count="1">
          <reference field="6" count="1">
            <x v="1758"/>
          </reference>
        </references>
      </pivotArea>
    </format>
    <format dxfId="590">
      <pivotArea collapsedLevelsAreSubtotals="1" fieldPosition="0">
        <references count="1">
          <reference field="6" count="1">
            <x v="1759"/>
          </reference>
        </references>
      </pivotArea>
    </format>
    <format dxfId="589">
      <pivotArea collapsedLevelsAreSubtotals="1" fieldPosition="0">
        <references count="1">
          <reference field="6" count="1">
            <x v="1760"/>
          </reference>
        </references>
      </pivotArea>
    </format>
    <format dxfId="588">
      <pivotArea collapsedLevelsAreSubtotals="1" fieldPosition="0">
        <references count="1">
          <reference field="6" count="1">
            <x v="1764"/>
          </reference>
        </references>
      </pivotArea>
    </format>
    <format dxfId="587">
      <pivotArea collapsedLevelsAreSubtotals="1" fieldPosition="0">
        <references count="1">
          <reference field="6" count="1">
            <x v="1770"/>
          </reference>
        </references>
      </pivotArea>
    </format>
    <format dxfId="586">
      <pivotArea collapsedLevelsAreSubtotals="1" fieldPosition="0">
        <references count="1">
          <reference field="6" count="1">
            <x v="1775"/>
          </reference>
        </references>
      </pivotArea>
    </format>
    <format dxfId="585">
      <pivotArea collapsedLevelsAreSubtotals="1" fieldPosition="0">
        <references count="1">
          <reference field="6" count="1">
            <x v="1776"/>
          </reference>
        </references>
      </pivotArea>
    </format>
    <format dxfId="584">
      <pivotArea collapsedLevelsAreSubtotals="1" fieldPosition="0">
        <references count="1">
          <reference field="6" count="1">
            <x v="1785"/>
          </reference>
        </references>
      </pivotArea>
    </format>
    <format dxfId="583">
      <pivotArea collapsedLevelsAreSubtotals="1" fieldPosition="0">
        <references count="1">
          <reference field="6" count="1">
            <x v="1787"/>
          </reference>
        </references>
      </pivotArea>
    </format>
    <format dxfId="582">
      <pivotArea collapsedLevelsAreSubtotals="1" fieldPosition="0">
        <references count="1">
          <reference field="6" count="1">
            <x v="1788"/>
          </reference>
        </references>
      </pivotArea>
    </format>
    <format dxfId="581">
      <pivotArea collapsedLevelsAreSubtotals="1" fieldPosition="0">
        <references count="1">
          <reference field="6" count="1">
            <x v="1789"/>
          </reference>
        </references>
      </pivotArea>
    </format>
    <format dxfId="580">
      <pivotArea collapsedLevelsAreSubtotals="1" fieldPosition="0">
        <references count="1">
          <reference field="6" count="1">
            <x v="1795"/>
          </reference>
        </references>
      </pivotArea>
    </format>
    <format dxfId="579">
      <pivotArea collapsedLevelsAreSubtotals="1" fieldPosition="0">
        <references count="1">
          <reference field="6" count="1">
            <x v="1797"/>
          </reference>
        </references>
      </pivotArea>
    </format>
    <format dxfId="578">
      <pivotArea collapsedLevelsAreSubtotals="1" fieldPosition="0">
        <references count="1">
          <reference field="6" count="1">
            <x v="1800"/>
          </reference>
        </references>
      </pivotArea>
    </format>
    <format dxfId="577">
      <pivotArea collapsedLevelsAreSubtotals="1" fieldPosition="0">
        <references count="1">
          <reference field="6" count="1">
            <x v="1808"/>
          </reference>
        </references>
      </pivotArea>
    </format>
    <format dxfId="576">
      <pivotArea collapsedLevelsAreSubtotals="1" fieldPosition="0">
        <references count="1">
          <reference field="6" count="1">
            <x v="1818"/>
          </reference>
        </references>
      </pivotArea>
    </format>
    <format dxfId="575">
      <pivotArea collapsedLevelsAreSubtotals="1" fieldPosition="0">
        <references count="1">
          <reference field="6" count="1">
            <x v="1819"/>
          </reference>
        </references>
      </pivotArea>
    </format>
    <format dxfId="574">
      <pivotArea collapsedLevelsAreSubtotals="1" fieldPosition="0">
        <references count="1">
          <reference field="6" count="1">
            <x v="1833"/>
          </reference>
        </references>
      </pivotArea>
    </format>
    <format dxfId="573">
      <pivotArea collapsedLevelsAreSubtotals="1" fieldPosition="0">
        <references count="1">
          <reference field="6" count="1">
            <x v="1836"/>
          </reference>
        </references>
      </pivotArea>
    </format>
    <format dxfId="572">
      <pivotArea collapsedLevelsAreSubtotals="1" fieldPosition="0">
        <references count="1">
          <reference field="6" count="1">
            <x v="1843"/>
          </reference>
        </references>
      </pivotArea>
    </format>
    <format dxfId="571">
      <pivotArea collapsedLevelsAreSubtotals="1" fieldPosition="0">
        <references count="1">
          <reference field="6" count="1">
            <x v="1844"/>
          </reference>
        </references>
      </pivotArea>
    </format>
    <format dxfId="570">
      <pivotArea collapsedLevelsAreSubtotals="1" fieldPosition="0">
        <references count="1">
          <reference field="6" count="1">
            <x v="1845"/>
          </reference>
        </references>
      </pivotArea>
    </format>
    <format dxfId="569">
      <pivotArea collapsedLevelsAreSubtotals="1" fieldPosition="0">
        <references count="1">
          <reference field="6" count="1">
            <x v="1848"/>
          </reference>
        </references>
      </pivotArea>
    </format>
    <format dxfId="568">
      <pivotArea collapsedLevelsAreSubtotals="1" fieldPosition="0">
        <references count="1">
          <reference field="6" count="1">
            <x v="1849"/>
          </reference>
        </references>
      </pivotArea>
    </format>
    <format dxfId="567">
      <pivotArea collapsedLevelsAreSubtotals="1" fieldPosition="0">
        <references count="1">
          <reference field="6" count="1">
            <x v="1855"/>
          </reference>
        </references>
      </pivotArea>
    </format>
    <format dxfId="566">
      <pivotArea collapsedLevelsAreSubtotals="1" fieldPosition="0">
        <references count="1">
          <reference field="6" count="1">
            <x v="1857"/>
          </reference>
        </references>
      </pivotArea>
    </format>
    <format dxfId="565">
      <pivotArea collapsedLevelsAreSubtotals="1" fieldPosition="0">
        <references count="1">
          <reference field="6" count="1">
            <x v="1861"/>
          </reference>
        </references>
      </pivotArea>
    </format>
    <format dxfId="564">
      <pivotArea collapsedLevelsAreSubtotals="1" fieldPosition="0">
        <references count="1">
          <reference field="6" count="1">
            <x v="1864"/>
          </reference>
        </references>
      </pivotArea>
    </format>
    <format dxfId="563">
      <pivotArea collapsedLevelsAreSubtotals="1" fieldPosition="0">
        <references count="1">
          <reference field="6" count="1">
            <x v="1867"/>
          </reference>
        </references>
      </pivotArea>
    </format>
    <format dxfId="562">
      <pivotArea collapsedLevelsAreSubtotals="1" fieldPosition="0">
        <references count="1">
          <reference field="6" count="1">
            <x v="1870"/>
          </reference>
        </references>
      </pivotArea>
    </format>
    <format dxfId="561">
      <pivotArea collapsedLevelsAreSubtotals="1" fieldPosition="0">
        <references count="1">
          <reference field="6" count="1">
            <x v="1871"/>
          </reference>
        </references>
      </pivotArea>
    </format>
    <format dxfId="560">
      <pivotArea collapsedLevelsAreSubtotals="1" fieldPosition="0">
        <references count="1">
          <reference field="6" count="1">
            <x v="1895"/>
          </reference>
        </references>
      </pivotArea>
    </format>
    <format dxfId="559">
      <pivotArea collapsedLevelsAreSubtotals="1" fieldPosition="0">
        <references count="1">
          <reference field="6" count="1">
            <x v="1897"/>
          </reference>
        </references>
      </pivotArea>
    </format>
    <format dxfId="558">
      <pivotArea collapsedLevelsAreSubtotals="1" fieldPosition="0">
        <references count="1">
          <reference field="6" count="1">
            <x v="1909"/>
          </reference>
        </references>
      </pivotArea>
    </format>
    <format dxfId="557">
      <pivotArea collapsedLevelsAreSubtotals="1" fieldPosition="0">
        <references count="1">
          <reference field="6" count="1">
            <x v="1911"/>
          </reference>
        </references>
      </pivotArea>
    </format>
    <format dxfId="556">
      <pivotArea collapsedLevelsAreSubtotals="1" fieldPosition="0">
        <references count="1">
          <reference field="6" count="1">
            <x v="1917"/>
          </reference>
        </references>
      </pivotArea>
    </format>
    <format dxfId="555">
      <pivotArea collapsedLevelsAreSubtotals="1" fieldPosition="0">
        <references count="1">
          <reference field="6" count="1">
            <x v="1926"/>
          </reference>
        </references>
      </pivotArea>
    </format>
    <format dxfId="554">
      <pivotArea collapsedLevelsAreSubtotals="1" fieldPosition="0">
        <references count="1">
          <reference field="6" count="1">
            <x v="1928"/>
          </reference>
        </references>
      </pivotArea>
    </format>
    <format dxfId="553">
      <pivotArea collapsedLevelsAreSubtotals="1" fieldPosition="0">
        <references count="1">
          <reference field="6" count="1">
            <x v="1938"/>
          </reference>
        </references>
      </pivotArea>
    </format>
    <format dxfId="552">
      <pivotArea collapsedLevelsAreSubtotals="1" fieldPosition="0">
        <references count="1">
          <reference field="6" count="1">
            <x v="1941"/>
          </reference>
        </references>
      </pivotArea>
    </format>
    <format dxfId="551">
      <pivotArea collapsedLevelsAreSubtotals="1" fieldPosition="0">
        <references count="1">
          <reference field="6" count="1">
            <x v="1946"/>
          </reference>
        </references>
      </pivotArea>
    </format>
    <format dxfId="550">
      <pivotArea collapsedLevelsAreSubtotals="1" fieldPosition="0">
        <references count="1">
          <reference field="6" count="1">
            <x v="1948"/>
          </reference>
        </references>
      </pivotArea>
    </format>
    <format dxfId="549">
      <pivotArea collapsedLevelsAreSubtotals="1" fieldPosition="0">
        <references count="1">
          <reference field="6" count="1">
            <x v="51"/>
          </reference>
        </references>
      </pivotArea>
    </format>
    <format dxfId="548">
      <pivotArea collapsedLevelsAreSubtotals="1" fieldPosition="0">
        <references count="1">
          <reference field="6" count="1">
            <x v="60"/>
          </reference>
        </references>
      </pivotArea>
    </format>
    <format dxfId="547">
      <pivotArea collapsedLevelsAreSubtotals="1" fieldPosition="0">
        <references count="1">
          <reference field="6" count="1">
            <x v="65"/>
          </reference>
        </references>
      </pivotArea>
    </format>
    <format dxfId="546">
      <pivotArea collapsedLevelsAreSubtotals="1" fieldPosition="0">
        <references count="1">
          <reference field="6" count="1">
            <x v="66"/>
          </reference>
        </references>
      </pivotArea>
    </format>
    <format dxfId="545">
      <pivotArea collapsedLevelsAreSubtotals="1" fieldPosition="0">
        <references count="1">
          <reference field="6" count="1">
            <x v="75"/>
          </reference>
        </references>
      </pivotArea>
    </format>
    <format dxfId="544">
      <pivotArea collapsedLevelsAreSubtotals="1" fieldPosition="0">
        <references count="1">
          <reference field="6" count="1">
            <x v="83"/>
          </reference>
        </references>
      </pivotArea>
    </format>
    <format dxfId="543">
      <pivotArea collapsedLevelsAreSubtotals="1" fieldPosition="0">
        <references count="1">
          <reference field="6" count="1">
            <x v="90"/>
          </reference>
        </references>
      </pivotArea>
    </format>
    <format dxfId="542">
      <pivotArea collapsedLevelsAreSubtotals="1" fieldPosition="0">
        <references count="1">
          <reference field="6" count="1">
            <x v="96"/>
          </reference>
        </references>
      </pivotArea>
    </format>
    <format dxfId="541">
      <pivotArea collapsedLevelsAreSubtotals="1" fieldPosition="0">
        <references count="1">
          <reference field="6" count="1">
            <x v="104"/>
          </reference>
        </references>
      </pivotArea>
    </format>
    <format dxfId="540">
      <pivotArea collapsedLevelsAreSubtotals="1" fieldPosition="0">
        <references count="1">
          <reference field="6" count="1">
            <x v="105"/>
          </reference>
        </references>
      </pivotArea>
    </format>
    <format dxfId="539">
      <pivotArea collapsedLevelsAreSubtotals="1" fieldPosition="0">
        <references count="1">
          <reference field="6" count="1">
            <x v="113"/>
          </reference>
        </references>
      </pivotArea>
    </format>
    <format dxfId="538">
      <pivotArea collapsedLevelsAreSubtotals="1" fieldPosition="0">
        <references count="1">
          <reference field="6" count="1">
            <x v="116"/>
          </reference>
        </references>
      </pivotArea>
    </format>
    <format dxfId="537">
      <pivotArea collapsedLevelsAreSubtotals="1" fieldPosition="0">
        <references count="1">
          <reference field="6" count="1">
            <x v="125"/>
          </reference>
        </references>
      </pivotArea>
    </format>
    <format dxfId="536">
      <pivotArea collapsedLevelsAreSubtotals="1" fieldPosition="0">
        <references count="1">
          <reference field="6" count="1">
            <x v="130"/>
          </reference>
        </references>
      </pivotArea>
    </format>
    <format dxfId="535">
      <pivotArea collapsedLevelsAreSubtotals="1" fieldPosition="0">
        <references count="1">
          <reference field="6" count="1">
            <x v="141"/>
          </reference>
        </references>
      </pivotArea>
    </format>
    <format dxfId="534">
      <pivotArea collapsedLevelsAreSubtotals="1" fieldPosition="0">
        <references count="1">
          <reference field="6" count="1">
            <x v="145"/>
          </reference>
        </references>
      </pivotArea>
    </format>
    <format dxfId="533">
      <pivotArea collapsedLevelsAreSubtotals="1" fieldPosition="0">
        <references count="1">
          <reference field="6" count="1">
            <x v="155"/>
          </reference>
        </references>
      </pivotArea>
    </format>
    <format dxfId="532">
      <pivotArea collapsedLevelsAreSubtotals="1" fieldPosition="0">
        <references count="1">
          <reference field="6" count="1">
            <x v="159"/>
          </reference>
        </references>
      </pivotArea>
    </format>
    <format dxfId="531">
      <pivotArea collapsedLevelsAreSubtotals="1" fieldPosition="0">
        <references count="1">
          <reference field="6" count="1">
            <x v="177"/>
          </reference>
        </references>
      </pivotArea>
    </format>
    <format dxfId="530">
      <pivotArea collapsedLevelsAreSubtotals="1" fieldPosition="0">
        <references count="1">
          <reference field="6" count="1">
            <x v="188"/>
          </reference>
        </references>
      </pivotArea>
    </format>
    <format dxfId="529">
      <pivotArea collapsedLevelsAreSubtotals="1" fieldPosition="0">
        <references count="1">
          <reference field="6" count="1">
            <x v="189"/>
          </reference>
        </references>
      </pivotArea>
    </format>
    <format dxfId="528">
      <pivotArea collapsedLevelsAreSubtotals="1" fieldPosition="0">
        <references count="1">
          <reference field="6" count="1">
            <x v="194"/>
          </reference>
        </references>
      </pivotArea>
    </format>
    <format dxfId="527">
      <pivotArea collapsedLevelsAreSubtotals="1" fieldPosition="0">
        <references count="1">
          <reference field="6" count="1">
            <x v="195"/>
          </reference>
        </references>
      </pivotArea>
    </format>
    <format dxfId="526">
      <pivotArea collapsedLevelsAreSubtotals="1" fieldPosition="0">
        <references count="1">
          <reference field="6" count="1">
            <x v="196"/>
          </reference>
        </references>
      </pivotArea>
    </format>
    <format dxfId="525">
      <pivotArea collapsedLevelsAreSubtotals="1" fieldPosition="0">
        <references count="1">
          <reference field="6" count="1">
            <x v="198"/>
          </reference>
        </references>
      </pivotArea>
    </format>
    <format dxfId="524">
      <pivotArea collapsedLevelsAreSubtotals="1" fieldPosition="0">
        <references count="1">
          <reference field="6" count="1">
            <x v="205"/>
          </reference>
        </references>
      </pivotArea>
    </format>
    <format dxfId="523">
      <pivotArea collapsedLevelsAreSubtotals="1" fieldPosition="0">
        <references count="1">
          <reference field="6" count="1">
            <x v="212"/>
          </reference>
        </references>
      </pivotArea>
    </format>
    <format dxfId="522">
      <pivotArea collapsedLevelsAreSubtotals="1" fieldPosition="0">
        <references count="1">
          <reference field="6" count="1">
            <x v="215"/>
          </reference>
        </references>
      </pivotArea>
    </format>
    <format dxfId="521">
      <pivotArea collapsedLevelsAreSubtotals="1" fieldPosition="0">
        <references count="1">
          <reference field="6" count="1">
            <x v="222"/>
          </reference>
        </references>
      </pivotArea>
    </format>
    <format dxfId="520">
      <pivotArea collapsedLevelsAreSubtotals="1" fieldPosition="0">
        <references count="1">
          <reference field="6" count="1">
            <x v="250"/>
          </reference>
        </references>
      </pivotArea>
    </format>
    <format dxfId="519">
      <pivotArea collapsedLevelsAreSubtotals="1" fieldPosition="0">
        <references count="1">
          <reference field="6" count="1">
            <x v="256"/>
          </reference>
        </references>
      </pivotArea>
    </format>
    <format dxfId="518">
      <pivotArea collapsedLevelsAreSubtotals="1" fieldPosition="0">
        <references count="1">
          <reference field="6" count="1">
            <x v="269"/>
          </reference>
        </references>
      </pivotArea>
    </format>
    <format dxfId="517">
      <pivotArea collapsedLevelsAreSubtotals="1" fieldPosition="0">
        <references count="1">
          <reference field="6" count="1">
            <x v="272"/>
          </reference>
        </references>
      </pivotArea>
    </format>
    <format dxfId="516">
      <pivotArea collapsedLevelsAreSubtotals="1" fieldPosition="0">
        <references count="1">
          <reference field="6" count="1">
            <x v="274"/>
          </reference>
        </references>
      </pivotArea>
    </format>
    <format dxfId="515">
      <pivotArea collapsedLevelsAreSubtotals="1" fieldPosition="0">
        <references count="1">
          <reference field="6" count="1">
            <x v="275"/>
          </reference>
        </references>
      </pivotArea>
    </format>
    <format dxfId="514">
      <pivotArea collapsedLevelsAreSubtotals="1" fieldPosition="0">
        <references count="1">
          <reference field="6" count="1">
            <x v="278"/>
          </reference>
        </references>
      </pivotArea>
    </format>
    <format dxfId="513">
      <pivotArea collapsedLevelsAreSubtotals="1" fieldPosition="0">
        <references count="1">
          <reference field="6" count="1">
            <x v="282"/>
          </reference>
        </references>
      </pivotArea>
    </format>
    <format dxfId="512">
      <pivotArea collapsedLevelsAreSubtotals="1" fieldPosition="0">
        <references count="1">
          <reference field="6" count="1">
            <x v="285"/>
          </reference>
        </references>
      </pivotArea>
    </format>
    <format dxfId="511">
      <pivotArea collapsedLevelsAreSubtotals="1" fieldPosition="0">
        <references count="1">
          <reference field="6" count="1">
            <x v="286"/>
          </reference>
        </references>
      </pivotArea>
    </format>
    <format dxfId="510">
      <pivotArea collapsedLevelsAreSubtotals="1" fieldPosition="0">
        <references count="1">
          <reference field="6" count="1">
            <x v="299"/>
          </reference>
        </references>
      </pivotArea>
    </format>
    <format dxfId="509">
      <pivotArea collapsedLevelsAreSubtotals="1" fieldPosition="0">
        <references count="1">
          <reference field="6" count="1">
            <x v="302"/>
          </reference>
        </references>
      </pivotArea>
    </format>
    <format dxfId="508">
      <pivotArea collapsedLevelsAreSubtotals="1" fieldPosition="0">
        <references count="1">
          <reference field="6" count="1">
            <x v="324"/>
          </reference>
        </references>
      </pivotArea>
    </format>
    <format dxfId="507">
      <pivotArea collapsedLevelsAreSubtotals="1" fieldPosition="0">
        <references count="1">
          <reference field="6" count="1">
            <x v="326"/>
          </reference>
        </references>
      </pivotArea>
    </format>
    <format dxfId="506">
      <pivotArea collapsedLevelsAreSubtotals="1" fieldPosition="0">
        <references count="1">
          <reference field="6" count="1">
            <x v="329"/>
          </reference>
        </references>
      </pivotArea>
    </format>
    <format dxfId="505">
      <pivotArea collapsedLevelsAreSubtotals="1" fieldPosition="0">
        <references count="1">
          <reference field="6" count="1">
            <x v="340"/>
          </reference>
        </references>
      </pivotArea>
    </format>
    <format dxfId="504">
      <pivotArea collapsedLevelsAreSubtotals="1" fieldPosition="0">
        <references count="1">
          <reference field="6" count="1">
            <x v="349"/>
          </reference>
        </references>
      </pivotArea>
    </format>
    <format dxfId="503">
      <pivotArea collapsedLevelsAreSubtotals="1" fieldPosition="0">
        <references count="1">
          <reference field="6" count="1">
            <x v="365"/>
          </reference>
        </references>
      </pivotArea>
    </format>
    <format dxfId="502">
      <pivotArea collapsedLevelsAreSubtotals="1" fieldPosition="0">
        <references count="1">
          <reference field="6" count="1">
            <x v="384"/>
          </reference>
        </references>
      </pivotArea>
    </format>
    <format dxfId="501">
      <pivotArea collapsedLevelsAreSubtotals="1" fieldPosition="0">
        <references count="1">
          <reference field="6" count="1">
            <x v="385"/>
          </reference>
        </references>
      </pivotArea>
    </format>
    <format dxfId="500">
      <pivotArea collapsedLevelsAreSubtotals="1" fieldPosition="0">
        <references count="1">
          <reference field="6" count="1">
            <x v="395"/>
          </reference>
        </references>
      </pivotArea>
    </format>
    <format dxfId="499">
      <pivotArea collapsedLevelsAreSubtotals="1" fieldPosition="0">
        <references count="1">
          <reference field="6" count="1">
            <x v="411"/>
          </reference>
        </references>
      </pivotArea>
    </format>
    <format dxfId="498">
      <pivotArea collapsedLevelsAreSubtotals="1" fieldPosition="0">
        <references count="1">
          <reference field="6" count="1">
            <x v="414"/>
          </reference>
        </references>
      </pivotArea>
    </format>
    <format dxfId="497">
      <pivotArea collapsedLevelsAreSubtotals="1" fieldPosition="0">
        <references count="1">
          <reference field="6" count="1">
            <x v="417"/>
          </reference>
        </references>
      </pivotArea>
    </format>
    <format dxfId="496">
      <pivotArea collapsedLevelsAreSubtotals="1" fieldPosition="0">
        <references count="1">
          <reference field="6" count="1">
            <x v="440"/>
          </reference>
        </references>
      </pivotArea>
    </format>
    <format dxfId="495">
      <pivotArea collapsedLevelsAreSubtotals="1" fieldPosition="0">
        <references count="1">
          <reference field="6" count="1">
            <x v="468"/>
          </reference>
        </references>
      </pivotArea>
    </format>
    <format dxfId="494">
      <pivotArea collapsedLevelsAreSubtotals="1" fieldPosition="0">
        <references count="1">
          <reference field="6" count="1">
            <x v="471"/>
          </reference>
        </references>
      </pivotArea>
    </format>
    <format dxfId="493">
      <pivotArea collapsedLevelsAreSubtotals="1" fieldPosition="0">
        <references count="1">
          <reference field="6" count="1">
            <x v="472"/>
          </reference>
        </references>
      </pivotArea>
    </format>
    <format dxfId="492">
      <pivotArea collapsedLevelsAreSubtotals="1" fieldPosition="0">
        <references count="1">
          <reference field="6" count="1">
            <x v="503"/>
          </reference>
        </references>
      </pivotArea>
    </format>
    <format dxfId="491">
      <pivotArea collapsedLevelsAreSubtotals="1" fieldPosition="0">
        <references count="1">
          <reference field="6" count="1">
            <x v="511"/>
          </reference>
        </references>
      </pivotArea>
    </format>
    <format dxfId="490">
      <pivotArea collapsedLevelsAreSubtotals="1" fieldPosition="0">
        <references count="1">
          <reference field="6" count="1">
            <x v="530"/>
          </reference>
        </references>
      </pivotArea>
    </format>
    <format dxfId="489">
      <pivotArea collapsedLevelsAreSubtotals="1" fieldPosition="0">
        <references count="1">
          <reference field="6" count="1">
            <x v="531"/>
          </reference>
        </references>
      </pivotArea>
    </format>
    <format dxfId="488">
      <pivotArea collapsedLevelsAreSubtotals="1" fieldPosition="0">
        <references count="1">
          <reference field="6" count="1">
            <x v="538"/>
          </reference>
        </references>
      </pivotArea>
    </format>
    <format dxfId="487">
      <pivotArea collapsedLevelsAreSubtotals="1" fieldPosition="0">
        <references count="1">
          <reference field="6" count="1">
            <x v="543"/>
          </reference>
        </references>
      </pivotArea>
    </format>
    <format dxfId="486">
      <pivotArea collapsedLevelsAreSubtotals="1" fieldPosition="0">
        <references count="1">
          <reference field="6" count="1">
            <x v="550"/>
          </reference>
        </references>
      </pivotArea>
    </format>
    <format dxfId="485">
      <pivotArea collapsedLevelsAreSubtotals="1" fieldPosition="0">
        <references count="1">
          <reference field="6" count="1">
            <x v="555"/>
          </reference>
        </references>
      </pivotArea>
    </format>
    <format dxfId="484">
      <pivotArea collapsedLevelsAreSubtotals="1" fieldPosition="0">
        <references count="1">
          <reference field="6" count="1">
            <x v="564"/>
          </reference>
        </references>
      </pivotArea>
    </format>
    <format dxfId="483">
      <pivotArea collapsedLevelsAreSubtotals="1" fieldPosition="0">
        <references count="1">
          <reference field="6" count="1">
            <x v="597"/>
          </reference>
        </references>
      </pivotArea>
    </format>
    <format dxfId="482">
      <pivotArea collapsedLevelsAreSubtotals="1" fieldPosition="0">
        <references count="1">
          <reference field="6" count="1">
            <x v="604"/>
          </reference>
        </references>
      </pivotArea>
    </format>
    <format dxfId="481">
      <pivotArea collapsedLevelsAreSubtotals="1" fieldPosition="0">
        <references count="1">
          <reference field="6" count="1">
            <x v="634"/>
          </reference>
        </references>
      </pivotArea>
    </format>
    <format dxfId="480">
      <pivotArea collapsedLevelsAreSubtotals="1" fieldPosition="0">
        <references count="1">
          <reference field="6" count="1">
            <x v="640"/>
          </reference>
        </references>
      </pivotArea>
    </format>
    <format dxfId="479">
      <pivotArea collapsedLevelsAreSubtotals="1" fieldPosition="0">
        <references count="1">
          <reference field="6" count="1">
            <x v="680"/>
          </reference>
        </references>
      </pivotArea>
    </format>
    <format dxfId="478">
      <pivotArea collapsedLevelsAreSubtotals="1" fieldPosition="0">
        <references count="1">
          <reference field="6" count="1">
            <x v="697"/>
          </reference>
        </references>
      </pivotArea>
    </format>
    <format dxfId="477">
      <pivotArea collapsedLevelsAreSubtotals="1" fieldPosition="0">
        <references count="1">
          <reference field="6" count="1">
            <x v="699"/>
          </reference>
        </references>
      </pivotArea>
    </format>
    <format dxfId="476">
      <pivotArea collapsedLevelsAreSubtotals="1" fieldPosition="0">
        <references count="1">
          <reference field="6" count="1">
            <x v="703"/>
          </reference>
        </references>
      </pivotArea>
    </format>
    <format dxfId="475">
      <pivotArea collapsedLevelsAreSubtotals="1" fieldPosition="0">
        <references count="1">
          <reference field="6" count="1">
            <x v="706"/>
          </reference>
        </references>
      </pivotArea>
    </format>
    <format dxfId="474">
      <pivotArea collapsedLevelsAreSubtotals="1" fieldPosition="0">
        <references count="1">
          <reference field="6" count="1">
            <x v="734"/>
          </reference>
        </references>
      </pivotArea>
    </format>
    <format dxfId="473">
      <pivotArea collapsedLevelsAreSubtotals="1" fieldPosition="0">
        <references count="1">
          <reference field="6" count="1">
            <x v="735"/>
          </reference>
        </references>
      </pivotArea>
    </format>
    <format dxfId="472">
      <pivotArea collapsedLevelsAreSubtotals="1" fieldPosition="0">
        <references count="1">
          <reference field="6" count="1">
            <x v="756"/>
          </reference>
        </references>
      </pivotArea>
    </format>
    <format dxfId="471">
      <pivotArea collapsedLevelsAreSubtotals="1" fieldPosition="0">
        <references count="1">
          <reference field="6" count="1">
            <x v="761"/>
          </reference>
        </references>
      </pivotArea>
    </format>
    <format dxfId="470">
      <pivotArea collapsedLevelsAreSubtotals="1" fieldPosition="0">
        <references count="1">
          <reference field="6" count="1">
            <x v="766"/>
          </reference>
        </references>
      </pivotArea>
    </format>
    <format dxfId="469">
      <pivotArea collapsedLevelsAreSubtotals="1" fieldPosition="0">
        <references count="1">
          <reference field="6" count="1">
            <x v="770"/>
          </reference>
        </references>
      </pivotArea>
    </format>
    <format dxfId="468">
      <pivotArea collapsedLevelsAreSubtotals="1" fieldPosition="0">
        <references count="1">
          <reference field="6" count="1">
            <x v="772"/>
          </reference>
        </references>
      </pivotArea>
    </format>
    <format dxfId="467">
      <pivotArea collapsedLevelsAreSubtotals="1" fieldPosition="0">
        <references count="1">
          <reference field="6" count="1">
            <x v="778"/>
          </reference>
        </references>
      </pivotArea>
    </format>
    <format dxfId="466">
      <pivotArea collapsedLevelsAreSubtotals="1" fieldPosition="0">
        <references count="1">
          <reference field="6" count="1">
            <x v="780"/>
          </reference>
        </references>
      </pivotArea>
    </format>
    <format dxfId="465">
      <pivotArea collapsedLevelsAreSubtotals="1" fieldPosition="0">
        <references count="1">
          <reference field="6" count="1">
            <x v="808"/>
          </reference>
        </references>
      </pivotArea>
    </format>
    <format dxfId="464">
      <pivotArea collapsedLevelsAreSubtotals="1" fieldPosition="0">
        <references count="1">
          <reference field="6" count="1">
            <x v="813"/>
          </reference>
        </references>
      </pivotArea>
    </format>
    <format dxfId="463">
      <pivotArea collapsedLevelsAreSubtotals="1" fieldPosition="0">
        <references count="1">
          <reference field="6" count="1">
            <x v="845"/>
          </reference>
        </references>
      </pivotArea>
    </format>
    <format dxfId="462">
      <pivotArea collapsedLevelsAreSubtotals="1" fieldPosition="0">
        <references count="1">
          <reference field="6" count="1">
            <x v="857"/>
          </reference>
        </references>
      </pivotArea>
    </format>
    <format dxfId="461">
      <pivotArea collapsedLevelsAreSubtotals="1" fieldPosition="0">
        <references count="1">
          <reference field="6" count="1">
            <x v="859"/>
          </reference>
        </references>
      </pivotArea>
    </format>
    <format dxfId="460">
      <pivotArea collapsedLevelsAreSubtotals="1" fieldPosition="0">
        <references count="1">
          <reference field="6" count="1">
            <x v="868"/>
          </reference>
        </references>
      </pivotArea>
    </format>
    <format dxfId="459">
      <pivotArea collapsedLevelsAreSubtotals="1" fieldPosition="0">
        <references count="1">
          <reference field="6" count="1">
            <x v="870"/>
          </reference>
        </references>
      </pivotArea>
    </format>
    <format dxfId="458">
      <pivotArea collapsedLevelsAreSubtotals="1" fieldPosition="0">
        <references count="1">
          <reference field="6" count="1">
            <x v="872"/>
          </reference>
        </references>
      </pivotArea>
    </format>
    <format dxfId="457">
      <pivotArea collapsedLevelsAreSubtotals="1" fieldPosition="0">
        <references count="1">
          <reference field="6" count="1">
            <x v="879"/>
          </reference>
        </references>
      </pivotArea>
    </format>
    <format dxfId="456">
      <pivotArea collapsedLevelsAreSubtotals="1" fieldPosition="0">
        <references count="1">
          <reference field="6" count="1">
            <x v="882"/>
          </reference>
        </references>
      </pivotArea>
    </format>
    <format dxfId="455">
      <pivotArea collapsedLevelsAreSubtotals="1" fieldPosition="0">
        <references count="1">
          <reference field="6" count="1">
            <x v="885"/>
          </reference>
        </references>
      </pivotArea>
    </format>
    <format dxfId="454">
      <pivotArea collapsedLevelsAreSubtotals="1" fieldPosition="0">
        <references count="1">
          <reference field="6" count="1">
            <x v="887"/>
          </reference>
        </references>
      </pivotArea>
    </format>
    <format dxfId="453">
      <pivotArea collapsedLevelsAreSubtotals="1" fieldPosition="0">
        <references count="1">
          <reference field="6" count="1">
            <x v="888"/>
          </reference>
        </references>
      </pivotArea>
    </format>
    <format dxfId="452">
      <pivotArea collapsedLevelsAreSubtotals="1" fieldPosition="0">
        <references count="1">
          <reference field="6" count="1">
            <x v="904"/>
          </reference>
        </references>
      </pivotArea>
    </format>
    <format dxfId="451">
      <pivotArea collapsedLevelsAreSubtotals="1" fieldPosition="0">
        <references count="1">
          <reference field="6" count="1">
            <x v="910"/>
          </reference>
        </references>
      </pivotArea>
    </format>
    <format dxfId="450">
      <pivotArea collapsedLevelsAreSubtotals="1" fieldPosition="0">
        <references count="1">
          <reference field="6" count="1">
            <x v="923"/>
          </reference>
        </references>
      </pivotArea>
    </format>
    <format dxfId="449">
      <pivotArea collapsedLevelsAreSubtotals="1" fieldPosition="0">
        <references count="1">
          <reference field="6" count="1">
            <x v="932"/>
          </reference>
        </references>
      </pivotArea>
    </format>
    <format dxfId="448">
      <pivotArea collapsedLevelsAreSubtotals="1" fieldPosition="0">
        <references count="1">
          <reference field="6" count="1">
            <x v="954"/>
          </reference>
        </references>
      </pivotArea>
    </format>
    <format dxfId="447">
      <pivotArea collapsedLevelsAreSubtotals="1" fieldPosition="0">
        <references count="1">
          <reference field="6" count="1">
            <x v="968"/>
          </reference>
        </references>
      </pivotArea>
    </format>
    <format dxfId="446">
      <pivotArea collapsedLevelsAreSubtotals="1" fieldPosition="0">
        <references count="1">
          <reference field="6" count="1">
            <x v="969"/>
          </reference>
        </references>
      </pivotArea>
    </format>
    <format dxfId="445">
      <pivotArea collapsedLevelsAreSubtotals="1" fieldPosition="0">
        <references count="1">
          <reference field="6" count="1">
            <x v="977"/>
          </reference>
        </references>
      </pivotArea>
    </format>
    <format dxfId="444">
      <pivotArea collapsedLevelsAreSubtotals="1" fieldPosition="0">
        <references count="1">
          <reference field="6" count="1">
            <x v="991"/>
          </reference>
        </references>
      </pivotArea>
    </format>
    <format dxfId="443">
      <pivotArea collapsedLevelsAreSubtotals="1" fieldPosition="0">
        <references count="1">
          <reference field="6" count="1">
            <x v="1002"/>
          </reference>
        </references>
      </pivotArea>
    </format>
    <format dxfId="442">
      <pivotArea collapsedLevelsAreSubtotals="1" fieldPosition="0">
        <references count="1">
          <reference field="6" count="1">
            <x v="1022"/>
          </reference>
        </references>
      </pivotArea>
    </format>
    <format dxfId="441">
      <pivotArea collapsedLevelsAreSubtotals="1" fieldPosition="0">
        <references count="1">
          <reference field="6" count="1">
            <x v="1028"/>
          </reference>
        </references>
      </pivotArea>
    </format>
    <format dxfId="440">
      <pivotArea collapsedLevelsAreSubtotals="1" fieldPosition="0">
        <references count="1">
          <reference field="6" count="1">
            <x v="1032"/>
          </reference>
        </references>
      </pivotArea>
    </format>
    <format dxfId="439">
      <pivotArea collapsedLevelsAreSubtotals="1" fieldPosition="0">
        <references count="1">
          <reference field="6" count="1">
            <x v="1034"/>
          </reference>
        </references>
      </pivotArea>
    </format>
    <format dxfId="438">
      <pivotArea collapsedLevelsAreSubtotals="1" fieldPosition="0">
        <references count="1">
          <reference field="6" count="1">
            <x v="1039"/>
          </reference>
        </references>
      </pivotArea>
    </format>
    <format dxfId="437">
      <pivotArea collapsedLevelsAreSubtotals="1" fieldPosition="0">
        <references count="1">
          <reference field="6" count="1">
            <x v="1048"/>
          </reference>
        </references>
      </pivotArea>
    </format>
    <format dxfId="436">
      <pivotArea collapsedLevelsAreSubtotals="1" fieldPosition="0">
        <references count="1">
          <reference field="6" count="1">
            <x v="1057"/>
          </reference>
        </references>
      </pivotArea>
    </format>
    <format dxfId="435">
      <pivotArea collapsedLevelsAreSubtotals="1" fieldPosition="0">
        <references count="1">
          <reference field="6" count="1">
            <x v="1059"/>
          </reference>
        </references>
      </pivotArea>
    </format>
    <format dxfId="434">
      <pivotArea collapsedLevelsAreSubtotals="1" fieldPosition="0">
        <references count="1">
          <reference field="6" count="1">
            <x v="1060"/>
          </reference>
        </references>
      </pivotArea>
    </format>
    <format dxfId="433">
      <pivotArea collapsedLevelsAreSubtotals="1" fieldPosition="0">
        <references count="1">
          <reference field="6" count="1">
            <x v="1062"/>
          </reference>
        </references>
      </pivotArea>
    </format>
    <format dxfId="432">
      <pivotArea collapsedLevelsAreSubtotals="1" fieldPosition="0">
        <references count="1">
          <reference field="6" count="1">
            <x v="1063"/>
          </reference>
        </references>
      </pivotArea>
    </format>
    <format dxfId="431">
      <pivotArea collapsedLevelsAreSubtotals="1" fieldPosition="0">
        <references count="1">
          <reference field="6" count="1">
            <x v="1072"/>
          </reference>
        </references>
      </pivotArea>
    </format>
    <format dxfId="430">
      <pivotArea collapsedLevelsAreSubtotals="1" fieldPosition="0">
        <references count="1">
          <reference field="6" count="1">
            <x v="1074"/>
          </reference>
        </references>
      </pivotArea>
    </format>
    <format dxfId="429">
      <pivotArea collapsedLevelsAreSubtotals="1" fieldPosition="0">
        <references count="1">
          <reference field="6" count="1">
            <x v="1079"/>
          </reference>
        </references>
      </pivotArea>
    </format>
    <format dxfId="428">
      <pivotArea collapsedLevelsAreSubtotals="1" fieldPosition="0">
        <references count="1">
          <reference field="6" count="1">
            <x v="1087"/>
          </reference>
        </references>
      </pivotArea>
    </format>
    <format dxfId="427">
      <pivotArea collapsedLevelsAreSubtotals="1" fieldPosition="0">
        <references count="1">
          <reference field="6" count="1">
            <x v="1088"/>
          </reference>
        </references>
      </pivotArea>
    </format>
    <format dxfId="426">
      <pivotArea collapsedLevelsAreSubtotals="1" fieldPosition="0">
        <references count="1">
          <reference field="6" count="1">
            <x v="1130"/>
          </reference>
        </references>
      </pivotArea>
    </format>
    <format dxfId="425">
      <pivotArea collapsedLevelsAreSubtotals="1" fieldPosition="0">
        <references count="1">
          <reference field="6" count="1">
            <x v="1134"/>
          </reference>
        </references>
      </pivotArea>
    </format>
    <format dxfId="424">
      <pivotArea collapsedLevelsAreSubtotals="1" fieldPosition="0">
        <references count="1">
          <reference field="6" count="1">
            <x v="1141"/>
          </reference>
        </references>
      </pivotArea>
    </format>
    <format dxfId="423">
      <pivotArea collapsedLevelsAreSubtotals="1" fieldPosition="0">
        <references count="1">
          <reference field="6" count="1">
            <x v="1146"/>
          </reference>
        </references>
      </pivotArea>
    </format>
    <format dxfId="422">
      <pivotArea collapsedLevelsAreSubtotals="1" fieldPosition="0">
        <references count="1">
          <reference field="6" count="1">
            <x v="1149"/>
          </reference>
        </references>
      </pivotArea>
    </format>
    <format dxfId="421">
      <pivotArea collapsedLevelsAreSubtotals="1" fieldPosition="0">
        <references count="1">
          <reference field="6" count="1">
            <x v="1153"/>
          </reference>
        </references>
      </pivotArea>
    </format>
    <format dxfId="420">
      <pivotArea collapsedLevelsAreSubtotals="1" fieldPosition="0">
        <references count="1">
          <reference field="6" count="1">
            <x v="1167"/>
          </reference>
        </references>
      </pivotArea>
    </format>
    <format dxfId="419">
      <pivotArea collapsedLevelsAreSubtotals="1" fieldPosition="0">
        <references count="1">
          <reference field="6" count="1">
            <x v="1168"/>
          </reference>
        </references>
      </pivotArea>
    </format>
    <format dxfId="418">
      <pivotArea collapsedLevelsAreSubtotals="1" fieldPosition="0">
        <references count="1">
          <reference field="6" count="1">
            <x v="1170"/>
          </reference>
        </references>
      </pivotArea>
    </format>
    <format dxfId="417">
      <pivotArea collapsedLevelsAreSubtotals="1" fieldPosition="0">
        <references count="1">
          <reference field="6" count="1">
            <x v="1178"/>
          </reference>
        </references>
      </pivotArea>
    </format>
    <format dxfId="416">
      <pivotArea collapsedLevelsAreSubtotals="1" fieldPosition="0">
        <references count="1">
          <reference field="6" count="1">
            <x v="1186"/>
          </reference>
        </references>
      </pivotArea>
    </format>
    <format dxfId="415">
      <pivotArea collapsedLevelsAreSubtotals="1" fieldPosition="0">
        <references count="1">
          <reference field="6" count="1">
            <x v="1189"/>
          </reference>
        </references>
      </pivotArea>
    </format>
    <format dxfId="414">
      <pivotArea collapsedLevelsAreSubtotals="1" fieldPosition="0">
        <references count="1">
          <reference field="6" count="1">
            <x v="1205"/>
          </reference>
        </references>
      </pivotArea>
    </format>
    <format dxfId="413">
      <pivotArea collapsedLevelsAreSubtotals="1" fieldPosition="0">
        <references count="1">
          <reference field="6" count="1">
            <x v="1217"/>
          </reference>
        </references>
      </pivotArea>
    </format>
    <format dxfId="412">
      <pivotArea collapsedLevelsAreSubtotals="1" fieldPosition="0">
        <references count="1">
          <reference field="6" count="1">
            <x v="1228"/>
          </reference>
        </references>
      </pivotArea>
    </format>
    <format dxfId="411">
      <pivotArea collapsedLevelsAreSubtotals="1" fieldPosition="0">
        <references count="1">
          <reference field="6" count="1">
            <x v="1245"/>
          </reference>
        </references>
      </pivotArea>
    </format>
    <format dxfId="410">
      <pivotArea collapsedLevelsAreSubtotals="1" fieldPosition="0">
        <references count="1">
          <reference field="6" count="1">
            <x v="1250"/>
          </reference>
        </references>
      </pivotArea>
    </format>
    <format dxfId="409">
      <pivotArea collapsedLevelsAreSubtotals="1" fieldPosition="0">
        <references count="1">
          <reference field="6" count="1">
            <x v="1254"/>
          </reference>
        </references>
      </pivotArea>
    </format>
    <format dxfId="408">
      <pivotArea collapsedLevelsAreSubtotals="1" fieldPosition="0">
        <references count="1">
          <reference field="6" count="1">
            <x v="1272"/>
          </reference>
        </references>
      </pivotArea>
    </format>
    <format dxfId="407">
      <pivotArea collapsedLevelsAreSubtotals="1" fieldPosition="0">
        <references count="1">
          <reference field="6" count="1">
            <x v="1284"/>
          </reference>
        </references>
      </pivotArea>
    </format>
    <format dxfId="406">
      <pivotArea collapsedLevelsAreSubtotals="1" fieldPosition="0">
        <references count="1">
          <reference field="6" count="1">
            <x v="1286"/>
          </reference>
        </references>
      </pivotArea>
    </format>
    <format dxfId="405">
      <pivotArea collapsedLevelsAreSubtotals="1" fieldPosition="0">
        <references count="1">
          <reference field="6" count="1">
            <x v="1290"/>
          </reference>
        </references>
      </pivotArea>
    </format>
    <format dxfId="404">
      <pivotArea collapsedLevelsAreSubtotals="1" fieldPosition="0">
        <references count="1">
          <reference field="6" count="1">
            <x v="1298"/>
          </reference>
        </references>
      </pivotArea>
    </format>
    <format dxfId="403">
      <pivotArea collapsedLevelsAreSubtotals="1" fieldPosition="0">
        <references count="1">
          <reference field="6" count="1">
            <x v="1310"/>
          </reference>
        </references>
      </pivotArea>
    </format>
    <format dxfId="402">
      <pivotArea collapsedLevelsAreSubtotals="1" fieldPosition="0">
        <references count="1">
          <reference field="6" count="1">
            <x v="1312"/>
          </reference>
        </references>
      </pivotArea>
    </format>
    <format dxfId="401">
      <pivotArea collapsedLevelsAreSubtotals="1" fieldPosition="0">
        <references count="1">
          <reference field="6" count="1">
            <x v="1335"/>
          </reference>
        </references>
      </pivotArea>
    </format>
    <format dxfId="400">
      <pivotArea collapsedLevelsAreSubtotals="1" fieldPosition="0">
        <references count="1">
          <reference field="6" count="1">
            <x v="1337"/>
          </reference>
        </references>
      </pivotArea>
    </format>
    <format dxfId="399">
      <pivotArea collapsedLevelsAreSubtotals="1" fieldPosition="0">
        <references count="1">
          <reference field="6" count="1">
            <x v="1339"/>
          </reference>
        </references>
      </pivotArea>
    </format>
    <format dxfId="398">
      <pivotArea collapsedLevelsAreSubtotals="1" fieldPosition="0">
        <references count="1">
          <reference field="6" count="1">
            <x v="1362"/>
          </reference>
        </references>
      </pivotArea>
    </format>
    <format dxfId="397">
      <pivotArea collapsedLevelsAreSubtotals="1" fieldPosition="0">
        <references count="1">
          <reference field="6" count="1">
            <x v="1369"/>
          </reference>
        </references>
      </pivotArea>
    </format>
    <format dxfId="396">
      <pivotArea collapsedLevelsAreSubtotals="1" fieldPosition="0">
        <references count="1">
          <reference field="6" count="1">
            <x v="1376"/>
          </reference>
        </references>
      </pivotArea>
    </format>
    <format dxfId="395">
      <pivotArea collapsedLevelsAreSubtotals="1" fieldPosition="0">
        <references count="1">
          <reference field="6" count="1">
            <x v="1383"/>
          </reference>
        </references>
      </pivotArea>
    </format>
    <format dxfId="394">
      <pivotArea collapsedLevelsAreSubtotals="1" fieldPosition="0">
        <references count="1">
          <reference field="6" count="1">
            <x v="1390"/>
          </reference>
        </references>
      </pivotArea>
    </format>
    <format dxfId="393">
      <pivotArea collapsedLevelsAreSubtotals="1" fieldPosition="0">
        <references count="1">
          <reference field="6" count="1">
            <x v="1391"/>
          </reference>
        </references>
      </pivotArea>
    </format>
    <format dxfId="392">
      <pivotArea collapsedLevelsAreSubtotals="1" fieldPosition="0">
        <references count="1">
          <reference field="6" count="1">
            <x v="1397"/>
          </reference>
        </references>
      </pivotArea>
    </format>
    <format dxfId="391">
      <pivotArea collapsedLevelsAreSubtotals="1" fieldPosition="0">
        <references count="1">
          <reference field="6" count="1">
            <x v="1413"/>
          </reference>
        </references>
      </pivotArea>
    </format>
    <format dxfId="390">
      <pivotArea collapsedLevelsAreSubtotals="1" fieldPosition="0">
        <references count="1">
          <reference field="6" count="1">
            <x v="1423"/>
          </reference>
        </references>
      </pivotArea>
    </format>
    <format dxfId="389">
      <pivotArea collapsedLevelsAreSubtotals="1" fieldPosition="0">
        <references count="1">
          <reference field="6" count="1">
            <x v="1425"/>
          </reference>
        </references>
      </pivotArea>
    </format>
    <format dxfId="388">
      <pivotArea collapsedLevelsAreSubtotals="1" fieldPosition="0">
        <references count="1">
          <reference field="6" count="1">
            <x v="1428"/>
          </reference>
        </references>
      </pivotArea>
    </format>
    <format dxfId="387">
      <pivotArea collapsedLevelsAreSubtotals="1" fieldPosition="0">
        <references count="1">
          <reference field="6" count="1">
            <x v="1438"/>
          </reference>
        </references>
      </pivotArea>
    </format>
    <format dxfId="386">
      <pivotArea collapsedLevelsAreSubtotals="1" fieldPosition="0">
        <references count="1">
          <reference field="6" count="1">
            <x v="1440"/>
          </reference>
        </references>
      </pivotArea>
    </format>
    <format dxfId="385">
      <pivotArea collapsedLevelsAreSubtotals="1" fieldPosition="0">
        <references count="1">
          <reference field="6" count="1">
            <x v="1443"/>
          </reference>
        </references>
      </pivotArea>
    </format>
    <format dxfId="384">
      <pivotArea collapsedLevelsAreSubtotals="1" fieldPosition="0">
        <references count="1">
          <reference field="6" count="1">
            <x v="1450"/>
          </reference>
        </references>
      </pivotArea>
    </format>
    <format dxfId="383">
      <pivotArea collapsedLevelsAreSubtotals="1" fieldPosition="0">
        <references count="1">
          <reference field="6" count="1">
            <x v="1453"/>
          </reference>
        </references>
      </pivotArea>
    </format>
    <format dxfId="382">
      <pivotArea collapsedLevelsAreSubtotals="1" fieldPosition="0">
        <references count="1">
          <reference field="6" count="1">
            <x v="1488"/>
          </reference>
        </references>
      </pivotArea>
    </format>
    <format dxfId="381">
      <pivotArea collapsedLevelsAreSubtotals="1" fieldPosition="0">
        <references count="1">
          <reference field="6" count="1">
            <x v="1497"/>
          </reference>
        </references>
      </pivotArea>
    </format>
    <format dxfId="380">
      <pivotArea collapsedLevelsAreSubtotals="1" fieldPosition="0">
        <references count="1">
          <reference field="6" count="1">
            <x v="1503"/>
          </reference>
        </references>
      </pivotArea>
    </format>
    <format dxfId="379">
      <pivotArea collapsedLevelsAreSubtotals="1" fieldPosition="0">
        <references count="1">
          <reference field="6" count="1">
            <x v="1504"/>
          </reference>
        </references>
      </pivotArea>
    </format>
    <format dxfId="378">
      <pivotArea collapsedLevelsAreSubtotals="1" fieldPosition="0">
        <references count="1">
          <reference field="6" count="1">
            <x v="1520"/>
          </reference>
        </references>
      </pivotArea>
    </format>
    <format dxfId="377">
      <pivotArea collapsedLevelsAreSubtotals="1" fieldPosition="0">
        <references count="1">
          <reference field="6" count="1">
            <x v="1527"/>
          </reference>
        </references>
      </pivotArea>
    </format>
    <format dxfId="376">
      <pivotArea collapsedLevelsAreSubtotals="1" fieldPosition="0">
        <references count="1">
          <reference field="6" count="1">
            <x v="1533"/>
          </reference>
        </references>
      </pivotArea>
    </format>
    <format dxfId="375">
      <pivotArea collapsedLevelsAreSubtotals="1" fieldPosition="0">
        <references count="1">
          <reference field="6" count="1">
            <x v="1535"/>
          </reference>
        </references>
      </pivotArea>
    </format>
    <format dxfId="374">
      <pivotArea collapsedLevelsAreSubtotals="1" fieldPosition="0">
        <references count="1">
          <reference field="6" count="1">
            <x v="1547"/>
          </reference>
        </references>
      </pivotArea>
    </format>
    <format dxfId="373">
      <pivotArea collapsedLevelsAreSubtotals="1" fieldPosition="0">
        <references count="1">
          <reference field="6" count="1">
            <x v="1551"/>
          </reference>
        </references>
      </pivotArea>
    </format>
    <format dxfId="372">
      <pivotArea collapsedLevelsAreSubtotals="1" fieldPosition="0">
        <references count="1">
          <reference field="6" count="1">
            <x v="1553"/>
          </reference>
        </references>
      </pivotArea>
    </format>
    <format dxfId="371">
      <pivotArea collapsedLevelsAreSubtotals="1" fieldPosition="0">
        <references count="1">
          <reference field="6" count="1">
            <x v="1559"/>
          </reference>
        </references>
      </pivotArea>
    </format>
    <format dxfId="370">
      <pivotArea collapsedLevelsAreSubtotals="1" fieldPosition="0">
        <references count="1">
          <reference field="6" count="1">
            <x v="1571"/>
          </reference>
        </references>
      </pivotArea>
    </format>
    <format dxfId="369">
      <pivotArea collapsedLevelsAreSubtotals="1" fieldPosition="0">
        <references count="1">
          <reference field="6" count="1">
            <x v="1586"/>
          </reference>
        </references>
      </pivotArea>
    </format>
    <format dxfId="368">
      <pivotArea collapsedLevelsAreSubtotals="1" fieldPosition="0">
        <references count="1">
          <reference field="6" count="1">
            <x v="1590"/>
          </reference>
        </references>
      </pivotArea>
    </format>
    <format dxfId="367">
      <pivotArea collapsedLevelsAreSubtotals="1" fieldPosition="0">
        <references count="1">
          <reference field="6" count="1">
            <x v="1605"/>
          </reference>
        </references>
      </pivotArea>
    </format>
    <format dxfId="366">
      <pivotArea collapsedLevelsAreSubtotals="1" fieldPosition="0">
        <references count="1">
          <reference field="6" count="1">
            <x v="1611"/>
          </reference>
        </references>
      </pivotArea>
    </format>
    <format dxfId="365">
      <pivotArea collapsedLevelsAreSubtotals="1" fieldPosition="0">
        <references count="1">
          <reference field="6" count="1">
            <x v="1612"/>
          </reference>
        </references>
      </pivotArea>
    </format>
    <format dxfId="364">
      <pivotArea collapsedLevelsAreSubtotals="1" fieldPosition="0">
        <references count="1">
          <reference field="6" count="1">
            <x v="1620"/>
          </reference>
        </references>
      </pivotArea>
    </format>
    <format dxfId="363">
      <pivotArea collapsedLevelsAreSubtotals="1" fieldPosition="0">
        <references count="1">
          <reference field="6" count="1">
            <x v="1623"/>
          </reference>
        </references>
      </pivotArea>
    </format>
    <format dxfId="362">
      <pivotArea collapsedLevelsAreSubtotals="1" fieldPosition="0">
        <references count="1">
          <reference field="6" count="1">
            <x v="1635"/>
          </reference>
        </references>
      </pivotArea>
    </format>
    <format dxfId="361">
      <pivotArea collapsedLevelsAreSubtotals="1" fieldPosition="0">
        <references count="1">
          <reference field="6" count="1">
            <x v="1640"/>
          </reference>
        </references>
      </pivotArea>
    </format>
    <format dxfId="360">
      <pivotArea collapsedLevelsAreSubtotals="1" fieldPosition="0">
        <references count="1">
          <reference field="6" count="1">
            <x v="1651"/>
          </reference>
        </references>
      </pivotArea>
    </format>
    <format dxfId="359">
      <pivotArea collapsedLevelsAreSubtotals="1" fieldPosition="0">
        <references count="1">
          <reference field="6" count="1">
            <x v="1662"/>
          </reference>
        </references>
      </pivotArea>
    </format>
    <format dxfId="358">
      <pivotArea collapsedLevelsAreSubtotals="1" fieldPosition="0">
        <references count="1">
          <reference field="6" count="1">
            <x v="1664"/>
          </reference>
        </references>
      </pivotArea>
    </format>
    <format dxfId="357">
      <pivotArea collapsedLevelsAreSubtotals="1" fieldPosition="0">
        <references count="1">
          <reference field="6" count="1">
            <x v="1676"/>
          </reference>
        </references>
      </pivotArea>
    </format>
    <format dxfId="356">
      <pivotArea collapsedLevelsAreSubtotals="1" fieldPosition="0">
        <references count="1">
          <reference field="6" count="1">
            <x v="1679"/>
          </reference>
        </references>
      </pivotArea>
    </format>
    <format dxfId="355">
      <pivotArea collapsedLevelsAreSubtotals="1" fieldPosition="0">
        <references count="1">
          <reference field="6" count="1">
            <x v="1686"/>
          </reference>
        </references>
      </pivotArea>
    </format>
    <format dxfId="354">
      <pivotArea collapsedLevelsAreSubtotals="1" fieldPosition="0">
        <references count="1">
          <reference field="6" count="1">
            <x v="1691"/>
          </reference>
        </references>
      </pivotArea>
    </format>
    <format dxfId="353">
      <pivotArea collapsedLevelsAreSubtotals="1" fieldPosition="0">
        <references count="1">
          <reference field="6" count="1">
            <x v="1696"/>
          </reference>
        </references>
      </pivotArea>
    </format>
    <format dxfId="352">
      <pivotArea collapsedLevelsAreSubtotals="1" fieldPosition="0">
        <references count="1">
          <reference field="6" count="1">
            <x v="1724"/>
          </reference>
        </references>
      </pivotArea>
    </format>
    <format dxfId="351">
      <pivotArea collapsedLevelsAreSubtotals="1" fieldPosition="0">
        <references count="1">
          <reference field="6" count="1">
            <x v="1732"/>
          </reference>
        </references>
      </pivotArea>
    </format>
    <format dxfId="350">
      <pivotArea collapsedLevelsAreSubtotals="1" fieldPosition="0">
        <references count="1">
          <reference field="6" count="1">
            <x v="1737"/>
          </reference>
        </references>
      </pivotArea>
    </format>
    <format dxfId="349">
      <pivotArea collapsedLevelsAreSubtotals="1" fieldPosition="0">
        <references count="1">
          <reference field="6" count="1">
            <x v="1758"/>
          </reference>
        </references>
      </pivotArea>
    </format>
    <format dxfId="348">
      <pivotArea collapsedLevelsAreSubtotals="1" fieldPosition="0">
        <references count="1">
          <reference field="6" count="1">
            <x v="1760"/>
          </reference>
        </references>
      </pivotArea>
    </format>
    <format dxfId="347">
      <pivotArea collapsedLevelsAreSubtotals="1" fieldPosition="0">
        <references count="1">
          <reference field="6" count="1">
            <x v="1775"/>
          </reference>
        </references>
      </pivotArea>
    </format>
    <format dxfId="346">
      <pivotArea collapsedLevelsAreSubtotals="1" fieldPosition="0">
        <references count="1">
          <reference field="6" count="1">
            <x v="1776"/>
          </reference>
        </references>
      </pivotArea>
    </format>
    <format dxfId="345">
      <pivotArea collapsedLevelsAreSubtotals="1" fieldPosition="0">
        <references count="1">
          <reference field="6" count="1">
            <x v="1785"/>
          </reference>
        </references>
      </pivotArea>
    </format>
    <format dxfId="344">
      <pivotArea collapsedLevelsAreSubtotals="1" fieldPosition="0">
        <references count="1">
          <reference field="6" count="1">
            <x v="1789"/>
          </reference>
        </references>
      </pivotArea>
    </format>
    <format dxfId="343">
      <pivotArea collapsedLevelsAreSubtotals="1" fieldPosition="0">
        <references count="1">
          <reference field="6" count="1">
            <x v="1800"/>
          </reference>
        </references>
      </pivotArea>
    </format>
    <format dxfId="342">
      <pivotArea collapsedLevelsAreSubtotals="1" fieldPosition="0">
        <references count="1">
          <reference field="6" count="1">
            <x v="1808"/>
          </reference>
        </references>
      </pivotArea>
    </format>
    <format dxfId="341">
      <pivotArea collapsedLevelsAreSubtotals="1" fieldPosition="0">
        <references count="1">
          <reference field="6" count="1">
            <x v="1818"/>
          </reference>
        </references>
      </pivotArea>
    </format>
    <format dxfId="340">
      <pivotArea collapsedLevelsAreSubtotals="1" fieldPosition="0">
        <references count="1">
          <reference field="6" count="1">
            <x v="1848"/>
          </reference>
        </references>
      </pivotArea>
    </format>
    <format dxfId="339">
      <pivotArea collapsedLevelsAreSubtotals="1" fieldPosition="0">
        <references count="1">
          <reference field="6" count="1">
            <x v="1849"/>
          </reference>
        </references>
      </pivotArea>
    </format>
    <format dxfId="338">
      <pivotArea collapsedLevelsAreSubtotals="1" fieldPosition="0">
        <references count="1">
          <reference field="6" count="1">
            <x v="1857"/>
          </reference>
        </references>
      </pivotArea>
    </format>
    <format dxfId="337">
      <pivotArea collapsedLevelsAreSubtotals="1" fieldPosition="0">
        <references count="1">
          <reference field="6" count="1">
            <x v="1861"/>
          </reference>
        </references>
      </pivotArea>
    </format>
    <format dxfId="336">
      <pivotArea collapsedLevelsAreSubtotals="1" fieldPosition="0">
        <references count="1">
          <reference field="6" count="1">
            <x v="1867"/>
          </reference>
        </references>
      </pivotArea>
    </format>
    <format dxfId="335">
      <pivotArea collapsedLevelsAreSubtotals="1" fieldPosition="0">
        <references count="1">
          <reference field="6" count="1">
            <x v="1909"/>
          </reference>
        </references>
      </pivotArea>
    </format>
    <format dxfId="334">
      <pivotArea collapsedLevelsAreSubtotals="1" fieldPosition="0">
        <references count="1">
          <reference field="6" count="1">
            <x v="1911"/>
          </reference>
        </references>
      </pivotArea>
    </format>
    <format dxfId="333">
      <pivotArea collapsedLevelsAreSubtotals="1" fieldPosition="0">
        <references count="1">
          <reference field="6" count="1">
            <x v="1917"/>
          </reference>
        </references>
      </pivotArea>
    </format>
    <format dxfId="332">
      <pivotArea collapsedLevelsAreSubtotals="1" fieldPosition="0">
        <references count="1">
          <reference field="6" count="1">
            <x v="1941"/>
          </reference>
        </references>
      </pivotArea>
    </format>
    <format dxfId="331">
      <pivotArea collapsedLevelsAreSubtotals="1" fieldPosition="0">
        <references count="1">
          <reference field="6" count="1">
            <x v="1946"/>
          </reference>
        </references>
      </pivotArea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type="origin" dataOnly="0" labelOnly="1" outline="0" fieldPosition="0"/>
    </format>
    <format dxfId="327">
      <pivotArea field="19" type="button" dataOnly="0" labelOnly="1" outline="0" axis="axisCol" fieldPosition="0"/>
    </format>
    <format dxfId="326">
      <pivotArea type="topRight" dataOnly="0" labelOnly="1" outline="0" fieldPosition="0"/>
    </format>
    <format dxfId="325">
      <pivotArea field="6" type="button" dataOnly="0" labelOnly="1" outline="0" axis="axisRow" fieldPosition="0"/>
    </format>
    <format dxfId="324">
      <pivotArea dataOnly="0" labelOnly="1" fieldPosition="0">
        <references count="1">
          <reference field="6" count="50">
            <x v="9"/>
            <x v="15"/>
            <x v="26"/>
            <x v="27"/>
            <x v="46"/>
            <x v="49"/>
            <x v="60"/>
            <x v="61"/>
            <x v="63"/>
            <x v="67"/>
            <x v="74"/>
            <x v="80"/>
            <x v="82"/>
            <x v="83"/>
            <x v="90"/>
            <x v="95"/>
            <x v="99"/>
            <x v="100"/>
            <x v="111"/>
            <x v="113"/>
            <x v="117"/>
            <x v="123"/>
            <x v="128"/>
            <x v="140"/>
            <x v="150"/>
            <x v="163"/>
            <x v="165"/>
            <x v="178"/>
            <x v="180"/>
            <x v="181"/>
            <x v="185"/>
            <x v="204"/>
            <x v="207"/>
            <x v="213"/>
            <x v="231"/>
            <x v="233"/>
            <x v="235"/>
            <x v="239"/>
            <x v="243"/>
            <x v="245"/>
            <x v="253"/>
            <x v="254"/>
            <x v="256"/>
            <x v="280"/>
            <x v="282"/>
            <x v="284"/>
            <x v="286"/>
            <x v="289"/>
            <x v="296"/>
            <x v="305"/>
          </reference>
        </references>
      </pivotArea>
    </format>
    <format dxfId="323">
      <pivotArea dataOnly="0" labelOnly="1" fieldPosition="0">
        <references count="1">
          <reference field="6" count="50">
            <x v="320"/>
            <x v="326"/>
            <x v="331"/>
            <x v="333"/>
            <x v="336"/>
            <x v="344"/>
            <x v="350"/>
            <x v="358"/>
            <x v="375"/>
            <x v="384"/>
            <x v="391"/>
            <x v="397"/>
            <x v="403"/>
            <x v="406"/>
            <x v="412"/>
            <x v="429"/>
            <x v="433"/>
            <x v="434"/>
            <x v="435"/>
            <x v="436"/>
            <x v="454"/>
            <x v="455"/>
            <x v="456"/>
            <x v="464"/>
            <x v="465"/>
            <x v="468"/>
            <x v="470"/>
            <x v="472"/>
            <x v="475"/>
            <x v="477"/>
            <x v="491"/>
            <x v="520"/>
            <x v="522"/>
            <x v="523"/>
            <x v="524"/>
            <x v="525"/>
            <x v="532"/>
            <x v="534"/>
            <x v="535"/>
            <x v="542"/>
            <x v="545"/>
            <x v="555"/>
            <x v="557"/>
            <x v="566"/>
            <x v="571"/>
            <x v="575"/>
            <x v="577"/>
            <x v="578"/>
            <x v="594"/>
            <x v="595"/>
          </reference>
        </references>
      </pivotArea>
    </format>
    <format dxfId="322">
      <pivotArea dataOnly="0" labelOnly="1" fieldPosition="0">
        <references count="1">
          <reference field="6" count="50">
            <x v="607"/>
            <x v="608"/>
            <x v="610"/>
            <x v="611"/>
            <x v="612"/>
            <x v="616"/>
            <x v="617"/>
            <x v="618"/>
            <x v="620"/>
            <x v="622"/>
            <x v="631"/>
            <x v="632"/>
            <x v="633"/>
            <x v="644"/>
            <x v="663"/>
            <x v="699"/>
            <x v="706"/>
            <x v="711"/>
            <x v="712"/>
            <x v="713"/>
            <x v="719"/>
            <x v="731"/>
            <x v="735"/>
            <x v="744"/>
            <x v="759"/>
            <x v="760"/>
            <x v="761"/>
            <x v="774"/>
            <x v="781"/>
            <x v="782"/>
            <x v="785"/>
            <x v="788"/>
            <x v="789"/>
            <x v="792"/>
            <x v="796"/>
            <x v="798"/>
            <x v="799"/>
            <x v="807"/>
            <x v="808"/>
            <x v="809"/>
            <x v="812"/>
            <x v="818"/>
            <x v="820"/>
            <x v="826"/>
            <x v="830"/>
            <x v="853"/>
            <x v="855"/>
            <x v="856"/>
            <x v="858"/>
            <x v="859"/>
          </reference>
        </references>
      </pivotArea>
    </format>
    <format dxfId="321">
      <pivotArea dataOnly="0" labelOnly="1" fieldPosition="0">
        <references count="1">
          <reference field="6" count="50">
            <x v="860"/>
            <x v="866"/>
            <x v="878"/>
            <x v="882"/>
            <x v="885"/>
            <x v="894"/>
            <x v="897"/>
            <x v="910"/>
            <x v="917"/>
            <x v="920"/>
            <x v="928"/>
            <x v="938"/>
            <x v="940"/>
            <x v="941"/>
            <x v="950"/>
            <x v="952"/>
            <x v="964"/>
            <x v="969"/>
            <x v="993"/>
            <x v="1015"/>
            <x v="1020"/>
            <x v="1029"/>
            <x v="1032"/>
            <x v="1033"/>
            <x v="1041"/>
            <x v="1046"/>
            <x v="1049"/>
            <x v="1050"/>
            <x v="1057"/>
            <x v="1059"/>
            <x v="1060"/>
            <x v="1062"/>
            <x v="1081"/>
            <x v="1085"/>
            <x v="1087"/>
            <x v="1091"/>
            <x v="1103"/>
            <x v="1107"/>
            <x v="1109"/>
            <x v="1112"/>
            <x v="1115"/>
            <x v="1119"/>
            <x v="1125"/>
            <x v="1126"/>
            <x v="1129"/>
            <x v="1131"/>
            <x v="1141"/>
            <x v="1148"/>
            <x v="1160"/>
            <x v="1161"/>
          </reference>
        </references>
      </pivotArea>
    </format>
    <format dxfId="320">
      <pivotArea dataOnly="0" labelOnly="1" fieldPosition="0">
        <references count="1">
          <reference field="6" count="50">
            <x v="1175"/>
            <x v="1189"/>
            <x v="1198"/>
            <x v="1202"/>
            <x v="1209"/>
            <x v="1213"/>
            <x v="1219"/>
            <x v="1225"/>
            <x v="1226"/>
            <x v="1229"/>
            <x v="1234"/>
            <x v="1254"/>
            <x v="1261"/>
            <x v="1269"/>
            <x v="1273"/>
            <x v="1276"/>
            <x v="1279"/>
            <x v="1281"/>
            <x v="1286"/>
            <x v="1293"/>
            <x v="1297"/>
            <x v="1298"/>
            <x v="1307"/>
            <x v="1308"/>
            <x v="1310"/>
            <x v="1315"/>
            <x v="1317"/>
            <x v="1320"/>
            <x v="1325"/>
            <x v="1327"/>
            <x v="1328"/>
            <x v="1329"/>
            <x v="1331"/>
            <x v="1336"/>
            <x v="1342"/>
            <x v="1344"/>
            <x v="1345"/>
            <x v="1347"/>
            <x v="1352"/>
            <x v="1361"/>
            <x v="1368"/>
            <x v="1374"/>
            <x v="1376"/>
            <x v="1379"/>
            <x v="1385"/>
            <x v="1387"/>
            <x v="1390"/>
            <x v="1391"/>
            <x v="1394"/>
            <x v="1408"/>
          </reference>
        </references>
      </pivotArea>
    </format>
    <format dxfId="319">
      <pivotArea dataOnly="0" labelOnly="1" fieldPosition="0">
        <references count="1">
          <reference field="6" count="50">
            <x v="1410"/>
            <x v="1411"/>
            <x v="1413"/>
            <x v="1415"/>
            <x v="1417"/>
            <x v="1420"/>
            <x v="1428"/>
            <x v="1435"/>
            <x v="1440"/>
            <x v="1447"/>
            <x v="1453"/>
            <x v="1459"/>
            <x v="1463"/>
            <x v="1467"/>
            <x v="1472"/>
            <x v="1477"/>
            <x v="1478"/>
            <x v="1489"/>
            <x v="1490"/>
            <x v="1491"/>
            <x v="1495"/>
            <x v="1497"/>
            <x v="1505"/>
            <x v="1506"/>
            <x v="1507"/>
            <x v="1515"/>
            <x v="1518"/>
            <x v="1521"/>
            <x v="1525"/>
            <x v="1529"/>
            <x v="1534"/>
            <x v="1536"/>
            <x v="1540"/>
            <x v="1551"/>
            <x v="1562"/>
            <x v="1563"/>
            <x v="1567"/>
            <x v="1573"/>
            <x v="1576"/>
            <x v="1577"/>
            <x v="1578"/>
            <x v="1583"/>
            <x v="1586"/>
            <x v="1588"/>
            <x v="1591"/>
            <x v="1593"/>
            <x v="1594"/>
            <x v="1603"/>
            <x v="1605"/>
            <x v="1608"/>
          </reference>
        </references>
      </pivotArea>
    </format>
    <format dxfId="318">
      <pivotArea dataOnly="0" labelOnly="1" fieldPosition="0">
        <references count="1">
          <reference field="6" count="50">
            <x v="1609"/>
            <x v="1612"/>
            <x v="1629"/>
            <x v="1639"/>
            <x v="1640"/>
            <x v="1645"/>
            <x v="1646"/>
            <x v="1647"/>
            <x v="1650"/>
            <x v="1656"/>
            <x v="1661"/>
            <x v="1664"/>
            <x v="1671"/>
            <x v="1676"/>
            <x v="1696"/>
            <x v="1699"/>
            <x v="1700"/>
            <x v="1704"/>
            <x v="1729"/>
            <x v="1730"/>
            <x v="1735"/>
            <x v="1749"/>
            <x v="1751"/>
            <x v="1753"/>
            <x v="1770"/>
            <x v="1773"/>
            <x v="1781"/>
            <x v="1785"/>
            <x v="1786"/>
            <x v="1787"/>
            <x v="1793"/>
            <x v="1804"/>
            <x v="1809"/>
            <x v="1819"/>
            <x v="1824"/>
            <x v="1832"/>
            <x v="1833"/>
            <x v="1836"/>
            <x v="1841"/>
            <x v="1842"/>
            <x v="1843"/>
            <x v="1844"/>
            <x v="1845"/>
            <x v="1852"/>
            <x v="1853"/>
            <x v="1855"/>
            <x v="1861"/>
            <x v="1871"/>
            <x v="1894"/>
            <x v="1895"/>
          </reference>
        </references>
      </pivotArea>
    </format>
    <format dxfId="317">
      <pivotArea dataOnly="0" labelOnly="1" fieldPosition="0">
        <references count="1">
          <reference field="6" count="9">
            <x v="1897"/>
            <x v="1898"/>
            <x v="1910"/>
            <x v="1923"/>
            <x v="1928"/>
            <x v="1937"/>
            <x v="1946"/>
            <x v="1948"/>
            <x v="1951"/>
          </reference>
        </references>
      </pivotArea>
    </format>
    <format dxfId="316">
      <pivotArea dataOnly="0" labelOnly="1" grandRow="1" outline="0" fieldPosition="0"/>
    </format>
    <format dxfId="315">
      <pivotArea dataOnly="0" labelOnly="1" fieldPosition="0">
        <references count="1">
          <reference field="19" count="0"/>
        </references>
      </pivotArea>
    </format>
    <format dxfId="314">
      <pivotArea dataOnly="0" labelOnly="1" grandCol="1" outline="0" fieldPosition="0"/>
    </format>
    <format dxfId="313">
      <pivotArea dataOnly="0" labelOnly="1" fieldPosition="0">
        <references count="1">
          <reference field="6" count="50">
            <x v="0"/>
            <x v="1"/>
            <x v="5"/>
            <x v="12"/>
            <x v="19"/>
            <x v="22"/>
            <x v="23"/>
            <x v="25"/>
            <x v="27"/>
            <x v="37"/>
            <x v="38"/>
            <x v="40"/>
            <x v="41"/>
            <x v="43"/>
            <x v="46"/>
            <x v="47"/>
            <x v="49"/>
            <x v="50"/>
            <x v="51"/>
            <x v="53"/>
            <x v="54"/>
            <x v="55"/>
            <x v="63"/>
            <x v="65"/>
            <x v="71"/>
            <x v="72"/>
            <x v="75"/>
            <x v="78"/>
            <x v="80"/>
            <x v="82"/>
            <x v="83"/>
            <x v="84"/>
            <x v="85"/>
            <x v="87"/>
            <x v="88"/>
            <x v="94"/>
            <x v="99"/>
            <x v="100"/>
            <x v="101"/>
            <x v="104"/>
            <x v="108"/>
            <x v="109"/>
            <x v="120"/>
            <x v="123"/>
            <x v="124"/>
            <x v="129"/>
            <x v="135"/>
            <x v="138"/>
            <x v="140"/>
            <x v="141"/>
          </reference>
        </references>
      </pivotArea>
    </format>
    <format dxfId="312">
      <pivotArea dataOnly="0" labelOnly="1" fieldPosition="0">
        <references count="1">
          <reference field="6" count="50">
            <x v="149"/>
            <x v="154"/>
            <x v="159"/>
            <x v="160"/>
            <x v="162"/>
            <x v="163"/>
            <x v="165"/>
            <x v="167"/>
            <x v="170"/>
            <x v="172"/>
            <x v="187"/>
            <x v="188"/>
            <x v="190"/>
            <x v="196"/>
            <x v="202"/>
            <x v="212"/>
            <x v="214"/>
            <x v="228"/>
            <x v="229"/>
            <x v="234"/>
            <x v="235"/>
            <x v="238"/>
            <x v="239"/>
            <x v="242"/>
            <x v="243"/>
            <x v="246"/>
            <x v="248"/>
            <x v="254"/>
            <x v="256"/>
            <x v="257"/>
            <x v="258"/>
            <x v="259"/>
            <x v="260"/>
            <x v="261"/>
            <x v="265"/>
            <x v="266"/>
            <x v="271"/>
            <x v="274"/>
            <x v="280"/>
            <x v="282"/>
            <x v="284"/>
            <x v="289"/>
            <x v="291"/>
            <x v="294"/>
            <x v="296"/>
            <x v="297"/>
            <x v="299"/>
            <x v="307"/>
            <x v="308"/>
            <x v="313"/>
          </reference>
        </references>
      </pivotArea>
    </format>
    <format dxfId="311">
      <pivotArea dataOnly="0" labelOnly="1" fieldPosition="0">
        <references count="1">
          <reference field="6" count="50">
            <x v="315"/>
            <x v="317"/>
            <x v="319"/>
            <x v="325"/>
            <x v="326"/>
            <x v="327"/>
            <x v="329"/>
            <x v="336"/>
            <x v="347"/>
            <x v="348"/>
            <x v="350"/>
            <x v="351"/>
            <x v="358"/>
            <x v="360"/>
            <x v="365"/>
            <x v="372"/>
            <x v="373"/>
            <x v="375"/>
            <x v="376"/>
            <x v="377"/>
            <x v="380"/>
            <x v="385"/>
            <x v="387"/>
            <x v="388"/>
            <x v="390"/>
            <x v="391"/>
            <x v="393"/>
            <x v="395"/>
            <x v="407"/>
            <x v="408"/>
            <x v="411"/>
            <x v="412"/>
            <x v="415"/>
            <x v="424"/>
            <x v="427"/>
            <x v="428"/>
            <x v="430"/>
            <x v="431"/>
            <x v="432"/>
            <x v="434"/>
            <x v="436"/>
            <x v="437"/>
            <x v="439"/>
            <x v="441"/>
            <x v="443"/>
            <x v="446"/>
            <x v="449"/>
            <x v="454"/>
            <x v="456"/>
            <x v="462"/>
          </reference>
        </references>
      </pivotArea>
    </format>
    <format dxfId="310">
      <pivotArea dataOnly="0" labelOnly="1" fieldPosition="0">
        <references count="1">
          <reference field="6" count="50">
            <x v="463"/>
            <x v="464"/>
            <x v="465"/>
            <x v="468"/>
            <x v="470"/>
            <x v="472"/>
            <x v="477"/>
            <x v="479"/>
            <x v="481"/>
            <x v="484"/>
            <x v="491"/>
            <x v="492"/>
            <x v="502"/>
            <x v="511"/>
            <x v="514"/>
            <x v="515"/>
            <x v="518"/>
            <x v="519"/>
            <x v="520"/>
            <x v="525"/>
            <x v="527"/>
            <x v="531"/>
            <x v="534"/>
            <x v="535"/>
            <x v="543"/>
            <x v="544"/>
            <x v="545"/>
            <x v="548"/>
            <x v="549"/>
            <x v="552"/>
            <x v="555"/>
            <x v="557"/>
            <x v="558"/>
            <x v="562"/>
            <x v="564"/>
            <x v="567"/>
            <x v="569"/>
            <x v="571"/>
            <x v="572"/>
            <x v="574"/>
            <x v="575"/>
            <x v="585"/>
            <x v="586"/>
            <x v="588"/>
            <x v="589"/>
            <x v="592"/>
            <x v="594"/>
            <x v="600"/>
            <x v="601"/>
            <x v="603"/>
          </reference>
        </references>
      </pivotArea>
    </format>
    <format dxfId="309">
      <pivotArea dataOnly="0" labelOnly="1" fieldPosition="0">
        <references count="1">
          <reference field="6" count="50">
            <x v="604"/>
            <x v="610"/>
            <x v="611"/>
            <x v="612"/>
            <x v="613"/>
            <x v="617"/>
            <x v="618"/>
            <x v="620"/>
            <x v="622"/>
            <x v="626"/>
            <x v="628"/>
            <x v="629"/>
            <x v="634"/>
            <x v="636"/>
            <x v="637"/>
            <x v="642"/>
            <x v="644"/>
            <x v="651"/>
            <x v="653"/>
            <x v="654"/>
            <x v="655"/>
            <x v="657"/>
            <x v="661"/>
            <x v="662"/>
            <x v="663"/>
            <x v="667"/>
            <x v="673"/>
            <x v="674"/>
            <x v="677"/>
            <x v="679"/>
            <x v="681"/>
            <x v="685"/>
            <x v="686"/>
            <x v="688"/>
            <x v="690"/>
            <x v="692"/>
            <x v="698"/>
            <x v="699"/>
            <x v="705"/>
            <x v="706"/>
            <x v="707"/>
            <x v="712"/>
            <x v="716"/>
            <x v="719"/>
            <x v="731"/>
            <x v="733"/>
            <x v="740"/>
            <x v="741"/>
            <x v="744"/>
            <x v="745"/>
          </reference>
        </references>
      </pivotArea>
    </format>
    <format dxfId="308">
      <pivotArea dataOnly="0" labelOnly="1" fieldPosition="0">
        <references count="1">
          <reference field="6" count="50">
            <x v="746"/>
            <x v="749"/>
            <x v="751"/>
            <x v="754"/>
            <x v="756"/>
            <x v="759"/>
            <x v="760"/>
            <x v="763"/>
            <x v="767"/>
            <x v="770"/>
            <x v="774"/>
            <x v="785"/>
            <x v="786"/>
            <x v="789"/>
            <x v="792"/>
            <x v="796"/>
            <x v="797"/>
            <x v="806"/>
            <x v="807"/>
            <x v="808"/>
            <x v="809"/>
            <x v="812"/>
            <x v="813"/>
            <x v="819"/>
            <x v="824"/>
            <x v="826"/>
            <x v="827"/>
            <x v="828"/>
            <x v="830"/>
            <x v="831"/>
            <x v="832"/>
            <x v="833"/>
            <x v="839"/>
            <x v="844"/>
            <x v="846"/>
            <x v="847"/>
            <x v="848"/>
            <x v="851"/>
            <x v="860"/>
            <x v="867"/>
            <x v="870"/>
            <x v="873"/>
            <x v="874"/>
            <x v="878"/>
            <x v="883"/>
            <x v="887"/>
            <x v="889"/>
            <x v="890"/>
            <x v="893"/>
            <x v="894"/>
          </reference>
        </references>
      </pivotArea>
    </format>
    <format dxfId="307">
      <pivotArea dataOnly="0" labelOnly="1" fieldPosition="0">
        <references count="1">
          <reference field="6" count="50">
            <x v="896"/>
            <x v="901"/>
            <x v="904"/>
            <x v="906"/>
            <x v="909"/>
            <x v="915"/>
            <x v="928"/>
            <x v="930"/>
            <x v="932"/>
            <x v="936"/>
            <x v="940"/>
            <x v="946"/>
            <x v="947"/>
            <x v="948"/>
            <x v="949"/>
            <x v="950"/>
            <x v="952"/>
            <x v="957"/>
            <x v="958"/>
            <x v="959"/>
            <x v="960"/>
            <x v="963"/>
            <x v="965"/>
            <x v="969"/>
            <x v="971"/>
            <x v="973"/>
            <x v="974"/>
            <x v="975"/>
            <x v="976"/>
            <x v="980"/>
            <x v="984"/>
            <x v="993"/>
            <x v="994"/>
            <x v="995"/>
            <x v="997"/>
            <x v="1006"/>
            <x v="1008"/>
            <x v="1010"/>
            <x v="1015"/>
            <x v="1016"/>
            <x v="1017"/>
            <x v="1020"/>
            <x v="1024"/>
            <x v="1025"/>
            <x v="1027"/>
            <x v="1032"/>
            <x v="1033"/>
            <x v="1036"/>
            <x v="1039"/>
            <x v="1040"/>
          </reference>
        </references>
      </pivotArea>
    </format>
    <format dxfId="306">
      <pivotArea dataOnly="0" labelOnly="1" fieldPosition="0">
        <references count="1">
          <reference field="6" count="50">
            <x v="1046"/>
            <x v="1047"/>
            <x v="1058"/>
            <x v="1061"/>
            <x v="1063"/>
            <x v="1069"/>
            <x v="1078"/>
            <x v="1080"/>
            <x v="1081"/>
            <x v="1086"/>
            <x v="1087"/>
            <x v="1099"/>
            <x v="1103"/>
            <x v="1106"/>
            <x v="1107"/>
            <x v="1109"/>
            <x v="1115"/>
            <x v="1116"/>
            <x v="1122"/>
            <x v="1123"/>
            <x v="1124"/>
            <x v="1126"/>
            <x v="1131"/>
            <x v="1139"/>
            <x v="1141"/>
            <x v="1147"/>
            <x v="1150"/>
            <x v="1152"/>
            <x v="1161"/>
            <x v="1164"/>
            <x v="1166"/>
            <x v="1174"/>
            <x v="1180"/>
            <x v="1183"/>
            <x v="1188"/>
            <x v="1189"/>
            <x v="1192"/>
            <x v="1194"/>
            <x v="1196"/>
            <x v="1197"/>
            <x v="1200"/>
            <x v="1201"/>
            <x v="1202"/>
            <x v="1209"/>
            <x v="1215"/>
            <x v="1226"/>
            <x v="1228"/>
            <x v="1233"/>
            <x v="1234"/>
            <x v="1239"/>
          </reference>
        </references>
      </pivotArea>
    </format>
    <format dxfId="305">
      <pivotArea dataOnly="0" labelOnly="1" fieldPosition="0">
        <references count="1">
          <reference field="6" count="50">
            <x v="1242"/>
            <x v="1247"/>
            <x v="1250"/>
            <x v="1251"/>
            <x v="1254"/>
            <x v="1268"/>
            <x v="1269"/>
            <x v="1272"/>
            <x v="1275"/>
            <x v="1276"/>
            <x v="1281"/>
            <x v="1283"/>
            <x v="1286"/>
            <x v="1289"/>
            <x v="1300"/>
            <x v="1304"/>
            <x v="1307"/>
            <x v="1308"/>
            <x v="1310"/>
            <x v="1313"/>
            <x v="1318"/>
            <x v="1322"/>
            <x v="1327"/>
            <x v="1328"/>
            <x v="1331"/>
            <x v="1332"/>
            <x v="1339"/>
            <x v="1342"/>
            <x v="1343"/>
            <x v="1346"/>
            <x v="1347"/>
            <x v="1351"/>
            <x v="1354"/>
            <x v="1361"/>
            <x v="1366"/>
            <x v="1369"/>
            <x v="1371"/>
            <x v="1375"/>
            <x v="1379"/>
            <x v="1385"/>
            <x v="1388"/>
            <x v="1389"/>
            <x v="1392"/>
            <x v="1394"/>
            <x v="1396"/>
            <x v="1397"/>
            <x v="1398"/>
            <x v="1399"/>
            <x v="1410"/>
            <x v="1412"/>
          </reference>
        </references>
      </pivotArea>
    </format>
    <format dxfId="304">
      <pivotArea dataOnly="0" labelOnly="1" fieldPosition="0">
        <references count="1">
          <reference field="6" count="50">
            <x v="1414"/>
            <x v="1415"/>
            <x v="1419"/>
            <x v="1420"/>
            <x v="1428"/>
            <x v="1434"/>
            <x v="1436"/>
            <x v="1439"/>
            <x v="1443"/>
            <x v="1444"/>
            <x v="1445"/>
            <x v="1447"/>
            <x v="1452"/>
            <x v="1453"/>
            <x v="1457"/>
            <x v="1460"/>
            <x v="1465"/>
            <x v="1474"/>
            <x v="1488"/>
            <x v="1489"/>
            <x v="1495"/>
            <x v="1497"/>
            <x v="1500"/>
            <x v="1507"/>
            <x v="1512"/>
            <x v="1518"/>
            <x v="1521"/>
            <x v="1524"/>
            <x v="1529"/>
            <x v="1536"/>
            <x v="1539"/>
            <x v="1542"/>
            <x v="1543"/>
            <x v="1544"/>
            <x v="1545"/>
            <x v="1551"/>
            <x v="1555"/>
            <x v="1561"/>
            <x v="1562"/>
            <x v="1563"/>
            <x v="1565"/>
            <x v="1566"/>
            <x v="1568"/>
            <x v="1570"/>
            <x v="1573"/>
            <x v="1577"/>
            <x v="1581"/>
            <x v="1592"/>
            <x v="1593"/>
            <x v="1595"/>
          </reference>
        </references>
      </pivotArea>
    </format>
    <format dxfId="303">
      <pivotArea dataOnly="0" labelOnly="1" fieldPosition="0">
        <references count="1">
          <reference field="6" count="50">
            <x v="1597"/>
            <x v="1598"/>
            <x v="1601"/>
            <x v="1603"/>
            <x v="1606"/>
            <x v="1608"/>
            <x v="1609"/>
            <x v="1614"/>
            <x v="1616"/>
            <x v="1617"/>
            <x v="1619"/>
            <x v="1625"/>
            <x v="1633"/>
            <x v="1634"/>
            <x v="1637"/>
            <x v="1638"/>
            <x v="1641"/>
            <x v="1644"/>
            <x v="1645"/>
            <x v="1646"/>
            <x v="1652"/>
            <x v="1653"/>
            <x v="1661"/>
            <x v="1662"/>
            <x v="1663"/>
            <x v="1667"/>
            <x v="1668"/>
            <x v="1670"/>
            <x v="1671"/>
            <x v="1672"/>
            <x v="1674"/>
            <x v="1681"/>
            <x v="1682"/>
            <x v="1683"/>
            <x v="1689"/>
            <x v="1692"/>
            <x v="1695"/>
            <x v="1696"/>
            <x v="1699"/>
            <x v="1700"/>
            <x v="1701"/>
            <x v="1704"/>
            <x v="1707"/>
            <x v="1708"/>
            <x v="1716"/>
            <x v="1722"/>
            <x v="1723"/>
            <x v="1728"/>
            <x v="1733"/>
            <x v="1734"/>
          </reference>
        </references>
      </pivotArea>
    </format>
    <format dxfId="302">
      <pivotArea dataOnly="0" labelOnly="1" fieldPosition="0">
        <references count="1">
          <reference field="6" count="50">
            <x v="1741"/>
            <x v="1744"/>
            <x v="1745"/>
            <x v="1747"/>
            <x v="1748"/>
            <x v="1749"/>
            <x v="1750"/>
            <x v="1751"/>
            <x v="1752"/>
            <x v="1753"/>
            <x v="1756"/>
            <x v="1759"/>
            <x v="1762"/>
            <x v="1765"/>
            <x v="1766"/>
            <x v="1768"/>
            <x v="1770"/>
            <x v="1771"/>
            <x v="1772"/>
            <x v="1773"/>
            <x v="1774"/>
            <x v="1778"/>
            <x v="1779"/>
            <x v="1781"/>
            <x v="1783"/>
            <x v="1785"/>
            <x v="1786"/>
            <x v="1787"/>
            <x v="1792"/>
            <x v="1793"/>
            <x v="1794"/>
            <x v="1796"/>
            <x v="1802"/>
            <x v="1804"/>
            <x v="1805"/>
            <x v="1806"/>
            <x v="1812"/>
            <x v="1813"/>
            <x v="1815"/>
            <x v="1817"/>
            <x v="1819"/>
            <x v="1820"/>
            <x v="1821"/>
            <x v="1834"/>
            <x v="1836"/>
            <x v="1838"/>
            <x v="1839"/>
            <x v="1840"/>
            <x v="1843"/>
            <x v="1844"/>
          </reference>
        </references>
      </pivotArea>
    </format>
    <format dxfId="301">
      <pivotArea dataOnly="0" labelOnly="1" fieldPosition="0">
        <references count="1">
          <reference field="6" count="41">
            <x v="1845"/>
            <x v="1850"/>
            <x v="1851"/>
            <x v="1857"/>
            <x v="1859"/>
            <x v="1861"/>
            <x v="1864"/>
            <x v="1865"/>
            <x v="1867"/>
            <x v="1870"/>
            <x v="1874"/>
            <x v="1875"/>
            <x v="1876"/>
            <x v="1877"/>
            <x v="1884"/>
            <x v="1889"/>
            <x v="1890"/>
            <x v="1891"/>
            <x v="1893"/>
            <x v="1895"/>
            <x v="1896"/>
            <x v="1897"/>
            <x v="1902"/>
            <x v="1904"/>
            <x v="1909"/>
            <x v="1913"/>
            <x v="1919"/>
            <x v="1922"/>
            <x v="1925"/>
            <x v="1926"/>
            <x v="1928"/>
            <x v="1931"/>
            <x v="1932"/>
            <x v="1937"/>
            <x v="1941"/>
            <x v="1944"/>
            <x v="1946"/>
            <x v="1948"/>
            <x v="1949"/>
            <x v="1951"/>
            <x v="1952"/>
          </reference>
        </references>
      </pivotArea>
    </format>
    <format dxfId="300">
      <pivotArea dataOnly="0" labelOnly="1" fieldPosition="0">
        <references count="1">
          <reference field="6" count="1">
            <x v="462"/>
          </reference>
        </references>
      </pivotArea>
    </format>
    <format dxfId="299">
      <pivotArea collapsedLevelsAreSubtotals="1" fieldPosition="0">
        <references count="1">
          <reference field="6" count="17">
            <x v="53"/>
            <x v="54"/>
            <x v="454"/>
            <x v="622"/>
            <x v="792"/>
            <x v="965"/>
            <x v="984"/>
            <x v="1174"/>
            <x v="1343"/>
            <x v="1398"/>
            <x v="1507"/>
            <x v="1595"/>
            <x v="1672"/>
            <x v="1681"/>
            <x v="1753"/>
            <x v="1787"/>
            <x v="1843"/>
          </reference>
        </references>
      </pivotArea>
    </format>
    <format dxfId="298">
      <pivotArea dataOnly="0" labelOnly="1" fieldPosition="0">
        <references count="1">
          <reference field="6" count="17">
            <x v="53"/>
            <x v="54"/>
            <x v="454"/>
            <x v="622"/>
            <x v="792"/>
            <x v="965"/>
            <x v="984"/>
            <x v="1174"/>
            <x v="1343"/>
            <x v="1398"/>
            <x v="1507"/>
            <x v="1595"/>
            <x v="1672"/>
            <x v="1681"/>
            <x v="1753"/>
            <x v="1787"/>
            <x v="1843"/>
          </reference>
        </references>
      </pivotArea>
    </format>
    <format dxfId="297">
      <pivotArea dataOnly="0" labelOnly="1" fieldPosition="0">
        <references count="1">
          <reference field="6" count="50">
            <x v="0"/>
            <x v="8"/>
            <x v="10"/>
            <x v="12"/>
            <x v="15"/>
            <x v="19"/>
            <x v="26"/>
            <x v="27"/>
            <x v="33"/>
            <x v="38"/>
            <x v="40"/>
            <x v="42"/>
            <x v="45"/>
            <x v="46"/>
            <x v="47"/>
            <x v="49"/>
            <x v="59"/>
            <x v="63"/>
            <x v="71"/>
            <x v="82"/>
            <x v="85"/>
            <x v="87"/>
            <x v="88"/>
            <x v="97"/>
            <x v="100"/>
            <x v="101"/>
            <x v="107"/>
            <x v="114"/>
            <x v="115"/>
            <x v="120"/>
            <x v="123"/>
            <x v="126"/>
            <x v="140"/>
            <x v="154"/>
            <x v="158"/>
            <x v="163"/>
            <x v="164"/>
            <x v="165"/>
            <x v="176"/>
            <x v="190"/>
            <x v="192"/>
            <x v="221"/>
            <x v="229"/>
            <x v="234"/>
            <x v="235"/>
            <x v="245"/>
            <x v="246"/>
            <x v="253"/>
            <x v="254"/>
            <x v="260"/>
          </reference>
        </references>
      </pivotArea>
    </format>
    <format dxfId="296">
      <pivotArea dataOnly="0" labelOnly="1" fieldPosition="0">
        <references count="1">
          <reference field="6" count="50">
            <x v="262"/>
            <x v="265"/>
            <x v="271"/>
            <x v="273"/>
            <x v="276"/>
            <x v="280"/>
            <x v="283"/>
            <x v="284"/>
            <x v="288"/>
            <x v="289"/>
            <x v="294"/>
            <x v="295"/>
            <x v="296"/>
            <x v="297"/>
            <x v="304"/>
            <x v="306"/>
            <x v="310"/>
            <x v="315"/>
            <x v="317"/>
            <x v="319"/>
            <x v="325"/>
            <x v="331"/>
            <x v="336"/>
            <x v="347"/>
            <x v="348"/>
            <x v="350"/>
            <x v="353"/>
            <x v="355"/>
            <x v="358"/>
            <x v="360"/>
            <x v="368"/>
            <x v="374"/>
            <x v="375"/>
            <x v="376"/>
            <x v="377"/>
            <x v="388"/>
            <x v="391"/>
            <x v="402"/>
            <x v="404"/>
            <x v="412"/>
            <x v="413"/>
            <x v="423"/>
            <x v="424"/>
            <x v="427"/>
            <x v="429"/>
            <x v="434"/>
            <x v="435"/>
            <x v="436"/>
            <x v="453"/>
            <x v="454"/>
          </reference>
        </references>
      </pivotArea>
    </format>
    <format dxfId="295">
      <pivotArea dataOnly="0" labelOnly="1" fieldPosition="0">
        <references count="1">
          <reference field="6" count="50">
            <x v="457"/>
            <x v="462"/>
            <x v="464"/>
            <x v="465"/>
            <x v="477"/>
            <x v="479"/>
            <x v="482"/>
            <x v="484"/>
            <x v="486"/>
            <x v="491"/>
            <x v="495"/>
            <x v="501"/>
            <x v="506"/>
            <x v="510"/>
            <x v="515"/>
            <x v="520"/>
            <x v="525"/>
            <x v="532"/>
            <x v="533"/>
            <x v="544"/>
            <x v="545"/>
            <x v="547"/>
            <x v="549"/>
            <x v="556"/>
            <x v="558"/>
            <x v="571"/>
            <x v="572"/>
            <x v="573"/>
            <x v="575"/>
            <x v="585"/>
            <x v="589"/>
            <x v="591"/>
            <x v="593"/>
            <x v="595"/>
            <x v="603"/>
            <x v="606"/>
            <x v="607"/>
            <x v="610"/>
            <x v="612"/>
            <x v="617"/>
            <x v="618"/>
            <x v="620"/>
            <x v="622"/>
            <x v="626"/>
            <x v="628"/>
            <x v="629"/>
            <x v="637"/>
            <x v="644"/>
            <x v="654"/>
            <x v="655"/>
          </reference>
        </references>
      </pivotArea>
    </format>
    <format dxfId="294">
      <pivotArea dataOnly="0" labelOnly="1" fieldPosition="0">
        <references count="1">
          <reference field="6" count="50">
            <x v="663"/>
            <x v="664"/>
            <x v="668"/>
            <x v="682"/>
            <x v="685"/>
            <x v="690"/>
            <x v="696"/>
            <x v="698"/>
            <x v="705"/>
            <x v="712"/>
            <x v="716"/>
            <x v="721"/>
            <x v="723"/>
            <x v="733"/>
            <x v="736"/>
            <x v="741"/>
            <x v="743"/>
            <x v="744"/>
            <x v="751"/>
            <x v="757"/>
            <x v="759"/>
            <x v="760"/>
            <x v="765"/>
            <x v="767"/>
            <x v="771"/>
            <x v="774"/>
            <x v="784"/>
            <x v="785"/>
            <x v="789"/>
            <x v="792"/>
            <x v="796"/>
            <x v="797"/>
            <x v="799"/>
            <x v="800"/>
            <x v="801"/>
            <x v="803"/>
            <x v="806"/>
            <x v="809"/>
            <x v="812"/>
            <x v="821"/>
            <x v="825"/>
            <x v="827"/>
            <x v="830"/>
            <x v="840"/>
            <x v="844"/>
            <x v="846"/>
            <x v="847"/>
            <x v="850"/>
            <x v="851"/>
            <x v="852"/>
          </reference>
        </references>
      </pivotArea>
    </format>
    <format dxfId="293">
      <pivotArea dataOnly="0" labelOnly="1" fieldPosition="0">
        <references count="1">
          <reference field="6" count="50">
            <x v="854"/>
            <x v="860"/>
            <x v="869"/>
            <x v="874"/>
            <x v="878"/>
            <x v="881"/>
            <x v="886"/>
            <x v="889"/>
            <x v="890"/>
            <x v="891"/>
            <x v="892"/>
            <x v="894"/>
            <x v="896"/>
            <x v="897"/>
            <x v="899"/>
            <x v="901"/>
            <x v="902"/>
            <x v="909"/>
            <x v="911"/>
            <x v="915"/>
            <x v="916"/>
            <x v="917"/>
            <x v="919"/>
            <x v="922"/>
            <x v="926"/>
            <x v="935"/>
            <x v="945"/>
            <x v="971"/>
            <x v="974"/>
            <x v="976"/>
            <x v="978"/>
            <x v="984"/>
            <x v="988"/>
            <x v="1001"/>
            <x v="1015"/>
            <x v="1016"/>
            <x v="1020"/>
            <x v="1026"/>
            <x v="1033"/>
            <x v="1035"/>
            <x v="1036"/>
            <x v="1037"/>
            <x v="1038"/>
            <x v="1040"/>
            <x v="1046"/>
            <x v="1047"/>
            <x v="1058"/>
            <x v="1080"/>
            <x v="1093"/>
            <x v="1095"/>
          </reference>
        </references>
      </pivotArea>
    </format>
    <format dxfId="292">
      <pivotArea dataOnly="0" labelOnly="1" fieldPosition="0">
        <references count="1">
          <reference field="6" count="50">
            <x v="1102"/>
            <x v="1103"/>
            <x v="1106"/>
            <x v="1116"/>
            <x v="1118"/>
            <x v="1122"/>
            <x v="1131"/>
            <x v="1140"/>
            <x v="1145"/>
            <x v="1148"/>
            <x v="1162"/>
            <x v="1166"/>
            <x v="1183"/>
            <x v="1184"/>
            <x v="1191"/>
            <x v="1193"/>
            <x v="1202"/>
            <x v="1218"/>
            <x v="1223"/>
            <x v="1226"/>
            <x v="1231"/>
            <x v="1234"/>
            <x v="1236"/>
            <x v="1238"/>
            <x v="1241"/>
            <x v="1242"/>
            <x v="1244"/>
            <x v="1247"/>
            <x v="1253"/>
            <x v="1263"/>
            <x v="1265"/>
            <x v="1268"/>
            <x v="1276"/>
            <x v="1279"/>
            <x v="1280"/>
            <x v="1285"/>
            <x v="1288"/>
            <x v="1303"/>
            <x v="1307"/>
            <x v="1309"/>
            <x v="1311"/>
            <x v="1321"/>
            <x v="1322"/>
            <x v="1327"/>
            <x v="1328"/>
            <x v="1331"/>
            <x v="1332"/>
            <x v="1334"/>
            <x v="1342"/>
            <x v="1345"/>
          </reference>
        </references>
      </pivotArea>
    </format>
    <format dxfId="291">
      <pivotArea dataOnly="0" labelOnly="1" fieldPosition="0">
        <references count="1">
          <reference field="6" count="50">
            <x v="1354"/>
            <x v="1356"/>
            <x v="1358"/>
            <x v="1361"/>
            <x v="1366"/>
            <x v="1372"/>
            <x v="1373"/>
            <x v="1379"/>
            <x v="1392"/>
            <x v="1394"/>
            <x v="1396"/>
            <x v="1404"/>
            <x v="1411"/>
            <x v="1412"/>
            <x v="1431"/>
            <x v="1432"/>
            <x v="1434"/>
            <x v="1436"/>
            <x v="1439"/>
            <x v="1445"/>
            <x v="1447"/>
            <x v="1451"/>
            <x v="1452"/>
            <x v="1456"/>
            <x v="1458"/>
            <x v="1472"/>
            <x v="1473"/>
            <x v="1478"/>
            <x v="1479"/>
            <x v="1492"/>
            <x v="1493"/>
            <x v="1495"/>
            <x v="1506"/>
            <x v="1521"/>
            <x v="1529"/>
            <x v="1532"/>
            <x v="1536"/>
            <x v="1541"/>
            <x v="1550"/>
            <x v="1563"/>
            <x v="1565"/>
            <x v="1576"/>
            <x v="1577"/>
            <x v="1584"/>
            <x v="1588"/>
            <x v="1589"/>
            <x v="1593"/>
            <x v="1602"/>
            <x v="1606"/>
            <x v="1608"/>
          </reference>
        </references>
      </pivotArea>
    </format>
    <format dxfId="290">
      <pivotArea dataOnly="0" labelOnly="1" fieldPosition="0">
        <references count="1">
          <reference field="6" count="50">
            <x v="1609"/>
            <x v="1615"/>
            <x v="1616"/>
            <x v="1618"/>
            <x v="1627"/>
            <x v="1629"/>
            <x v="1634"/>
            <x v="1637"/>
            <x v="1638"/>
            <x v="1643"/>
            <x v="1645"/>
            <x v="1646"/>
            <x v="1657"/>
            <x v="1661"/>
            <x v="1665"/>
            <x v="1667"/>
            <x v="1668"/>
            <x v="1670"/>
            <x v="1683"/>
            <x v="1688"/>
            <x v="1692"/>
            <x v="1693"/>
            <x v="1699"/>
            <x v="1700"/>
            <x v="1701"/>
            <x v="1704"/>
            <x v="1717"/>
            <x v="1718"/>
            <x v="1731"/>
            <x v="1734"/>
            <x v="1738"/>
            <x v="1739"/>
            <x v="1741"/>
            <x v="1743"/>
            <x v="1745"/>
            <x v="1750"/>
            <x v="1751"/>
            <x v="1752"/>
            <x v="1759"/>
            <x v="1764"/>
            <x v="1765"/>
            <x v="1767"/>
            <x v="1768"/>
            <x v="1769"/>
            <x v="1771"/>
            <x v="1778"/>
            <x v="1780"/>
            <x v="1784"/>
            <x v="1786"/>
            <x v="1787"/>
          </reference>
        </references>
      </pivotArea>
    </format>
    <format dxfId="289">
      <pivotArea dataOnly="0" labelOnly="1" fieldPosition="0">
        <references count="1">
          <reference field="6" count="45">
            <x v="1788"/>
            <x v="1790"/>
            <x v="1796"/>
            <x v="1797"/>
            <x v="1801"/>
            <x v="1803"/>
            <x v="1806"/>
            <x v="1810"/>
            <x v="1815"/>
            <x v="1819"/>
            <x v="1821"/>
            <x v="1822"/>
            <x v="1836"/>
            <x v="1839"/>
            <x v="1840"/>
            <x v="1843"/>
            <x v="1844"/>
            <x v="1845"/>
            <x v="1850"/>
            <x v="1851"/>
            <x v="1855"/>
            <x v="1864"/>
            <x v="1866"/>
            <x v="1871"/>
            <x v="1872"/>
            <x v="1890"/>
            <x v="1894"/>
            <x v="1895"/>
            <x v="1897"/>
            <x v="1900"/>
            <x v="1903"/>
            <x v="1915"/>
            <x v="1919"/>
            <x v="1923"/>
            <x v="1925"/>
            <x v="1926"/>
            <x v="1928"/>
            <x v="1933"/>
            <x v="1934"/>
            <x v="1938"/>
            <x v="1939"/>
            <x v="1942"/>
            <x v="1947"/>
            <x v="1948"/>
            <x v="1949"/>
          </reference>
        </references>
      </pivotArea>
    </format>
    <format dxfId="288">
      <pivotArea dataOnly="0" labelOnly="1" fieldPosition="0">
        <references count="1">
          <reference field="6" count="50">
            <x v="0"/>
            <x v="7"/>
            <x v="8"/>
            <x v="10"/>
            <x v="12"/>
            <x v="15"/>
            <x v="17"/>
            <x v="19"/>
            <x v="22"/>
            <x v="23"/>
            <x v="26"/>
            <x v="27"/>
            <x v="29"/>
            <x v="33"/>
            <x v="34"/>
            <x v="38"/>
            <x v="40"/>
            <x v="42"/>
            <x v="43"/>
            <x v="45"/>
            <x v="46"/>
            <x v="47"/>
            <x v="49"/>
            <x v="51"/>
            <x v="55"/>
            <x v="59"/>
            <x v="63"/>
            <x v="71"/>
            <x v="75"/>
            <x v="78"/>
            <x v="82"/>
            <x v="83"/>
            <x v="85"/>
            <x v="87"/>
            <x v="88"/>
            <x v="90"/>
            <x v="97"/>
            <x v="100"/>
            <x v="101"/>
            <x v="107"/>
            <x v="108"/>
            <x v="114"/>
            <x v="115"/>
            <x v="120"/>
            <x v="123"/>
            <x v="124"/>
            <x v="126"/>
            <x v="129"/>
            <x v="137"/>
            <x v="138"/>
          </reference>
        </references>
      </pivotArea>
    </format>
    <format dxfId="287">
      <pivotArea dataOnly="0" labelOnly="1" fieldPosition="0">
        <references count="1">
          <reference field="6" count="50">
            <x v="140"/>
            <x v="141"/>
            <x v="143"/>
            <x v="149"/>
            <x v="154"/>
            <x v="158"/>
            <x v="163"/>
            <x v="164"/>
            <x v="165"/>
            <x v="176"/>
            <x v="182"/>
            <x v="190"/>
            <x v="192"/>
            <x v="209"/>
            <x v="221"/>
            <x v="229"/>
            <x v="234"/>
            <x v="235"/>
            <x v="236"/>
            <x v="239"/>
            <x v="245"/>
            <x v="246"/>
            <x v="249"/>
            <x v="253"/>
            <x v="254"/>
            <x v="260"/>
            <x v="261"/>
            <x v="262"/>
            <x v="265"/>
            <x v="271"/>
            <x v="273"/>
            <x v="276"/>
            <x v="280"/>
            <x v="283"/>
            <x v="284"/>
            <x v="288"/>
            <x v="289"/>
            <x v="291"/>
            <x v="294"/>
            <x v="295"/>
            <x v="296"/>
            <x v="297"/>
            <x v="299"/>
            <x v="304"/>
            <x v="306"/>
            <x v="310"/>
            <x v="315"/>
            <x v="317"/>
            <x v="319"/>
            <x v="325"/>
          </reference>
        </references>
      </pivotArea>
    </format>
    <format dxfId="286">
      <pivotArea dataOnly="0" labelOnly="1" fieldPosition="0">
        <references count="1">
          <reference field="6" count="50">
            <x v="327"/>
            <x v="330"/>
            <x v="331"/>
            <x v="332"/>
            <x v="336"/>
            <x v="347"/>
            <x v="348"/>
            <x v="350"/>
            <x v="353"/>
            <x v="355"/>
            <x v="358"/>
            <x v="360"/>
            <x v="361"/>
            <x v="368"/>
            <x v="373"/>
            <x v="374"/>
            <x v="375"/>
            <x v="376"/>
            <x v="377"/>
            <x v="385"/>
            <x v="386"/>
            <x v="388"/>
            <x v="391"/>
            <x v="402"/>
            <x v="404"/>
            <x v="409"/>
            <x v="411"/>
            <x v="412"/>
            <x v="413"/>
            <x v="423"/>
            <x v="424"/>
            <x v="427"/>
            <x v="428"/>
            <x v="429"/>
            <x v="432"/>
            <x v="433"/>
            <x v="434"/>
            <x v="435"/>
            <x v="436"/>
            <x v="441"/>
            <x v="446"/>
            <x v="449"/>
            <x v="453"/>
            <x v="454"/>
            <x v="457"/>
            <x v="462"/>
            <x v="463"/>
            <x v="464"/>
            <x v="465"/>
            <x v="467"/>
          </reference>
        </references>
      </pivotArea>
    </format>
    <format dxfId="285">
      <pivotArea dataOnly="0" labelOnly="1" fieldPosition="0">
        <references count="1">
          <reference field="6" count="50">
            <x v="469"/>
            <x v="474"/>
            <x v="477"/>
            <x v="479"/>
            <x v="481"/>
            <x v="482"/>
            <x v="484"/>
            <x v="485"/>
            <x v="486"/>
            <x v="491"/>
            <x v="495"/>
            <x v="501"/>
            <x v="506"/>
            <x v="510"/>
            <x v="515"/>
            <x v="520"/>
            <x v="525"/>
            <x v="527"/>
            <x v="528"/>
            <x v="532"/>
            <x v="533"/>
            <x v="543"/>
            <x v="544"/>
            <x v="545"/>
            <x v="547"/>
            <x v="549"/>
            <x v="556"/>
            <x v="558"/>
            <x v="562"/>
            <x v="567"/>
            <x v="569"/>
            <x v="571"/>
            <x v="572"/>
            <x v="573"/>
            <x v="574"/>
            <x v="575"/>
            <x v="579"/>
            <x v="580"/>
            <x v="585"/>
            <x v="588"/>
            <x v="589"/>
            <x v="591"/>
            <x v="593"/>
            <x v="595"/>
            <x v="597"/>
            <x v="600"/>
            <x v="603"/>
            <x v="606"/>
            <x v="607"/>
            <x v="610"/>
          </reference>
        </references>
      </pivotArea>
    </format>
    <format dxfId="284">
      <pivotArea dataOnly="0" labelOnly="1" fieldPosition="0">
        <references count="1">
          <reference field="6" count="50">
            <x v="611"/>
            <x v="612"/>
            <x v="617"/>
            <x v="618"/>
            <x v="620"/>
            <x v="622"/>
            <x v="626"/>
            <x v="628"/>
            <x v="629"/>
            <x v="636"/>
            <x v="637"/>
            <x v="644"/>
            <x v="654"/>
            <x v="655"/>
            <x v="657"/>
            <x v="663"/>
            <x v="664"/>
            <x v="668"/>
            <x v="673"/>
            <x v="681"/>
            <x v="682"/>
            <x v="685"/>
            <x v="690"/>
            <x v="692"/>
            <x v="696"/>
            <x v="698"/>
            <x v="705"/>
            <x v="706"/>
            <x v="707"/>
            <x v="710"/>
            <x v="712"/>
            <x v="716"/>
            <x v="717"/>
            <x v="719"/>
            <x v="720"/>
            <x v="721"/>
            <x v="723"/>
            <x v="731"/>
            <x v="733"/>
            <x v="736"/>
            <x v="741"/>
            <x v="743"/>
            <x v="744"/>
            <x v="746"/>
            <x v="751"/>
            <x v="754"/>
            <x v="755"/>
            <x v="757"/>
            <x v="759"/>
            <x v="760"/>
          </reference>
        </references>
      </pivotArea>
    </format>
    <format dxfId="283">
      <pivotArea dataOnly="0" labelOnly="1" fieldPosition="0">
        <references count="1">
          <reference field="6" count="50">
            <x v="765"/>
            <x v="767"/>
            <x v="771"/>
            <x v="774"/>
            <x v="784"/>
            <x v="785"/>
            <x v="786"/>
            <x v="789"/>
            <x v="792"/>
            <x v="796"/>
            <x v="797"/>
            <x v="799"/>
            <x v="800"/>
            <x v="801"/>
            <x v="802"/>
            <x v="803"/>
            <x v="806"/>
            <x v="809"/>
            <x v="811"/>
            <x v="812"/>
            <x v="821"/>
            <x v="825"/>
            <x v="826"/>
            <x v="827"/>
            <x v="830"/>
            <x v="832"/>
            <x v="839"/>
            <x v="840"/>
            <x v="844"/>
            <x v="846"/>
            <x v="847"/>
            <x v="849"/>
            <x v="850"/>
            <x v="851"/>
            <x v="852"/>
            <x v="854"/>
            <x v="860"/>
            <x v="869"/>
            <x v="874"/>
            <x v="878"/>
            <x v="881"/>
            <x v="884"/>
            <x v="886"/>
            <x v="889"/>
            <x v="890"/>
            <x v="891"/>
            <x v="892"/>
            <x v="894"/>
            <x v="896"/>
            <x v="897"/>
          </reference>
        </references>
      </pivotArea>
    </format>
    <format dxfId="282">
      <pivotArea dataOnly="0" labelOnly="1" fieldPosition="0">
        <references count="1">
          <reference field="6" count="50">
            <x v="899"/>
            <x v="901"/>
            <x v="902"/>
            <x v="908"/>
            <x v="909"/>
            <x v="911"/>
            <x v="915"/>
            <x v="916"/>
            <x v="917"/>
            <x v="918"/>
            <x v="919"/>
            <x v="922"/>
            <x v="926"/>
            <x v="932"/>
            <x v="933"/>
            <x v="935"/>
            <x v="936"/>
            <x v="940"/>
            <x v="942"/>
            <x v="945"/>
            <x v="948"/>
            <x v="956"/>
            <x v="958"/>
            <x v="971"/>
            <x v="973"/>
            <x v="974"/>
            <x v="976"/>
            <x v="978"/>
            <x v="979"/>
            <x v="984"/>
            <x v="988"/>
            <x v="990"/>
            <x v="993"/>
            <x v="997"/>
            <x v="1001"/>
            <x v="1002"/>
            <x v="1004"/>
            <x v="1015"/>
            <x v="1016"/>
            <x v="1020"/>
            <x v="1026"/>
            <x v="1027"/>
            <x v="1033"/>
            <x v="1035"/>
            <x v="1036"/>
            <x v="1037"/>
            <x v="1038"/>
            <x v="1040"/>
            <x v="1043"/>
            <x v="1046"/>
          </reference>
        </references>
      </pivotArea>
    </format>
    <format dxfId="281">
      <pivotArea dataOnly="0" labelOnly="1" fieldPosition="0">
        <references count="1">
          <reference field="6" count="50">
            <x v="1047"/>
            <x v="1058"/>
            <x v="1061"/>
            <x v="1077"/>
            <x v="1080"/>
            <x v="1084"/>
            <x v="1087"/>
            <x v="1093"/>
            <x v="1094"/>
            <x v="1095"/>
            <x v="1102"/>
            <x v="1103"/>
            <x v="1106"/>
            <x v="1116"/>
            <x v="1118"/>
            <x v="1122"/>
            <x v="1131"/>
            <x v="1135"/>
            <x v="1140"/>
            <x v="1145"/>
            <x v="1148"/>
            <x v="1150"/>
            <x v="1152"/>
            <x v="1154"/>
            <x v="1157"/>
            <x v="1162"/>
            <x v="1164"/>
            <x v="1166"/>
            <x v="1183"/>
            <x v="1184"/>
            <x v="1191"/>
            <x v="1193"/>
            <x v="1196"/>
            <x v="1197"/>
            <x v="1201"/>
            <x v="1202"/>
            <x v="1218"/>
            <x v="1223"/>
            <x v="1226"/>
            <x v="1231"/>
            <x v="1234"/>
            <x v="1236"/>
            <x v="1238"/>
            <x v="1239"/>
            <x v="1241"/>
            <x v="1242"/>
            <x v="1244"/>
            <x v="1247"/>
            <x v="1253"/>
            <x v="1263"/>
          </reference>
        </references>
      </pivotArea>
    </format>
    <format dxfId="280">
      <pivotArea dataOnly="0" labelOnly="1" fieldPosition="0">
        <references count="1">
          <reference field="6" count="50">
            <x v="1265"/>
            <x v="1268"/>
            <x v="1272"/>
            <x v="1276"/>
            <x v="1279"/>
            <x v="1280"/>
            <x v="1283"/>
            <x v="1285"/>
            <x v="1288"/>
            <x v="1289"/>
            <x v="1303"/>
            <x v="1307"/>
            <x v="1309"/>
            <x v="1311"/>
            <x v="1321"/>
            <x v="1322"/>
            <x v="1327"/>
            <x v="1328"/>
            <x v="1331"/>
            <x v="1332"/>
            <x v="1334"/>
            <x v="1342"/>
            <x v="1345"/>
            <x v="1347"/>
            <x v="1354"/>
            <x v="1356"/>
            <x v="1358"/>
            <x v="1361"/>
            <x v="1366"/>
            <x v="1372"/>
            <x v="1373"/>
            <x v="1375"/>
            <x v="1379"/>
            <x v="1392"/>
            <x v="1394"/>
            <x v="1396"/>
            <x v="1404"/>
            <x v="1411"/>
            <x v="1412"/>
            <x v="1414"/>
            <x v="1431"/>
            <x v="1432"/>
            <x v="1434"/>
            <x v="1436"/>
            <x v="1439"/>
            <x v="1445"/>
            <x v="1447"/>
            <x v="1451"/>
            <x v="1452"/>
            <x v="1456"/>
          </reference>
        </references>
      </pivotArea>
    </format>
    <format dxfId="279">
      <pivotArea dataOnly="0" labelOnly="1" fieldPosition="0">
        <references count="1">
          <reference field="6" count="50">
            <x v="1458"/>
            <x v="1472"/>
            <x v="1473"/>
            <x v="1478"/>
            <x v="1479"/>
            <x v="1492"/>
            <x v="1493"/>
            <x v="1495"/>
            <x v="1506"/>
            <x v="1521"/>
            <x v="1529"/>
            <x v="1530"/>
            <x v="1531"/>
            <x v="1532"/>
            <x v="1536"/>
            <x v="1541"/>
            <x v="1544"/>
            <x v="1545"/>
            <x v="1546"/>
            <x v="1550"/>
            <x v="1563"/>
            <x v="1565"/>
            <x v="1566"/>
            <x v="1570"/>
            <x v="1576"/>
            <x v="1577"/>
            <x v="1581"/>
            <x v="1583"/>
            <x v="1584"/>
            <x v="1586"/>
            <x v="1588"/>
            <x v="1589"/>
            <x v="1593"/>
            <x v="1602"/>
            <x v="1606"/>
            <x v="1608"/>
            <x v="1609"/>
            <x v="1610"/>
            <x v="1614"/>
            <x v="1615"/>
            <x v="1616"/>
            <x v="1618"/>
            <x v="1625"/>
            <x v="1627"/>
            <x v="1629"/>
            <x v="1634"/>
            <x v="1637"/>
            <x v="1638"/>
            <x v="1641"/>
            <x v="1643"/>
          </reference>
        </references>
      </pivotArea>
    </format>
    <format dxfId="278">
      <pivotArea dataOnly="0" labelOnly="1" fieldPosition="0">
        <references count="1">
          <reference field="6" count="50">
            <x v="1644"/>
            <x v="1645"/>
            <x v="1646"/>
            <x v="1655"/>
            <x v="1657"/>
            <x v="1661"/>
            <x v="1662"/>
            <x v="1663"/>
            <x v="1665"/>
            <x v="1667"/>
            <x v="1668"/>
            <x v="1670"/>
            <x v="1671"/>
            <x v="1674"/>
            <x v="1683"/>
            <x v="1687"/>
            <x v="1688"/>
            <x v="1692"/>
            <x v="1693"/>
            <x v="1695"/>
            <x v="1696"/>
            <x v="1699"/>
            <x v="1700"/>
            <x v="1701"/>
            <x v="1703"/>
            <x v="1704"/>
            <x v="1707"/>
            <x v="1708"/>
            <x v="1711"/>
            <x v="1715"/>
            <x v="1716"/>
            <x v="1717"/>
            <x v="1718"/>
            <x v="1727"/>
            <x v="1731"/>
            <x v="1734"/>
            <x v="1738"/>
            <x v="1739"/>
            <x v="1741"/>
            <x v="1743"/>
            <x v="1744"/>
            <x v="1745"/>
            <x v="1748"/>
            <x v="1749"/>
            <x v="1750"/>
            <x v="1751"/>
            <x v="1752"/>
            <x v="1759"/>
            <x v="1764"/>
            <x v="1765"/>
          </reference>
        </references>
      </pivotArea>
    </format>
    <format dxfId="277">
      <pivotArea dataOnly="0" labelOnly="1" fieldPosition="0">
        <references count="1">
          <reference field="6" count="50">
            <x v="1767"/>
            <x v="1768"/>
            <x v="1769"/>
            <x v="1771"/>
            <x v="1778"/>
            <x v="1780"/>
            <x v="1783"/>
            <x v="1784"/>
            <x v="1786"/>
            <x v="1787"/>
            <x v="1788"/>
            <x v="1790"/>
            <x v="1796"/>
            <x v="1797"/>
            <x v="1801"/>
            <x v="1803"/>
            <x v="1805"/>
            <x v="1806"/>
            <x v="1810"/>
            <x v="1812"/>
            <x v="1815"/>
            <x v="1817"/>
            <x v="1819"/>
            <x v="1821"/>
            <x v="1822"/>
            <x v="1830"/>
            <x v="1832"/>
            <x v="1833"/>
            <x v="1835"/>
            <x v="1836"/>
            <x v="1839"/>
            <x v="1840"/>
            <x v="1843"/>
            <x v="1844"/>
            <x v="1845"/>
            <x v="1848"/>
            <x v="1850"/>
            <x v="1851"/>
            <x v="1855"/>
            <x v="1857"/>
            <x v="1859"/>
            <x v="1860"/>
            <x v="1861"/>
            <x v="1864"/>
            <x v="1866"/>
            <x v="1869"/>
            <x v="1871"/>
            <x v="1872"/>
            <x v="1874"/>
            <x v="1885"/>
          </reference>
        </references>
      </pivotArea>
    </format>
    <format dxfId="276">
      <pivotArea dataOnly="0" labelOnly="1" fieldPosition="0">
        <references count="1">
          <reference field="6" count="27">
            <x v="1886"/>
            <x v="1890"/>
            <x v="1891"/>
            <x v="1894"/>
            <x v="1895"/>
            <x v="1896"/>
            <x v="1897"/>
            <x v="1900"/>
            <x v="1903"/>
            <x v="1904"/>
            <x v="1915"/>
            <x v="1919"/>
            <x v="1923"/>
            <x v="1925"/>
            <x v="1926"/>
            <x v="1928"/>
            <x v="1933"/>
            <x v="1934"/>
            <x v="1938"/>
            <x v="1939"/>
            <x v="1942"/>
            <x v="1945"/>
            <x v="1946"/>
            <x v="1947"/>
            <x v="1948"/>
            <x v="1949"/>
            <x v="1952"/>
          </reference>
        </references>
      </pivotArea>
    </format>
    <format dxfId="275">
      <pivotArea dataOnly="0" labelOnly="1" fieldPosition="0">
        <references count="1">
          <reference field="6" count="50">
            <x v="0"/>
            <x v="8"/>
            <x v="10"/>
            <x v="12"/>
            <x v="15"/>
            <x v="19"/>
            <x v="26"/>
            <x v="27"/>
            <x v="33"/>
            <x v="38"/>
            <x v="40"/>
            <x v="42"/>
            <x v="45"/>
            <x v="46"/>
            <x v="47"/>
            <x v="49"/>
            <x v="59"/>
            <x v="63"/>
            <x v="71"/>
            <x v="82"/>
            <x v="85"/>
            <x v="87"/>
            <x v="88"/>
            <x v="97"/>
            <x v="100"/>
            <x v="101"/>
            <x v="107"/>
            <x v="114"/>
            <x v="115"/>
            <x v="120"/>
            <x v="123"/>
            <x v="126"/>
            <x v="140"/>
            <x v="154"/>
            <x v="158"/>
            <x v="163"/>
            <x v="164"/>
            <x v="165"/>
            <x v="176"/>
            <x v="190"/>
            <x v="192"/>
            <x v="221"/>
            <x v="229"/>
            <x v="234"/>
            <x v="235"/>
            <x v="245"/>
            <x v="246"/>
            <x v="253"/>
            <x v="254"/>
            <x v="260"/>
          </reference>
        </references>
      </pivotArea>
    </format>
    <format dxfId="274">
      <pivotArea dataOnly="0" labelOnly="1" fieldPosition="0">
        <references count="1">
          <reference field="6" count="50">
            <x v="262"/>
            <x v="265"/>
            <x v="271"/>
            <x v="273"/>
            <x v="276"/>
            <x v="280"/>
            <x v="283"/>
            <x v="284"/>
            <x v="288"/>
            <x v="289"/>
            <x v="294"/>
            <x v="295"/>
            <x v="296"/>
            <x v="297"/>
            <x v="304"/>
            <x v="306"/>
            <x v="310"/>
            <x v="315"/>
            <x v="317"/>
            <x v="319"/>
            <x v="325"/>
            <x v="331"/>
            <x v="336"/>
            <x v="347"/>
            <x v="348"/>
            <x v="350"/>
            <x v="353"/>
            <x v="355"/>
            <x v="358"/>
            <x v="360"/>
            <x v="368"/>
            <x v="374"/>
            <x v="375"/>
            <x v="376"/>
            <x v="377"/>
            <x v="388"/>
            <x v="391"/>
            <x v="402"/>
            <x v="404"/>
            <x v="412"/>
            <x v="413"/>
            <x v="423"/>
            <x v="424"/>
            <x v="427"/>
            <x v="429"/>
            <x v="434"/>
            <x v="435"/>
            <x v="436"/>
            <x v="453"/>
            <x v="454"/>
          </reference>
        </references>
      </pivotArea>
    </format>
    <format dxfId="273">
      <pivotArea dataOnly="0" labelOnly="1" fieldPosition="0">
        <references count="1">
          <reference field="6" count="50">
            <x v="457"/>
            <x v="462"/>
            <x v="464"/>
            <x v="465"/>
            <x v="477"/>
            <x v="479"/>
            <x v="482"/>
            <x v="484"/>
            <x v="486"/>
            <x v="491"/>
            <x v="495"/>
            <x v="501"/>
            <x v="506"/>
            <x v="510"/>
            <x v="515"/>
            <x v="520"/>
            <x v="525"/>
            <x v="532"/>
            <x v="533"/>
            <x v="544"/>
            <x v="545"/>
            <x v="547"/>
            <x v="549"/>
            <x v="556"/>
            <x v="558"/>
            <x v="571"/>
            <x v="572"/>
            <x v="573"/>
            <x v="575"/>
            <x v="585"/>
            <x v="589"/>
            <x v="591"/>
            <x v="593"/>
            <x v="595"/>
            <x v="603"/>
            <x v="606"/>
            <x v="607"/>
            <x v="610"/>
            <x v="612"/>
            <x v="617"/>
            <x v="618"/>
            <x v="620"/>
            <x v="622"/>
            <x v="626"/>
            <x v="628"/>
            <x v="629"/>
            <x v="637"/>
            <x v="644"/>
            <x v="654"/>
            <x v="655"/>
          </reference>
        </references>
      </pivotArea>
    </format>
    <format dxfId="272">
      <pivotArea dataOnly="0" labelOnly="1" fieldPosition="0">
        <references count="1">
          <reference field="6" count="50">
            <x v="663"/>
            <x v="664"/>
            <x v="668"/>
            <x v="682"/>
            <x v="685"/>
            <x v="690"/>
            <x v="696"/>
            <x v="698"/>
            <x v="705"/>
            <x v="712"/>
            <x v="716"/>
            <x v="721"/>
            <x v="723"/>
            <x v="733"/>
            <x v="736"/>
            <x v="741"/>
            <x v="743"/>
            <x v="744"/>
            <x v="751"/>
            <x v="757"/>
            <x v="759"/>
            <x v="760"/>
            <x v="765"/>
            <x v="767"/>
            <x v="771"/>
            <x v="774"/>
            <x v="784"/>
            <x v="785"/>
            <x v="789"/>
            <x v="792"/>
            <x v="796"/>
            <x v="797"/>
            <x v="799"/>
            <x v="800"/>
            <x v="801"/>
            <x v="803"/>
            <x v="806"/>
            <x v="809"/>
            <x v="812"/>
            <x v="821"/>
            <x v="825"/>
            <x v="827"/>
            <x v="830"/>
            <x v="840"/>
            <x v="844"/>
            <x v="846"/>
            <x v="847"/>
            <x v="850"/>
            <x v="851"/>
            <x v="852"/>
          </reference>
        </references>
      </pivotArea>
    </format>
    <format dxfId="271">
      <pivotArea dataOnly="0" labelOnly="1" fieldPosition="0">
        <references count="1">
          <reference field="6" count="50">
            <x v="854"/>
            <x v="860"/>
            <x v="869"/>
            <x v="874"/>
            <x v="878"/>
            <x v="881"/>
            <x v="886"/>
            <x v="889"/>
            <x v="890"/>
            <x v="891"/>
            <x v="892"/>
            <x v="894"/>
            <x v="896"/>
            <x v="897"/>
            <x v="899"/>
            <x v="901"/>
            <x v="902"/>
            <x v="909"/>
            <x v="911"/>
            <x v="915"/>
            <x v="916"/>
            <x v="917"/>
            <x v="919"/>
            <x v="922"/>
            <x v="926"/>
            <x v="935"/>
            <x v="945"/>
            <x v="971"/>
            <x v="974"/>
            <x v="976"/>
            <x v="978"/>
            <x v="984"/>
            <x v="988"/>
            <x v="1001"/>
            <x v="1015"/>
            <x v="1016"/>
            <x v="1020"/>
            <x v="1026"/>
            <x v="1033"/>
            <x v="1035"/>
            <x v="1036"/>
            <x v="1037"/>
            <x v="1038"/>
            <x v="1040"/>
            <x v="1046"/>
            <x v="1047"/>
            <x v="1058"/>
            <x v="1080"/>
            <x v="1093"/>
            <x v="1095"/>
          </reference>
        </references>
      </pivotArea>
    </format>
    <format dxfId="270">
      <pivotArea dataOnly="0" labelOnly="1" fieldPosition="0">
        <references count="1">
          <reference field="6" count="50">
            <x v="1102"/>
            <x v="1103"/>
            <x v="1106"/>
            <x v="1116"/>
            <x v="1122"/>
            <x v="1131"/>
            <x v="1140"/>
            <x v="1145"/>
            <x v="1148"/>
            <x v="1162"/>
            <x v="1166"/>
            <x v="1183"/>
            <x v="1184"/>
            <x v="1191"/>
            <x v="1193"/>
            <x v="1202"/>
            <x v="1218"/>
            <x v="1223"/>
            <x v="1226"/>
            <x v="1231"/>
            <x v="1234"/>
            <x v="1236"/>
            <x v="1238"/>
            <x v="1241"/>
            <x v="1242"/>
            <x v="1244"/>
            <x v="1247"/>
            <x v="1253"/>
            <x v="1263"/>
            <x v="1265"/>
            <x v="1268"/>
            <x v="1276"/>
            <x v="1279"/>
            <x v="1280"/>
            <x v="1285"/>
            <x v="1288"/>
            <x v="1303"/>
            <x v="1307"/>
            <x v="1309"/>
            <x v="1311"/>
            <x v="1321"/>
            <x v="1322"/>
            <x v="1327"/>
            <x v="1328"/>
            <x v="1331"/>
            <x v="1332"/>
            <x v="1334"/>
            <x v="1342"/>
            <x v="1345"/>
            <x v="1354"/>
          </reference>
        </references>
      </pivotArea>
    </format>
    <format dxfId="269">
      <pivotArea dataOnly="0" labelOnly="1" fieldPosition="0">
        <references count="1">
          <reference field="6" count="50">
            <x v="1356"/>
            <x v="1358"/>
            <x v="1361"/>
            <x v="1366"/>
            <x v="1372"/>
            <x v="1373"/>
            <x v="1379"/>
            <x v="1392"/>
            <x v="1394"/>
            <x v="1396"/>
            <x v="1404"/>
            <x v="1411"/>
            <x v="1412"/>
            <x v="1431"/>
            <x v="1432"/>
            <x v="1434"/>
            <x v="1436"/>
            <x v="1439"/>
            <x v="1445"/>
            <x v="1447"/>
            <x v="1451"/>
            <x v="1452"/>
            <x v="1456"/>
            <x v="1458"/>
            <x v="1472"/>
            <x v="1473"/>
            <x v="1478"/>
            <x v="1479"/>
            <x v="1492"/>
            <x v="1493"/>
            <x v="1495"/>
            <x v="1506"/>
            <x v="1521"/>
            <x v="1529"/>
            <x v="1532"/>
            <x v="1536"/>
            <x v="1541"/>
            <x v="1550"/>
            <x v="1563"/>
            <x v="1565"/>
            <x v="1576"/>
            <x v="1577"/>
            <x v="1584"/>
            <x v="1588"/>
            <x v="1589"/>
            <x v="1593"/>
            <x v="1602"/>
            <x v="1606"/>
            <x v="1608"/>
            <x v="1609"/>
          </reference>
        </references>
      </pivotArea>
    </format>
    <format dxfId="268">
      <pivotArea dataOnly="0" labelOnly="1" fieldPosition="0">
        <references count="1">
          <reference field="6" count="50">
            <x v="1615"/>
            <x v="1616"/>
            <x v="1618"/>
            <x v="1627"/>
            <x v="1629"/>
            <x v="1634"/>
            <x v="1637"/>
            <x v="1638"/>
            <x v="1643"/>
            <x v="1645"/>
            <x v="1646"/>
            <x v="1657"/>
            <x v="1661"/>
            <x v="1665"/>
            <x v="1667"/>
            <x v="1668"/>
            <x v="1670"/>
            <x v="1683"/>
            <x v="1688"/>
            <x v="1692"/>
            <x v="1693"/>
            <x v="1699"/>
            <x v="1700"/>
            <x v="1701"/>
            <x v="1704"/>
            <x v="1717"/>
            <x v="1718"/>
            <x v="1731"/>
            <x v="1734"/>
            <x v="1738"/>
            <x v="1739"/>
            <x v="1741"/>
            <x v="1743"/>
            <x v="1745"/>
            <x v="1750"/>
            <x v="1751"/>
            <x v="1752"/>
            <x v="1759"/>
            <x v="1764"/>
            <x v="1765"/>
            <x v="1767"/>
            <x v="1768"/>
            <x v="1769"/>
            <x v="1771"/>
            <x v="1778"/>
            <x v="1780"/>
            <x v="1784"/>
            <x v="1786"/>
            <x v="1787"/>
            <x v="1788"/>
          </reference>
        </references>
      </pivotArea>
    </format>
    <format dxfId="267">
      <pivotArea dataOnly="0" labelOnly="1" fieldPosition="0">
        <references count="1">
          <reference field="6" count="44">
            <x v="1790"/>
            <x v="1796"/>
            <x v="1797"/>
            <x v="1801"/>
            <x v="1803"/>
            <x v="1806"/>
            <x v="1810"/>
            <x v="1815"/>
            <x v="1819"/>
            <x v="1821"/>
            <x v="1822"/>
            <x v="1836"/>
            <x v="1839"/>
            <x v="1840"/>
            <x v="1843"/>
            <x v="1844"/>
            <x v="1845"/>
            <x v="1850"/>
            <x v="1851"/>
            <x v="1855"/>
            <x v="1864"/>
            <x v="1866"/>
            <x v="1871"/>
            <x v="1872"/>
            <x v="1890"/>
            <x v="1894"/>
            <x v="1895"/>
            <x v="1897"/>
            <x v="1900"/>
            <x v="1903"/>
            <x v="1915"/>
            <x v="1919"/>
            <x v="1923"/>
            <x v="1925"/>
            <x v="1926"/>
            <x v="1928"/>
            <x v="1933"/>
            <x v="1934"/>
            <x v="1938"/>
            <x v="1939"/>
            <x v="1942"/>
            <x v="1947"/>
            <x v="1948"/>
            <x v="1949"/>
          </reference>
        </references>
      </pivotArea>
    </format>
    <format dxfId="266">
      <pivotArea dataOnly="0" labelOnly="1" fieldPosition="0">
        <references count="1">
          <reference field="6" count="50">
            <x v="0"/>
            <x v="4"/>
            <x v="8"/>
            <x v="10"/>
            <x v="12"/>
            <x v="13"/>
            <x v="15"/>
            <x v="19"/>
            <x v="25"/>
            <x v="26"/>
            <x v="27"/>
            <x v="33"/>
            <x v="37"/>
            <x v="38"/>
            <x v="40"/>
            <x v="42"/>
            <x v="45"/>
            <x v="46"/>
            <x v="47"/>
            <x v="49"/>
            <x v="59"/>
            <x v="63"/>
            <x v="69"/>
            <x v="71"/>
            <x v="76"/>
            <x v="82"/>
            <x v="85"/>
            <x v="87"/>
            <x v="88"/>
            <x v="93"/>
            <x v="95"/>
            <x v="97"/>
            <x v="100"/>
            <x v="101"/>
            <x v="103"/>
            <x v="106"/>
            <x v="107"/>
            <x v="114"/>
            <x v="115"/>
            <x v="118"/>
            <x v="120"/>
            <x v="123"/>
            <x v="126"/>
            <x v="138"/>
            <x v="140"/>
            <x v="144"/>
            <x v="153"/>
            <x v="154"/>
            <x v="158"/>
            <x v="163"/>
          </reference>
        </references>
      </pivotArea>
    </format>
    <format dxfId="265">
      <pivotArea dataOnly="0" labelOnly="1" fieldPosition="0">
        <references count="1">
          <reference field="6" count="50">
            <x v="164"/>
            <x v="165"/>
            <x v="168"/>
            <x v="176"/>
            <x v="182"/>
            <x v="190"/>
            <x v="192"/>
            <x v="200"/>
            <x v="202"/>
            <x v="213"/>
            <x v="221"/>
            <x v="224"/>
            <x v="226"/>
            <x v="229"/>
            <x v="232"/>
            <x v="234"/>
            <x v="235"/>
            <x v="245"/>
            <x v="246"/>
            <x v="247"/>
            <x v="253"/>
            <x v="254"/>
            <x v="260"/>
            <x v="262"/>
            <x v="265"/>
            <x v="266"/>
            <x v="271"/>
            <x v="273"/>
            <x v="276"/>
            <x v="279"/>
            <x v="280"/>
            <x v="283"/>
            <x v="284"/>
            <x v="287"/>
            <x v="288"/>
            <x v="289"/>
            <x v="294"/>
            <x v="295"/>
            <x v="296"/>
            <x v="297"/>
            <x v="300"/>
            <x v="304"/>
            <x v="306"/>
            <x v="310"/>
            <x v="312"/>
            <x v="315"/>
            <x v="317"/>
            <x v="318"/>
            <x v="319"/>
            <x v="323"/>
          </reference>
        </references>
      </pivotArea>
    </format>
    <format dxfId="264">
      <pivotArea dataOnly="0" labelOnly="1" fieldPosition="0">
        <references count="1">
          <reference field="6" count="50">
            <x v="325"/>
            <x v="330"/>
            <x v="331"/>
            <x v="335"/>
            <x v="336"/>
            <x v="347"/>
            <x v="348"/>
            <x v="350"/>
            <x v="353"/>
            <x v="355"/>
            <x v="358"/>
            <x v="360"/>
            <x v="368"/>
            <x v="369"/>
            <x v="374"/>
            <x v="375"/>
            <x v="376"/>
            <x v="377"/>
            <x v="379"/>
            <x v="380"/>
            <x v="387"/>
            <x v="388"/>
            <x v="391"/>
            <x v="394"/>
            <x v="402"/>
            <x v="404"/>
            <x v="406"/>
            <x v="407"/>
            <x v="412"/>
            <x v="413"/>
            <x v="415"/>
            <x v="416"/>
            <x v="420"/>
            <x v="423"/>
            <x v="424"/>
            <x v="427"/>
            <x v="429"/>
            <x v="430"/>
            <x v="434"/>
            <x v="435"/>
            <x v="436"/>
            <x v="438"/>
            <x v="439"/>
            <x v="444"/>
            <x v="453"/>
            <x v="454"/>
            <x v="457"/>
            <x v="458"/>
            <x v="462"/>
            <x v="464"/>
          </reference>
        </references>
      </pivotArea>
    </format>
    <format dxfId="263">
      <pivotArea dataOnly="0" labelOnly="1" fieldPosition="0">
        <references count="1">
          <reference field="6" count="50">
            <x v="465"/>
            <x v="466"/>
            <x v="469"/>
            <x v="473"/>
            <x v="477"/>
            <x v="479"/>
            <x v="482"/>
            <x v="484"/>
            <x v="486"/>
            <x v="489"/>
            <x v="491"/>
            <x v="492"/>
            <x v="493"/>
            <x v="494"/>
            <x v="495"/>
            <x v="498"/>
            <x v="501"/>
            <x v="504"/>
            <x v="506"/>
            <x v="510"/>
            <x v="515"/>
            <x v="519"/>
            <x v="520"/>
            <x v="525"/>
            <x v="527"/>
            <x v="529"/>
            <x v="532"/>
            <x v="533"/>
            <x v="534"/>
            <x v="544"/>
            <x v="545"/>
            <x v="547"/>
            <x v="549"/>
            <x v="551"/>
            <x v="556"/>
            <x v="558"/>
            <x v="559"/>
            <x v="566"/>
            <x v="567"/>
            <x v="568"/>
            <x v="571"/>
            <x v="572"/>
            <x v="573"/>
            <x v="575"/>
            <x v="577"/>
            <x v="583"/>
            <x v="585"/>
            <x v="589"/>
            <x v="591"/>
            <x v="593"/>
          </reference>
        </references>
      </pivotArea>
    </format>
    <format dxfId="262">
      <pivotArea dataOnly="0" labelOnly="1" fieldPosition="0">
        <references count="1">
          <reference field="6" count="50">
            <x v="595"/>
            <x v="603"/>
            <x v="605"/>
            <x v="606"/>
            <x v="607"/>
            <x v="610"/>
            <x v="611"/>
            <x v="612"/>
            <x v="615"/>
            <x v="617"/>
            <x v="618"/>
            <x v="620"/>
            <x v="622"/>
            <x v="624"/>
            <x v="626"/>
            <x v="628"/>
            <x v="629"/>
            <x v="637"/>
            <x v="638"/>
            <x v="644"/>
            <x v="645"/>
            <x v="654"/>
            <x v="655"/>
            <x v="663"/>
            <x v="664"/>
            <x v="666"/>
            <x v="668"/>
            <x v="672"/>
            <x v="677"/>
            <x v="682"/>
            <x v="685"/>
            <x v="687"/>
            <x v="690"/>
            <x v="691"/>
            <x v="696"/>
            <x v="698"/>
            <x v="705"/>
            <x v="712"/>
            <x v="715"/>
            <x v="716"/>
            <x v="718"/>
            <x v="721"/>
            <x v="723"/>
            <x v="733"/>
            <x v="736"/>
            <x v="738"/>
            <x v="741"/>
            <x v="743"/>
            <x v="744"/>
            <x v="750"/>
          </reference>
        </references>
      </pivotArea>
    </format>
    <format dxfId="261">
      <pivotArea dataOnly="0" labelOnly="1" fieldPosition="0">
        <references count="1">
          <reference field="6" count="50">
            <x v="751"/>
            <x v="753"/>
            <x v="757"/>
            <x v="759"/>
            <x v="760"/>
            <x v="762"/>
            <x v="765"/>
            <x v="767"/>
            <x v="769"/>
            <x v="771"/>
            <x v="774"/>
            <x v="779"/>
            <x v="783"/>
            <x v="784"/>
            <x v="785"/>
            <x v="789"/>
            <x v="792"/>
            <x v="793"/>
            <x v="795"/>
            <x v="796"/>
            <x v="797"/>
            <x v="799"/>
            <x v="800"/>
            <x v="801"/>
            <x v="803"/>
            <x v="804"/>
            <x v="806"/>
            <x v="807"/>
            <x v="809"/>
            <x v="812"/>
            <x v="821"/>
            <x v="825"/>
            <x v="826"/>
            <x v="827"/>
            <x v="830"/>
            <x v="836"/>
            <x v="837"/>
            <x v="840"/>
            <x v="844"/>
            <x v="846"/>
            <x v="847"/>
            <x v="850"/>
            <x v="851"/>
            <x v="852"/>
            <x v="854"/>
            <x v="855"/>
            <x v="856"/>
            <x v="860"/>
            <x v="861"/>
            <x v="864"/>
          </reference>
        </references>
      </pivotArea>
    </format>
    <format dxfId="260">
      <pivotArea dataOnly="0" labelOnly="1" fieldPosition="0">
        <references count="1">
          <reference field="6" count="50">
            <x v="869"/>
            <x v="871"/>
            <x v="873"/>
            <x v="874"/>
            <x v="878"/>
            <x v="881"/>
            <x v="886"/>
            <x v="889"/>
            <x v="890"/>
            <x v="891"/>
            <x v="892"/>
            <x v="894"/>
            <x v="896"/>
            <x v="897"/>
            <x v="899"/>
            <x v="900"/>
            <x v="901"/>
            <x v="902"/>
            <x v="909"/>
            <x v="911"/>
            <x v="912"/>
            <x v="915"/>
            <x v="916"/>
            <x v="917"/>
            <x v="919"/>
            <x v="921"/>
            <x v="922"/>
            <x v="926"/>
            <x v="933"/>
            <x v="935"/>
            <x v="940"/>
            <x v="945"/>
            <x v="947"/>
            <x v="948"/>
            <x v="949"/>
            <x v="956"/>
            <x v="959"/>
            <x v="966"/>
            <x v="967"/>
            <x v="971"/>
            <x v="974"/>
            <x v="976"/>
            <x v="978"/>
            <x v="984"/>
            <x v="987"/>
            <x v="988"/>
            <x v="989"/>
            <x v="995"/>
            <x v="1000"/>
            <x v="1001"/>
          </reference>
        </references>
      </pivotArea>
    </format>
    <format dxfId="259">
      <pivotArea dataOnly="0" labelOnly="1" fieldPosition="0">
        <references count="1">
          <reference field="6" count="50">
            <x v="1005"/>
            <x v="1006"/>
            <x v="1008"/>
            <x v="1015"/>
            <x v="1016"/>
            <x v="1019"/>
            <x v="1020"/>
            <x v="1026"/>
            <x v="1029"/>
            <x v="1033"/>
            <x v="1035"/>
            <x v="1036"/>
            <x v="1037"/>
            <x v="1038"/>
            <x v="1040"/>
            <x v="1042"/>
            <x v="1046"/>
            <x v="1047"/>
            <x v="1049"/>
            <x v="1051"/>
            <x v="1052"/>
            <x v="1053"/>
            <x v="1058"/>
            <x v="1080"/>
            <x v="1081"/>
            <x v="1083"/>
            <x v="1089"/>
            <x v="1093"/>
            <x v="1095"/>
            <x v="1102"/>
            <x v="1103"/>
            <x v="1106"/>
            <x v="1109"/>
            <x v="1116"/>
            <x v="1122"/>
            <x v="1125"/>
            <x v="1128"/>
            <x v="1131"/>
            <x v="1136"/>
            <x v="1138"/>
            <x v="1139"/>
            <x v="1140"/>
            <x v="1145"/>
            <x v="1148"/>
            <x v="1150"/>
            <x v="1162"/>
            <x v="1166"/>
            <x v="1169"/>
            <x v="1174"/>
            <x v="1177"/>
          </reference>
        </references>
      </pivotArea>
    </format>
    <format dxfId="258">
      <pivotArea dataOnly="0" labelOnly="1" fieldPosition="0">
        <references count="1">
          <reference field="6" count="50">
            <x v="1183"/>
            <x v="1184"/>
            <x v="1191"/>
            <x v="1193"/>
            <x v="1202"/>
            <x v="1207"/>
            <x v="1214"/>
            <x v="1216"/>
            <x v="1218"/>
            <x v="1223"/>
            <x v="1226"/>
            <x v="1227"/>
            <x v="1231"/>
            <x v="1234"/>
            <x v="1236"/>
            <x v="1238"/>
            <x v="1241"/>
            <x v="1242"/>
            <x v="1243"/>
            <x v="1244"/>
            <x v="1247"/>
            <x v="1252"/>
            <x v="1253"/>
            <x v="1257"/>
            <x v="1263"/>
            <x v="1265"/>
            <x v="1268"/>
            <x v="1269"/>
            <x v="1271"/>
            <x v="1276"/>
            <x v="1278"/>
            <x v="1279"/>
            <x v="1280"/>
            <x v="1285"/>
            <x v="1288"/>
            <x v="1303"/>
            <x v="1304"/>
            <x v="1305"/>
            <x v="1307"/>
            <x v="1309"/>
            <x v="1311"/>
            <x v="1319"/>
            <x v="1321"/>
            <x v="1322"/>
            <x v="1325"/>
            <x v="1327"/>
            <x v="1328"/>
            <x v="1331"/>
            <x v="1332"/>
            <x v="1334"/>
          </reference>
        </references>
      </pivotArea>
    </format>
    <format dxfId="257">
      <pivotArea dataOnly="0" labelOnly="1" fieldPosition="0">
        <references count="1">
          <reference field="6" count="50">
            <x v="1338"/>
            <x v="1342"/>
            <x v="1345"/>
            <x v="1347"/>
            <x v="1354"/>
            <x v="1356"/>
            <x v="1358"/>
            <x v="1361"/>
            <x v="1363"/>
            <x v="1364"/>
            <x v="1366"/>
            <x v="1372"/>
            <x v="1373"/>
            <x v="1378"/>
            <x v="1379"/>
            <x v="1392"/>
            <x v="1394"/>
            <x v="1396"/>
            <x v="1399"/>
            <x v="1400"/>
            <x v="1404"/>
            <x v="1411"/>
            <x v="1412"/>
            <x v="1414"/>
            <x v="1420"/>
            <x v="1426"/>
            <x v="1427"/>
            <x v="1431"/>
            <x v="1432"/>
            <x v="1434"/>
            <x v="1436"/>
            <x v="1439"/>
            <x v="1445"/>
            <x v="1447"/>
            <x v="1451"/>
            <x v="1452"/>
            <x v="1456"/>
            <x v="1458"/>
            <x v="1459"/>
            <x v="1468"/>
            <x v="1472"/>
            <x v="1473"/>
            <x v="1478"/>
            <x v="1479"/>
            <x v="1489"/>
            <x v="1492"/>
            <x v="1493"/>
            <x v="1494"/>
            <x v="1495"/>
            <x v="1498"/>
          </reference>
        </references>
      </pivotArea>
    </format>
    <format dxfId="256">
      <pivotArea dataOnly="0" labelOnly="1" fieldPosition="0">
        <references count="1">
          <reference field="6" count="50">
            <x v="1506"/>
            <x v="1512"/>
            <x v="1517"/>
            <x v="1521"/>
            <x v="1526"/>
            <x v="1529"/>
            <x v="1530"/>
            <x v="1532"/>
            <x v="1536"/>
            <x v="1538"/>
            <x v="1541"/>
            <x v="1548"/>
            <x v="1550"/>
            <x v="1554"/>
            <x v="1555"/>
            <x v="1558"/>
            <x v="1563"/>
            <x v="1565"/>
            <x v="1569"/>
            <x v="1572"/>
            <x v="1576"/>
            <x v="1577"/>
            <x v="1579"/>
            <x v="1583"/>
            <x v="1584"/>
            <x v="1585"/>
            <x v="1588"/>
            <x v="1589"/>
            <x v="1593"/>
            <x v="1595"/>
            <x v="1599"/>
            <x v="1602"/>
            <x v="1603"/>
            <x v="1606"/>
            <x v="1608"/>
            <x v="1609"/>
            <x v="1613"/>
            <x v="1615"/>
            <x v="1616"/>
            <x v="1618"/>
            <x v="1626"/>
            <x v="1627"/>
            <x v="1629"/>
            <x v="1632"/>
            <x v="1634"/>
            <x v="1637"/>
            <x v="1638"/>
            <x v="1643"/>
            <x v="1645"/>
            <x v="1646"/>
          </reference>
        </references>
      </pivotArea>
    </format>
    <format dxfId="255">
      <pivotArea dataOnly="0" labelOnly="1" fieldPosition="0">
        <references count="1">
          <reference field="6" count="50">
            <x v="1657"/>
            <x v="1661"/>
            <x v="1665"/>
            <x v="1666"/>
            <x v="1667"/>
            <x v="1668"/>
            <x v="1669"/>
            <x v="1670"/>
            <x v="1675"/>
            <x v="1677"/>
            <x v="1683"/>
            <x v="1688"/>
            <x v="1689"/>
            <x v="1690"/>
            <x v="1692"/>
            <x v="1693"/>
            <x v="1697"/>
            <x v="1699"/>
            <x v="1700"/>
            <x v="1701"/>
            <x v="1704"/>
            <x v="1710"/>
            <x v="1714"/>
            <x v="1717"/>
            <x v="1718"/>
            <x v="1721"/>
            <x v="1725"/>
            <x v="1731"/>
            <x v="1733"/>
            <x v="1734"/>
            <x v="1736"/>
            <x v="1738"/>
            <x v="1739"/>
            <x v="1741"/>
            <x v="1743"/>
            <x v="1744"/>
            <x v="1745"/>
            <x v="1748"/>
            <x v="1750"/>
            <x v="1751"/>
            <x v="1752"/>
            <x v="1757"/>
            <x v="1759"/>
            <x v="1764"/>
            <x v="1765"/>
            <x v="1767"/>
            <x v="1768"/>
            <x v="1769"/>
            <x v="1770"/>
            <x v="1771"/>
          </reference>
        </references>
      </pivotArea>
    </format>
    <format dxfId="254">
      <pivotArea dataOnly="0" labelOnly="1" fieldPosition="0">
        <references count="1">
          <reference field="6" count="50">
            <x v="1778"/>
            <x v="1780"/>
            <x v="1784"/>
            <x v="1786"/>
            <x v="1787"/>
            <x v="1788"/>
            <x v="1790"/>
            <x v="1795"/>
            <x v="1796"/>
            <x v="1797"/>
            <x v="1801"/>
            <x v="1803"/>
            <x v="1805"/>
            <x v="1806"/>
            <x v="1810"/>
            <x v="1815"/>
            <x v="1816"/>
            <x v="1819"/>
            <x v="1821"/>
            <x v="1822"/>
            <x v="1825"/>
            <x v="1826"/>
            <x v="1827"/>
            <x v="1833"/>
            <x v="1834"/>
            <x v="1836"/>
            <x v="1838"/>
            <x v="1839"/>
            <x v="1840"/>
            <x v="1843"/>
            <x v="1844"/>
            <x v="1845"/>
            <x v="1847"/>
            <x v="1850"/>
            <x v="1851"/>
            <x v="1855"/>
            <x v="1863"/>
            <x v="1864"/>
            <x v="1866"/>
            <x v="1870"/>
            <x v="1871"/>
            <x v="1872"/>
            <x v="1890"/>
            <x v="1894"/>
            <x v="1895"/>
            <x v="1897"/>
            <x v="1898"/>
            <x v="1900"/>
            <x v="1901"/>
            <x v="1903"/>
          </reference>
        </references>
      </pivotArea>
    </format>
    <format dxfId="253">
      <pivotArea collapsedLevelsAreSubtotals="1" fieldPosition="0">
        <references count="1">
          <reference field="6" count="801">
            <x v="0"/>
            <x v="4"/>
            <x v="8"/>
            <x v="10"/>
            <x v="12"/>
            <x v="13"/>
            <x v="15"/>
            <x v="19"/>
            <x v="21"/>
            <x v="25"/>
            <x v="26"/>
            <x v="27"/>
            <x v="33"/>
            <x v="36"/>
            <x v="37"/>
            <x v="38"/>
            <x v="40"/>
            <x v="42"/>
            <x v="45"/>
            <x v="46"/>
            <x v="47"/>
            <x v="49"/>
            <x v="52"/>
            <x v="59"/>
            <x v="63"/>
            <x v="67"/>
            <x v="69"/>
            <x v="71"/>
            <x v="76"/>
            <x v="77"/>
            <x v="79"/>
            <x v="82"/>
            <x v="85"/>
            <x v="87"/>
            <x v="88"/>
            <x v="93"/>
            <x v="95"/>
            <x v="97"/>
            <x v="99"/>
            <x v="100"/>
            <x v="101"/>
            <x v="102"/>
            <x v="103"/>
            <x v="106"/>
            <x v="107"/>
            <x v="114"/>
            <x v="115"/>
            <x v="118"/>
            <x v="120"/>
            <x v="123"/>
            <x v="126"/>
            <x v="129"/>
            <x v="134"/>
            <x v="138"/>
            <x v="140"/>
            <x v="144"/>
            <x v="152"/>
            <x v="153"/>
            <x v="154"/>
            <x v="158"/>
            <x v="163"/>
            <x v="164"/>
            <x v="165"/>
            <x v="168"/>
            <x v="176"/>
            <x v="182"/>
            <x v="185"/>
            <x v="190"/>
            <x v="192"/>
            <x v="200"/>
            <x v="201"/>
            <x v="202"/>
            <x v="210"/>
            <x v="213"/>
            <x v="220"/>
            <x v="221"/>
            <x v="223"/>
            <x v="224"/>
            <x v="226"/>
            <x v="228"/>
            <x v="229"/>
            <x v="232"/>
            <x v="234"/>
            <x v="235"/>
            <x v="239"/>
            <x v="243"/>
            <x v="245"/>
            <x v="246"/>
            <x v="247"/>
            <x v="253"/>
            <x v="254"/>
            <x v="259"/>
            <x v="260"/>
            <x v="262"/>
            <x v="265"/>
            <x v="266"/>
            <x v="271"/>
            <x v="273"/>
            <x v="276"/>
            <x v="279"/>
            <x v="280"/>
            <x v="283"/>
            <x v="284"/>
            <x v="287"/>
            <x v="288"/>
            <x v="289"/>
            <x v="291"/>
            <x v="294"/>
            <x v="295"/>
            <x v="296"/>
            <x v="297"/>
            <x v="298"/>
            <x v="300"/>
            <x v="304"/>
            <x v="306"/>
            <x v="308"/>
            <x v="310"/>
            <x v="312"/>
            <x v="315"/>
            <x v="317"/>
            <x v="318"/>
            <x v="319"/>
            <x v="323"/>
            <x v="325"/>
            <x v="330"/>
            <x v="331"/>
            <x v="333"/>
            <x v="335"/>
            <x v="336"/>
            <x v="342"/>
            <x v="347"/>
            <x v="348"/>
            <x v="350"/>
            <x v="353"/>
            <x v="355"/>
            <x v="358"/>
            <x v="360"/>
            <x v="361"/>
            <x v="368"/>
            <x v="369"/>
            <x v="374"/>
            <x v="375"/>
            <x v="376"/>
            <x v="377"/>
            <x v="379"/>
            <x v="380"/>
            <x v="381"/>
            <x v="387"/>
            <x v="388"/>
            <x v="391"/>
            <x v="394"/>
            <x v="397"/>
            <x v="400"/>
            <x v="401"/>
            <x v="402"/>
            <x v="404"/>
            <x v="406"/>
            <x v="407"/>
            <x v="412"/>
            <x v="413"/>
            <x v="415"/>
            <x v="416"/>
            <x v="419"/>
            <x v="420"/>
            <x v="422"/>
            <x v="423"/>
            <x v="424"/>
            <x v="427"/>
            <x v="429"/>
            <x v="430"/>
            <x v="434"/>
            <x v="435"/>
            <x v="436"/>
            <x v="438"/>
            <x v="439"/>
            <x v="444"/>
            <x v="446"/>
            <x v="453"/>
            <x v="454"/>
            <x v="457"/>
            <x v="458"/>
            <x v="462"/>
            <x v="463"/>
            <x v="464"/>
            <x v="465"/>
            <x v="466"/>
            <x v="467"/>
            <x v="469"/>
            <x v="473"/>
            <x v="477"/>
            <x v="479"/>
            <x v="482"/>
            <x v="483"/>
            <x v="484"/>
            <x v="485"/>
            <x v="486"/>
            <x v="488"/>
            <x v="489"/>
            <x v="491"/>
            <x v="492"/>
            <x v="493"/>
            <x v="494"/>
            <x v="495"/>
            <x v="496"/>
            <x v="498"/>
            <x v="501"/>
            <x v="504"/>
            <x v="505"/>
            <x v="506"/>
            <x v="507"/>
            <x v="510"/>
            <x v="515"/>
            <x v="519"/>
            <x v="520"/>
            <x v="522"/>
            <x v="525"/>
            <x v="527"/>
            <x v="529"/>
            <x v="532"/>
            <x v="533"/>
            <x v="534"/>
            <x v="535"/>
            <x v="536"/>
            <x v="542"/>
            <x v="544"/>
            <x v="545"/>
            <x v="546"/>
            <x v="547"/>
            <x v="549"/>
            <x v="551"/>
            <x v="556"/>
            <x v="558"/>
            <x v="559"/>
            <x v="560"/>
            <x v="566"/>
            <x v="567"/>
            <x v="568"/>
            <x v="571"/>
            <x v="572"/>
            <x v="573"/>
            <x v="574"/>
            <x v="575"/>
            <x v="577"/>
            <x v="581"/>
            <x v="583"/>
            <x v="585"/>
            <x v="589"/>
            <x v="591"/>
            <x v="593"/>
            <x v="594"/>
            <x v="595"/>
            <x v="596"/>
            <x v="601"/>
            <x v="603"/>
            <x v="605"/>
            <x v="606"/>
            <x v="607"/>
            <x v="610"/>
            <x v="611"/>
            <x v="612"/>
            <x v="614"/>
            <x v="615"/>
            <x v="617"/>
            <x v="618"/>
            <x v="620"/>
            <x v="622"/>
            <x v="624"/>
            <x v="626"/>
            <x v="627"/>
            <x v="628"/>
            <x v="629"/>
            <x v="637"/>
            <x v="638"/>
            <x v="644"/>
            <x v="645"/>
            <x v="648"/>
            <x v="649"/>
            <x v="654"/>
            <x v="655"/>
            <x v="657"/>
            <x v="663"/>
            <x v="664"/>
            <x v="665"/>
            <x v="666"/>
            <x v="668"/>
            <x v="672"/>
            <x v="677"/>
            <x v="682"/>
            <x v="685"/>
            <x v="687"/>
            <x v="690"/>
            <x v="691"/>
            <x v="696"/>
            <x v="698"/>
            <x v="702"/>
            <x v="705"/>
            <x v="712"/>
            <x v="715"/>
            <x v="716"/>
            <x v="718"/>
            <x v="721"/>
            <x v="722"/>
            <x v="723"/>
            <x v="728"/>
            <x v="733"/>
            <x v="736"/>
            <x v="737"/>
            <x v="738"/>
            <x v="741"/>
            <x v="743"/>
            <x v="744"/>
            <x v="749"/>
            <x v="750"/>
            <x v="751"/>
            <x v="753"/>
            <x v="757"/>
            <x v="759"/>
            <x v="760"/>
            <x v="762"/>
            <x v="765"/>
            <x v="767"/>
            <x v="769"/>
            <x v="771"/>
            <x v="774"/>
            <x v="777"/>
            <x v="779"/>
            <x v="783"/>
            <x v="784"/>
            <x v="785"/>
            <x v="787"/>
            <x v="789"/>
            <x v="792"/>
            <x v="793"/>
            <x v="795"/>
            <x v="796"/>
            <x v="797"/>
            <x v="799"/>
            <x v="800"/>
            <x v="801"/>
            <x v="803"/>
            <x v="804"/>
            <x v="805"/>
            <x v="806"/>
            <x v="807"/>
            <x v="809"/>
            <x v="812"/>
            <x v="814"/>
            <x v="815"/>
            <x v="821"/>
            <x v="825"/>
            <x v="826"/>
            <x v="827"/>
            <x v="829"/>
            <x v="830"/>
            <x v="836"/>
            <x v="837"/>
            <x v="839"/>
            <x v="840"/>
            <x v="844"/>
            <x v="846"/>
            <x v="847"/>
            <x v="850"/>
            <x v="851"/>
            <x v="852"/>
            <x v="854"/>
            <x v="855"/>
            <x v="856"/>
            <x v="860"/>
            <x v="861"/>
            <x v="864"/>
            <x v="869"/>
            <x v="871"/>
            <x v="873"/>
            <x v="874"/>
            <x v="876"/>
            <x v="878"/>
            <x v="881"/>
            <x v="886"/>
            <x v="889"/>
            <x v="890"/>
            <x v="891"/>
            <x v="892"/>
            <x v="894"/>
            <x v="895"/>
            <x v="896"/>
            <x v="897"/>
            <x v="899"/>
            <x v="900"/>
            <x v="901"/>
            <x v="902"/>
            <x v="909"/>
            <x v="911"/>
            <x v="912"/>
            <x v="915"/>
            <x v="916"/>
            <x v="917"/>
            <x v="918"/>
            <x v="919"/>
            <x v="921"/>
            <x v="922"/>
            <x v="926"/>
            <x v="928"/>
            <x v="933"/>
            <x v="935"/>
            <x v="940"/>
            <x v="944"/>
            <x v="945"/>
            <x v="947"/>
            <x v="948"/>
            <x v="949"/>
            <x v="951"/>
            <x v="952"/>
            <x v="956"/>
            <x v="959"/>
            <x v="966"/>
            <x v="967"/>
            <x v="970"/>
            <x v="971"/>
            <x v="973"/>
            <x v="974"/>
            <x v="975"/>
            <x v="976"/>
            <x v="978"/>
            <x v="983"/>
            <x v="984"/>
            <x v="985"/>
            <x v="987"/>
            <x v="988"/>
            <x v="989"/>
            <x v="995"/>
            <x v="1000"/>
            <x v="1001"/>
            <x v="1005"/>
            <x v="1006"/>
            <x v="1008"/>
            <x v="1012"/>
            <x v="1015"/>
            <x v="1016"/>
            <x v="1019"/>
            <x v="1020"/>
            <x v="1023"/>
            <x v="1024"/>
            <x v="1026"/>
            <x v="1029"/>
            <x v="1033"/>
            <x v="1035"/>
            <x v="1036"/>
            <x v="1037"/>
            <x v="1038"/>
            <x v="1040"/>
            <x v="1042"/>
            <x v="1046"/>
            <x v="1047"/>
            <x v="1049"/>
            <x v="1051"/>
            <x v="1052"/>
            <x v="1053"/>
            <x v="1058"/>
            <x v="1068"/>
            <x v="1069"/>
            <x v="1073"/>
            <x v="1080"/>
            <x v="1081"/>
            <x v="1083"/>
            <x v="1089"/>
            <x v="1093"/>
            <x v="1095"/>
            <x v="1100"/>
            <x v="1102"/>
            <x v="1103"/>
            <x v="1106"/>
            <x v="1109"/>
            <x v="1116"/>
            <x v="1117"/>
            <x v="1122"/>
            <x v="1125"/>
            <x v="1127"/>
            <x v="1128"/>
            <x v="1129"/>
            <x v="1131"/>
            <x v="1132"/>
            <x v="1136"/>
            <x v="1138"/>
            <x v="1139"/>
            <x v="1140"/>
            <x v="1143"/>
            <x v="1145"/>
            <x v="1148"/>
            <x v="1150"/>
            <x v="1161"/>
            <x v="1162"/>
            <x v="1166"/>
            <x v="1169"/>
            <x v="1174"/>
            <x v="1176"/>
            <x v="1177"/>
            <x v="1183"/>
            <x v="1184"/>
            <x v="1185"/>
            <x v="1191"/>
            <x v="1193"/>
            <x v="1196"/>
            <x v="1202"/>
            <x v="1207"/>
            <x v="1211"/>
            <x v="1214"/>
            <x v="1216"/>
            <x v="1218"/>
            <x v="1223"/>
            <x v="1226"/>
            <x v="1227"/>
            <x v="1231"/>
            <x v="1234"/>
            <x v="1236"/>
            <x v="1238"/>
            <x v="1240"/>
            <x v="1241"/>
            <x v="1242"/>
            <x v="1243"/>
            <x v="1244"/>
            <x v="1247"/>
            <x v="1252"/>
            <x v="1253"/>
            <x v="1257"/>
            <x v="1260"/>
            <x v="1263"/>
            <x v="1265"/>
            <x v="1268"/>
            <x v="1269"/>
            <x v="1271"/>
            <x v="1276"/>
            <x v="1278"/>
            <x v="1279"/>
            <x v="1280"/>
            <x v="1285"/>
            <x v="1288"/>
            <x v="1291"/>
            <x v="1294"/>
            <x v="1303"/>
            <x v="1304"/>
            <x v="1305"/>
            <x v="1307"/>
            <x v="1309"/>
            <x v="1311"/>
            <x v="1319"/>
            <x v="1321"/>
            <x v="1322"/>
            <x v="1325"/>
            <x v="1327"/>
            <x v="1328"/>
            <x v="1331"/>
            <x v="1332"/>
            <x v="1334"/>
            <x v="1338"/>
            <x v="1341"/>
            <x v="1342"/>
            <x v="1345"/>
            <x v="1347"/>
            <x v="1348"/>
            <x v="1353"/>
            <x v="1354"/>
            <x v="1355"/>
            <x v="1356"/>
            <x v="1358"/>
            <x v="1361"/>
            <x v="1363"/>
            <x v="1364"/>
            <x v="1366"/>
            <x v="1370"/>
            <x v="1372"/>
            <x v="1373"/>
            <x v="1378"/>
            <x v="1379"/>
            <x v="1392"/>
            <x v="1393"/>
            <x v="1394"/>
            <x v="1396"/>
            <x v="1399"/>
            <x v="1400"/>
            <x v="1404"/>
            <x v="1410"/>
            <x v="1411"/>
            <x v="1412"/>
            <x v="1414"/>
            <x v="1418"/>
            <x v="1420"/>
            <x v="1426"/>
            <x v="1427"/>
            <x v="1431"/>
            <x v="1432"/>
            <x v="1434"/>
            <x v="1436"/>
            <x v="1439"/>
            <x v="1442"/>
            <x v="1445"/>
            <x v="1446"/>
            <x v="1447"/>
            <x v="1451"/>
            <x v="1452"/>
            <x v="1456"/>
            <x v="1458"/>
            <x v="1459"/>
            <x v="1462"/>
            <x v="1468"/>
            <x v="1472"/>
            <x v="1473"/>
            <x v="1478"/>
            <x v="1479"/>
            <x v="1480"/>
            <x v="1485"/>
            <x v="1489"/>
            <x v="1492"/>
            <x v="1493"/>
            <x v="1494"/>
            <x v="1495"/>
            <x v="1498"/>
            <x v="1506"/>
            <x v="1508"/>
            <x v="1509"/>
            <x v="1512"/>
            <x v="1517"/>
            <x v="1521"/>
            <x v="1523"/>
            <x v="1526"/>
            <x v="1529"/>
            <x v="1530"/>
            <x v="1532"/>
            <x v="1536"/>
            <x v="1538"/>
            <x v="1540"/>
            <x v="1541"/>
            <x v="1548"/>
            <x v="1550"/>
            <x v="1554"/>
            <x v="1555"/>
            <x v="1558"/>
            <x v="1562"/>
            <x v="1563"/>
            <x v="1565"/>
            <x v="1569"/>
            <x v="1572"/>
            <x v="1573"/>
            <x v="1576"/>
            <x v="1577"/>
            <x v="1579"/>
            <x v="1583"/>
            <x v="1584"/>
            <x v="1585"/>
            <x v="1588"/>
            <x v="1589"/>
            <x v="1593"/>
            <x v="1595"/>
            <x v="1599"/>
            <x v="1600"/>
            <x v="1602"/>
            <x v="1603"/>
            <x v="1604"/>
            <x v="1606"/>
            <x v="1608"/>
            <x v="1609"/>
            <x v="1613"/>
            <x v="1615"/>
            <x v="1616"/>
            <x v="1618"/>
            <x v="1626"/>
            <x v="1627"/>
            <x v="1629"/>
            <x v="1632"/>
            <x v="1634"/>
            <x v="1637"/>
            <x v="1638"/>
            <x v="1643"/>
            <x v="1645"/>
            <x v="1646"/>
            <x v="1647"/>
            <x v="1657"/>
            <x v="1659"/>
            <x v="1661"/>
            <x v="1665"/>
            <x v="1666"/>
            <x v="1667"/>
            <x v="1668"/>
            <x v="1669"/>
            <x v="1670"/>
            <x v="1675"/>
            <x v="1677"/>
            <x v="1680"/>
            <x v="1682"/>
            <x v="1683"/>
            <x v="1688"/>
            <x v="1689"/>
            <x v="1690"/>
            <x v="1692"/>
            <x v="1693"/>
            <x v="1697"/>
            <x v="1699"/>
            <x v="1700"/>
            <x v="1701"/>
            <x v="1704"/>
            <x v="1705"/>
            <x v="1710"/>
            <x v="1714"/>
            <x v="1716"/>
            <x v="1717"/>
            <x v="1718"/>
            <x v="1721"/>
            <x v="1725"/>
            <x v="1731"/>
            <x v="1733"/>
            <x v="1734"/>
            <x v="1736"/>
            <x v="1738"/>
            <x v="1739"/>
            <x v="1741"/>
            <x v="1743"/>
            <x v="1744"/>
            <x v="1745"/>
            <x v="1748"/>
            <x v="1750"/>
            <x v="1751"/>
            <x v="1752"/>
            <x v="1754"/>
            <x v="1757"/>
            <x v="1759"/>
            <x v="1764"/>
            <x v="1765"/>
            <x v="1767"/>
            <x v="1768"/>
            <x v="1769"/>
            <x v="1770"/>
            <x v="1771"/>
            <x v="1778"/>
            <x v="1780"/>
            <x v="1784"/>
            <x v="1786"/>
            <x v="1787"/>
            <x v="1788"/>
            <x v="1790"/>
            <x v="1794"/>
            <x v="1795"/>
            <x v="1796"/>
            <x v="1797"/>
            <x v="1801"/>
            <x v="1803"/>
            <x v="1805"/>
            <x v="1806"/>
            <x v="1810"/>
            <x v="1815"/>
            <x v="1816"/>
            <x v="1819"/>
            <x v="1821"/>
            <x v="1822"/>
            <x v="1825"/>
            <x v="1826"/>
            <x v="1827"/>
            <x v="1830"/>
            <x v="1833"/>
            <x v="1834"/>
            <x v="1836"/>
            <x v="1838"/>
            <x v="1839"/>
            <x v="1840"/>
            <x v="1843"/>
            <x v="1844"/>
            <x v="1845"/>
            <x v="1847"/>
            <x v="1850"/>
            <x v="1851"/>
            <x v="1855"/>
            <x v="1863"/>
            <x v="1864"/>
            <x v="1866"/>
            <x v="1870"/>
            <x v="1871"/>
            <x v="1872"/>
            <x v="1890"/>
            <x v="1894"/>
            <x v="1895"/>
            <x v="1897"/>
            <x v="1898"/>
            <x v="1900"/>
            <x v="1901"/>
            <x v="1903"/>
            <x v="1907"/>
            <x v="1908"/>
            <x v="1915"/>
            <x v="1919"/>
            <x v="1921"/>
            <x v="1923"/>
            <x v="1925"/>
            <x v="1926"/>
            <x v="1928"/>
            <x v="1933"/>
            <x v="1934"/>
            <x v="1936"/>
            <x v="1938"/>
            <x v="1939"/>
            <x v="1942"/>
            <x v="1947"/>
            <x v="1948"/>
            <x v="1949"/>
          </reference>
        </references>
      </pivotArea>
    </format>
    <format dxfId="252">
      <pivotArea dataOnly="0" labelOnly="1" fieldPosition="0">
        <references count="1">
          <reference field="6" count="50">
            <x v="0"/>
            <x v="4"/>
            <x v="8"/>
            <x v="10"/>
            <x v="12"/>
            <x v="13"/>
            <x v="15"/>
            <x v="19"/>
            <x v="21"/>
            <x v="25"/>
            <x v="26"/>
            <x v="27"/>
            <x v="33"/>
            <x v="36"/>
            <x v="37"/>
            <x v="38"/>
            <x v="40"/>
            <x v="42"/>
            <x v="45"/>
            <x v="46"/>
            <x v="47"/>
            <x v="49"/>
            <x v="52"/>
            <x v="59"/>
            <x v="63"/>
            <x v="67"/>
            <x v="69"/>
            <x v="71"/>
            <x v="76"/>
            <x v="77"/>
            <x v="79"/>
            <x v="82"/>
            <x v="85"/>
            <x v="87"/>
            <x v="88"/>
            <x v="93"/>
            <x v="95"/>
            <x v="97"/>
            <x v="99"/>
            <x v="100"/>
            <x v="101"/>
            <x v="102"/>
            <x v="103"/>
            <x v="106"/>
            <x v="107"/>
            <x v="114"/>
            <x v="115"/>
            <x v="118"/>
            <x v="120"/>
            <x v="123"/>
          </reference>
        </references>
      </pivotArea>
    </format>
    <format dxfId="251">
      <pivotArea dataOnly="0" labelOnly="1" fieldPosition="0">
        <references count="1">
          <reference field="6" count="50">
            <x v="126"/>
            <x v="129"/>
            <x v="134"/>
            <x v="138"/>
            <x v="140"/>
            <x v="144"/>
            <x v="152"/>
            <x v="153"/>
            <x v="154"/>
            <x v="158"/>
            <x v="163"/>
            <x v="164"/>
            <x v="165"/>
            <x v="168"/>
            <x v="176"/>
            <x v="182"/>
            <x v="185"/>
            <x v="190"/>
            <x v="192"/>
            <x v="200"/>
            <x v="201"/>
            <x v="202"/>
            <x v="210"/>
            <x v="213"/>
            <x v="220"/>
            <x v="221"/>
            <x v="223"/>
            <x v="224"/>
            <x v="226"/>
            <x v="228"/>
            <x v="229"/>
            <x v="232"/>
            <x v="234"/>
            <x v="235"/>
            <x v="239"/>
            <x v="243"/>
            <x v="245"/>
            <x v="246"/>
            <x v="247"/>
            <x v="253"/>
            <x v="254"/>
            <x v="259"/>
            <x v="260"/>
            <x v="262"/>
            <x v="265"/>
            <x v="266"/>
            <x v="271"/>
            <x v="273"/>
            <x v="276"/>
            <x v="279"/>
          </reference>
        </references>
      </pivotArea>
    </format>
    <format dxfId="250">
      <pivotArea dataOnly="0" labelOnly="1" fieldPosition="0">
        <references count="1">
          <reference field="6" count="50">
            <x v="280"/>
            <x v="283"/>
            <x v="284"/>
            <x v="287"/>
            <x v="288"/>
            <x v="289"/>
            <x v="291"/>
            <x v="294"/>
            <x v="295"/>
            <x v="296"/>
            <x v="297"/>
            <x v="298"/>
            <x v="300"/>
            <x v="304"/>
            <x v="306"/>
            <x v="308"/>
            <x v="310"/>
            <x v="312"/>
            <x v="315"/>
            <x v="317"/>
            <x v="318"/>
            <x v="319"/>
            <x v="323"/>
            <x v="325"/>
            <x v="330"/>
            <x v="331"/>
            <x v="333"/>
            <x v="335"/>
            <x v="336"/>
            <x v="342"/>
            <x v="347"/>
            <x v="348"/>
            <x v="350"/>
            <x v="353"/>
            <x v="355"/>
            <x v="358"/>
            <x v="360"/>
            <x v="361"/>
            <x v="368"/>
            <x v="369"/>
            <x v="374"/>
            <x v="375"/>
            <x v="376"/>
            <x v="377"/>
            <x v="379"/>
            <x v="380"/>
            <x v="381"/>
            <x v="387"/>
            <x v="388"/>
            <x v="391"/>
          </reference>
        </references>
      </pivotArea>
    </format>
    <format dxfId="249">
      <pivotArea dataOnly="0" labelOnly="1" fieldPosition="0">
        <references count="1">
          <reference field="6" count="50">
            <x v="394"/>
            <x v="397"/>
            <x v="400"/>
            <x v="401"/>
            <x v="402"/>
            <x v="404"/>
            <x v="406"/>
            <x v="407"/>
            <x v="412"/>
            <x v="413"/>
            <x v="415"/>
            <x v="416"/>
            <x v="419"/>
            <x v="420"/>
            <x v="422"/>
            <x v="423"/>
            <x v="424"/>
            <x v="427"/>
            <x v="429"/>
            <x v="430"/>
            <x v="434"/>
            <x v="435"/>
            <x v="436"/>
            <x v="438"/>
            <x v="439"/>
            <x v="444"/>
            <x v="446"/>
            <x v="453"/>
            <x v="454"/>
            <x v="457"/>
            <x v="458"/>
            <x v="462"/>
            <x v="463"/>
            <x v="464"/>
            <x v="465"/>
            <x v="466"/>
            <x v="467"/>
            <x v="469"/>
            <x v="473"/>
            <x v="477"/>
            <x v="479"/>
            <x v="482"/>
            <x v="483"/>
            <x v="484"/>
            <x v="485"/>
            <x v="486"/>
            <x v="488"/>
            <x v="489"/>
            <x v="491"/>
            <x v="492"/>
          </reference>
        </references>
      </pivotArea>
    </format>
    <format dxfId="248">
      <pivotArea dataOnly="0" labelOnly="1" fieldPosition="0">
        <references count="1">
          <reference field="6" count="50">
            <x v="493"/>
            <x v="494"/>
            <x v="495"/>
            <x v="496"/>
            <x v="498"/>
            <x v="501"/>
            <x v="504"/>
            <x v="505"/>
            <x v="506"/>
            <x v="507"/>
            <x v="510"/>
            <x v="515"/>
            <x v="519"/>
            <x v="520"/>
            <x v="522"/>
            <x v="525"/>
            <x v="527"/>
            <x v="529"/>
            <x v="532"/>
            <x v="533"/>
            <x v="534"/>
            <x v="535"/>
            <x v="536"/>
            <x v="542"/>
            <x v="544"/>
            <x v="545"/>
            <x v="546"/>
            <x v="547"/>
            <x v="549"/>
            <x v="551"/>
            <x v="556"/>
            <x v="558"/>
            <x v="559"/>
            <x v="560"/>
            <x v="566"/>
            <x v="567"/>
            <x v="568"/>
            <x v="571"/>
            <x v="572"/>
            <x v="573"/>
            <x v="574"/>
            <x v="575"/>
            <x v="577"/>
            <x v="581"/>
            <x v="583"/>
            <x v="585"/>
            <x v="589"/>
            <x v="591"/>
            <x v="593"/>
            <x v="594"/>
          </reference>
        </references>
      </pivotArea>
    </format>
    <format dxfId="247">
      <pivotArea dataOnly="0" labelOnly="1" fieldPosition="0">
        <references count="1">
          <reference field="6" count="50">
            <x v="595"/>
            <x v="596"/>
            <x v="601"/>
            <x v="603"/>
            <x v="605"/>
            <x v="606"/>
            <x v="607"/>
            <x v="610"/>
            <x v="611"/>
            <x v="612"/>
            <x v="614"/>
            <x v="615"/>
            <x v="617"/>
            <x v="618"/>
            <x v="620"/>
            <x v="622"/>
            <x v="624"/>
            <x v="626"/>
            <x v="627"/>
            <x v="628"/>
            <x v="629"/>
            <x v="637"/>
            <x v="638"/>
            <x v="644"/>
            <x v="645"/>
            <x v="648"/>
            <x v="649"/>
            <x v="654"/>
            <x v="655"/>
            <x v="657"/>
            <x v="663"/>
            <x v="664"/>
            <x v="665"/>
            <x v="666"/>
            <x v="668"/>
            <x v="672"/>
            <x v="677"/>
            <x v="682"/>
            <x v="685"/>
            <x v="687"/>
            <x v="690"/>
            <x v="691"/>
            <x v="696"/>
            <x v="698"/>
            <x v="702"/>
            <x v="705"/>
            <x v="712"/>
            <x v="715"/>
            <x v="716"/>
            <x v="718"/>
          </reference>
        </references>
      </pivotArea>
    </format>
    <format dxfId="246">
      <pivotArea dataOnly="0" labelOnly="1" fieldPosition="0">
        <references count="1">
          <reference field="6" count="50">
            <x v="721"/>
            <x v="722"/>
            <x v="723"/>
            <x v="728"/>
            <x v="733"/>
            <x v="736"/>
            <x v="737"/>
            <x v="738"/>
            <x v="741"/>
            <x v="743"/>
            <x v="744"/>
            <x v="749"/>
            <x v="750"/>
            <x v="751"/>
            <x v="753"/>
            <x v="757"/>
            <x v="759"/>
            <x v="760"/>
            <x v="762"/>
            <x v="765"/>
            <x v="767"/>
            <x v="769"/>
            <x v="771"/>
            <x v="774"/>
            <x v="777"/>
            <x v="779"/>
            <x v="783"/>
            <x v="784"/>
            <x v="785"/>
            <x v="787"/>
            <x v="789"/>
            <x v="792"/>
            <x v="793"/>
            <x v="795"/>
            <x v="796"/>
            <x v="797"/>
            <x v="799"/>
            <x v="800"/>
            <x v="801"/>
            <x v="803"/>
            <x v="804"/>
            <x v="805"/>
            <x v="806"/>
            <x v="807"/>
            <x v="809"/>
            <x v="812"/>
            <x v="814"/>
            <x v="815"/>
            <x v="821"/>
            <x v="825"/>
          </reference>
        </references>
      </pivotArea>
    </format>
    <format dxfId="245">
      <pivotArea dataOnly="0" labelOnly="1" fieldPosition="0">
        <references count="1">
          <reference field="6" count="50">
            <x v="826"/>
            <x v="827"/>
            <x v="829"/>
            <x v="830"/>
            <x v="836"/>
            <x v="837"/>
            <x v="839"/>
            <x v="840"/>
            <x v="844"/>
            <x v="846"/>
            <x v="847"/>
            <x v="850"/>
            <x v="851"/>
            <x v="852"/>
            <x v="854"/>
            <x v="855"/>
            <x v="856"/>
            <x v="860"/>
            <x v="861"/>
            <x v="864"/>
            <x v="869"/>
            <x v="871"/>
            <x v="873"/>
            <x v="874"/>
            <x v="876"/>
            <x v="878"/>
            <x v="881"/>
            <x v="886"/>
            <x v="889"/>
            <x v="890"/>
            <x v="891"/>
            <x v="892"/>
            <x v="894"/>
            <x v="895"/>
            <x v="896"/>
            <x v="897"/>
            <x v="899"/>
            <x v="900"/>
            <x v="901"/>
            <x v="902"/>
            <x v="909"/>
            <x v="911"/>
            <x v="912"/>
            <x v="915"/>
            <x v="916"/>
            <x v="917"/>
            <x v="918"/>
            <x v="919"/>
            <x v="921"/>
            <x v="922"/>
          </reference>
        </references>
      </pivotArea>
    </format>
    <format dxfId="244">
      <pivotArea dataOnly="0" labelOnly="1" fieldPosition="0">
        <references count="1">
          <reference field="6" count="50">
            <x v="926"/>
            <x v="928"/>
            <x v="933"/>
            <x v="935"/>
            <x v="940"/>
            <x v="944"/>
            <x v="945"/>
            <x v="947"/>
            <x v="948"/>
            <x v="949"/>
            <x v="951"/>
            <x v="952"/>
            <x v="956"/>
            <x v="959"/>
            <x v="966"/>
            <x v="967"/>
            <x v="970"/>
            <x v="971"/>
            <x v="973"/>
            <x v="974"/>
            <x v="975"/>
            <x v="976"/>
            <x v="978"/>
            <x v="983"/>
            <x v="984"/>
            <x v="985"/>
            <x v="987"/>
            <x v="988"/>
            <x v="989"/>
            <x v="995"/>
            <x v="1000"/>
            <x v="1001"/>
            <x v="1005"/>
            <x v="1006"/>
            <x v="1008"/>
            <x v="1012"/>
            <x v="1015"/>
            <x v="1016"/>
            <x v="1019"/>
            <x v="1020"/>
            <x v="1023"/>
            <x v="1024"/>
            <x v="1026"/>
            <x v="1029"/>
            <x v="1033"/>
            <x v="1035"/>
            <x v="1036"/>
            <x v="1037"/>
            <x v="1038"/>
            <x v="1040"/>
          </reference>
        </references>
      </pivotArea>
    </format>
    <format dxfId="243">
      <pivotArea dataOnly="0" labelOnly="1" fieldPosition="0">
        <references count="1">
          <reference field="6" count="50">
            <x v="1042"/>
            <x v="1046"/>
            <x v="1047"/>
            <x v="1049"/>
            <x v="1051"/>
            <x v="1052"/>
            <x v="1053"/>
            <x v="1058"/>
            <x v="1068"/>
            <x v="1069"/>
            <x v="1073"/>
            <x v="1080"/>
            <x v="1081"/>
            <x v="1083"/>
            <x v="1089"/>
            <x v="1093"/>
            <x v="1095"/>
            <x v="1100"/>
            <x v="1102"/>
            <x v="1103"/>
            <x v="1106"/>
            <x v="1109"/>
            <x v="1116"/>
            <x v="1117"/>
            <x v="1122"/>
            <x v="1125"/>
            <x v="1127"/>
            <x v="1128"/>
            <x v="1129"/>
            <x v="1131"/>
            <x v="1132"/>
            <x v="1136"/>
            <x v="1138"/>
            <x v="1139"/>
            <x v="1140"/>
            <x v="1143"/>
            <x v="1145"/>
            <x v="1148"/>
            <x v="1150"/>
            <x v="1161"/>
            <x v="1162"/>
            <x v="1166"/>
            <x v="1169"/>
            <x v="1174"/>
            <x v="1176"/>
            <x v="1177"/>
            <x v="1183"/>
            <x v="1184"/>
            <x v="1185"/>
            <x v="1191"/>
          </reference>
        </references>
      </pivotArea>
    </format>
    <format dxfId="242">
      <pivotArea dataOnly="0" labelOnly="1" fieldPosition="0">
        <references count="1">
          <reference field="6" count="50">
            <x v="1193"/>
            <x v="1196"/>
            <x v="1202"/>
            <x v="1207"/>
            <x v="1211"/>
            <x v="1214"/>
            <x v="1216"/>
            <x v="1218"/>
            <x v="1223"/>
            <x v="1226"/>
            <x v="1227"/>
            <x v="1231"/>
            <x v="1234"/>
            <x v="1236"/>
            <x v="1238"/>
            <x v="1240"/>
            <x v="1241"/>
            <x v="1242"/>
            <x v="1243"/>
            <x v="1244"/>
            <x v="1247"/>
            <x v="1252"/>
            <x v="1253"/>
            <x v="1257"/>
            <x v="1260"/>
            <x v="1263"/>
            <x v="1265"/>
            <x v="1268"/>
            <x v="1269"/>
            <x v="1271"/>
            <x v="1276"/>
            <x v="1278"/>
            <x v="1279"/>
            <x v="1280"/>
            <x v="1285"/>
            <x v="1288"/>
            <x v="1291"/>
            <x v="1294"/>
            <x v="1303"/>
            <x v="1304"/>
            <x v="1305"/>
            <x v="1307"/>
            <x v="1309"/>
            <x v="1311"/>
            <x v="1319"/>
            <x v="1321"/>
            <x v="1322"/>
            <x v="1325"/>
            <x v="1327"/>
            <x v="1328"/>
          </reference>
        </references>
      </pivotArea>
    </format>
    <format dxfId="241">
      <pivotArea dataOnly="0" labelOnly="1" fieldPosition="0">
        <references count="1">
          <reference field="6" count="50">
            <x v="1331"/>
            <x v="1332"/>
            <x v="1334"/>
            <x v="1338"/>
            <x v="1341"/>
            <x v="1342"/>
            <x v="1345"/>
            <x v="1347"/>
            <x v="1348"/>
            <x v="1353"/>
            <x v="1354"/>
            <x v="1355"/>
            <x v="1356"/>
            <x v="1358"/>
            <x v="1361"/>
            <x v="1363"/>
            <x v="1364"/>
            <x v="1366"/>
            <x v="1370"/>
            <x v="1372"/>
            <x v="1373"/>
            <x v="1378"/>
            <x v="1379"/>
            <x v="1392"/>
            <x v="1393"/>
            <x v="1394"/>
            <x v="1396"/>
            <x v="1399"/>
            <x v="1400"/>
            <x v="1404"/>
            <x v="1410"/>
            <x v="1411"/>
            <x v="1412"/>
            <x v="1414"/>
            <x v="1418"/>
            <x v="1420"/>
            <x v="1426"/>
            <x v="1427"/>
            <x v="1431"/>
            <x v="1432"/>
            <x v="1434"/>
            <x v="1436"/>
            <x v="1439"/>
            <x v="1442"/>
            <x v="1445"/>
            <x v="1446"/>
            <x v="1447"/>
            <x v="1451"/>
            <x v="1452"/>
            <x v="1456"/>
          </reference>
        </references>
      </pivotArea>
    </format>
    <format dxfId="240">
      <pivotArea dataOnly="0" labelOnly="1" fieldPosition="0">
        <references count="1">
          <reference field="6" count="50">
            <x v="1458"/>
            <x v="1459"/>
            <x v="1462"/>
            <x v="1468"/>
            <x v="1472"/>
            <x v="1473"/>
            <x v="1478"/>
            <x v="1479"/>
            <x v="1480"/>
            <x v="1485"/>
            <x v="1489"/>
            <x v="1492"/>
            <x v="1493"/>
            <x v="1494"/>
            <x v="1495"/>
            <x v="1498"/>
            <x v="1506"/>
            <x v="1508"/>
            <x v="1509"/>
            <x v="1512"/>
            <x v="1517"/>
            <x v="1521"/>
            <x v="1523"/>
            <x v="1526"/>
            <x v="1529"/>
            <x v="1530"/>
            <x v="1532"/>
            <x v="1536"/>
            <x v="1538"/>
            <x v="1540"/>
            <x v="1541"/>
            <x v="1548"/>
            <x v="1550"/>
            <x v="1554"/>
            <x v="1555"/>
            <x v="1558"/>
            <x v="1562"/>
            <x v="1563"/>
            <x v="1565"/>
            <x v="1569"/>
            <x v="1572"/>
            <x v="1573"/>
            <x v="1576"/>
            <x v="1577"/>
            <x v="1579"/>
            <x v="1583"/>
            <x v="1584"/>
            <x v="1585"/>
            <x v="1588"/>
            <x v="1589"/>
          </reference>
        </references>
      </pivotArea>
    </format>
    <format dxfId="239">
      <pivotArea dataOnly="0" labelOnly="1" fieldPosition="0">
        <references count="1">
          <reference field="6" count="50">
            <x v="1593"/>
            <x v="1595"/>
            <x v="1599"/>
            <x v="1600"/>
            <x v="1602"/>
            <x v="1603"/>
            <x v="1604"/>
            <x v="1606"/>
            <x v="1608"/>
            <x v="1609"/>
            <x v="1613"/>
            <x v="1615"/>
            <x v="1616"/>
            <x v="1618"/>
            <x v="1626"/>
            <x v="1627"/>
            <x v="1629"/>
            <x v="1632"/>
            <x v="1634"/>
            <x v="1637"/>
            <x v="1638"/>
            <x v="1643"/>
            <x v="1645"/>
            <x v="1646"/>
            <x v="1647"/>
            <x v="1657"/>
            <x v="1659"/>
            <x v="1661"/>
            <x v="1665"/>
            <x v="1666"/>
            <x v="1667"/>
            <x v="1668"/>
            <x v="1669"/>
            <x v="1670"/>
            <x v="1675"/>
            <x v="1677"/>
            <x v="1680"/>
            <x v="1682"/>
            <x v="1683"/>
            <x v="1688"/>
            <x v="1689"/>
            <x v="1690"/>
            <x v="1692"/>
            <x v="1693"/>
            <x v="1697"/>
            <x v="1699"/>
            <x v="1700"/>
            <x v="1701"/>
            <x v="1704"/>
            <x v="1705"/>
          </reference>
        </references>
      </pivotArea>
    </format>
    <format dxfId="238">
      <pivotArea dataOnly="0" labelOnly="1" fieldPosition="0">
        <references count="1">
          <reference field="6" count="50">
            <x v="1710"/>
            <x v="1714"/>
            <x v="1716"/>
            <x v="1717"/>
            <x v="1718"/>
            <x v="1721"/>
            <x v="1725"/>
            <x v="1731"/>
            <x v="1733"/>
            <x v="1734"/>
            <x v="1736"/>
            <x v="1738"/>
            <x v="1739"/>
            <x v="1741"/>
            <x v="1743"/>
            <x v="1744"/>
            <x v="1745"/>
            <x v="1748"/>
            <x v="1750"/>
            <x v="1751"/>
            <x v="1752"/>
            <x v="1754"/>
            <x v="1757"/>
            <x v="1759"/>
            <x v="1764"/>
            <x v="1765"/>
            <x v="1767"/>
            <x v="1768"/>
            <x v="1769"/>
            <x v="1770"/>
            <x v="1771"/>
            <x v="1778"/>
            <x v="1780"/>
            <x v="1784"/>
            <x v="1786"/>
            <x v="1787"/>
            <x v="1788"/>
            <x v="1790"/>
            <x v="1794"/>
            <x v="1795"/>
            <x v="1796"/>
            <x v="1797"/>
            <x v="1801"/>
            <x v="1803"/>
            <x v="1805"/>
            <x v="1806"/>
            <x v="1810"/>
            <x v="1815"/>
            <x v="1816"/>
            <x v="1819"/>
          </reference>
        </references>
      </pivotArea>
    </format>
    <format dxfId="237">
      <pivotArea dataOnly="0" labelOnly="1" fieldPosition="0">
        <references count="1">
          <reference field="6" count="50">
            <x v="1821"/>
            <x v="1822"/>
            <x v="1825"/>
            <x v="1826"/>
            <x v="1827"/>
            <x v="1830"/>
            <x v="1833"/>
            <x v="1834"/>
            <x v="1836"/>
            <x v="1838"/>
            <x v="1839"/>
            <x v="1840"/>
            <x v="1843"/>
            <x v="1844"/>
            <x v="1845"/>
            <x v="1847"/>
            <x v="1850"/>
            <x v="1851"/>
            <x v="1855"/>
            <x v="1863"/>
            <x v="1864"/>
            <x v="1866"/>
            <x v="1870"/>
            <x v="1871"/>
            <x v="1872"/>
            <x v="1890"/>
            <x v="1894"/>
            <x v="1895"/>
            <x v="1897"/>
            <x v="1898"/>
            <x v="1900"/>
            <x v="1901"/>
            <x v="1903"/>
            <x v="1907"/>
            <x v="1908"/>
            <x v="1915"/>
            <x v="1919"/>
            <x v="1921"/>
            <x v="1923"/>
            <x v="1925"/>
            <x v="1926"/>
            <x v="1928"/>
            <x v="1933"/>
            <x v="1934"/>
            <x v="1936"/>
            <x v="1938"/>
            <x v="1939"/>
            <x v="1942"/>
            <x v="1947"/>
            <x v="1948"/>
          </reference>
        </references>
      </pivotArea>
    </format>
    <format dxfId="236">
      <pivotArea dataOnly="0" labelOnly="1" fieldPosition="0">
        <references count="1">
          <reference field="6" count="50">
            <x v="0"/>
            <x v="3"/>
            <x v="4"/>
            <x v="8"/>
            <x v="10"/>
            <x v="12"/>
            <x v="19"/>
            <x v="25"/>
            <x v="26"/>
            <x v="33"/>
            <x v="35"/>
            <x v="36"/>
            <x v="38"/>
            <x v="39"/>
            <x v="40"/>
            <x v="42"/>
            <x v="47"/>
            <x v="48"/>
            <x v="49"/>
            <x v="54"/>
            <x v="56"/>
            <x v="69"/>
            <x v="71"/>
            <x v="76"/>
            <x v="77"/>
            <x v="88"/>
            <x v="91"/>
            <x v="93"/>
            <x v="97"/>
            <x v="99"/>
            <x v="101"/>
            <x v="103"/>
            <x v="106"/>
            <x v="107"/>
            <x v="111"/>
            <x v="115"/>
            <x v="120"/>
            <x v="121"/>
            <x v="124"/>
            <x v="129"/>
            <x v="132"/>
            <x v="133"/>
            <x v="138"/>
            <x v="139"/>
            <x v="142"/>
            <x v="144"/>
            <x v="152"/>
            <x v="153"/>
            <x v="154"/>
            <x v="157"/>
          </reference>
        </references>
      </pivotArea>
    </format>
    <format dxfId="235">
      <pivotArea dataOnly="0" labelOnly="1" fieldPosition="0">
        <references count="1">
          <reference field="6" count="50">
            <x v="158"/>
            <x v="163"/>
            <x v="164"/>
            <x v="165"/>
            <x v="168"/>
            <x v="169"/>
            <x v="173"/>
            <x v="174"/>
            <x v="175"/>
            <x v="176"/>
            <x v="179"/>
            <x v="182"/>
            <x v="185"/>
            <x v="189"/>
            <x v="192"/>
            <x v="194"/>
            <x v="196"/>
            <x v="200"/>
            <x v="201"/>
            <x v="202"/>
            <x v="208"/>
            <x v="210"/>
            <x v="220"/>
            <x v="221"/>
            <x v="223"/>
            <x v="224"/>
            <x v="226"/>
            <x v="227"/>
            <x v="228"/>
            <x v="229"/>
            <x v="230"/>
            <x v="232"/>
            <x v="234"/>
            <x v="235"/>
            <x v="238"/>
            <x v="243"/>
            <x v="245"/>
            <x v="246"/>
            <x v="247"/>
            <x v="248"/>
            <x v="252"/>
            <x v="253"/>
            <x v="254"/>
            <x v="256"/>
            <x v="260"/>
            <x v="265"/>
            <x v="273"/>
            <x v="279"/>
            <x v="280"/>
            <x v="284"/>
          </reference>
        </references>
      </pivotArea>
    </format>
    <format dxfId="234">
      <pivotArea dataOnly="0" labelOnly="1" fieldPosition="0">
        <references count="1">
          <reference field="6" count="50">
            <x v="289"/>
            <x v="291"/>
            <x v="293"/>
            <x v="294"/>
            <x v="295"/>
            <x v="301"/>
            <x v="304"/>
            <x v="308"/>
            <x v="309"/>
            <x v="310"/>
            <x v="313"/>
            <x v="315"/>
            <x v="318"/>
            <x v="319"/>
            <x v="323"/>
            <x v="325"/>
            <x v="326"/>
            <x v="330"/>
            <x v="331"/>
            <x v="333"/>
            <x v="334"/>
            <x v="335"/>
            <x v="337"/>
            <x v="339"/>
            <x v="342"/>
            <x v="345"/>
            <x v="347"/>
            <x v="348"/>
            <x v="355"/>
            <x v="358"/>
            <x v="360"/>
            <x v="361"/>
            <x v="368"/>
            <x v="375"/>
            <x v="376"/>
            <x v="377"/>
            <x v="379"/>
            <x v="381"/>
            <x v="388"/>
            <x v="389"/>
            <x v="391"/>
            <x v="394"/>
            <x v="400"/>
            <x v="402"/>
            <x v="403"/>
            <x v="404"/>
            <x v="406"/>
            <x v="411"/>
            <x v="412"/>
            <x v="413"/>
          </reference>
        </references>
      </pivotArea>
    </format>
    <format dxfId="233">
      <pivotArea dataOnly="0" labelOnly="1" fieldPosition="0">
        <references count="1">
          <reference field="6" count="50">
            <x v="415"/>
            <x v="419"/>
            <x v="422"/>
            <x v="425"/>
            <x v="426"/>
            <x v="427"/>
            <x v="438"/>
            <x v="444"/>
            <x v="445"/>
            <x v="446"/>
            <x v="451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6"/>
            <x v="473"/>
            <x v="477"/>
            <x v="482"/>
            <x v="484"/>
            <x v="485"/>
            <x v="486"/>
            <x v="489"/>
            <x v="491"/>
            <x v="492"/>
            <x v="493"/>
            <x v="494"/>
            <x v="495"/>
            <x v="496"/>
            <x v="497"/>
            <x v="499"/>
            <x v="504"/>
            <x v="505"/>
            <x v="506"/>
            <x v="508"/>
            <x v="509"/>
            <x v="510"/>
            <x v="512"/>
            <x v="515"/>
            <x v="516"/>
            <x v="522"/>
            <x v="525"/>
            <x v="526"/>
          </reference>
        </references>
      </pivotArea>
    </format>
    <format dxfId="232">
      <pivotArea dataOnly="0" labelOnly="1" fieldPosition="0">
        <references count="1">
          <reference field="6" count="50">
            <x v="527"/>
            <x v="532"/>
            <x v="533"/>
            <x v="536"/>
            <x v="537"/>
            <x v="539"/>
            <x v="540"/>
            <x v="542"/>
            <x v="544"/>
            <x v="545"/>
            <x v="556"/>
            <x v="558"/>
            <x v="559"/>
            <x v="564"/>
            <x v="571"/>
            <x v="573"/>
            <x v="583"/>
            <x v="589"/>
            <x v="594"/>
            <x v="595"/>
            <x v="596"/>
            <x v="602"/>
            <x v="605"/>
            <x v="606"/>
            <x v="607"/>
            <x v="609"/>
            <x v="610"/>
            <x v="614"/>
            <x v="618"/>
            <x v="619"/>
            <x v="620"/>
            <x v="622"/>
            <x v="624"/>
            <x v="626"/>
            <x v="628"/>
            <x v="629"/>
            <x v="637"/>
            <x v="638"/>
            <x v="640"/>
            <x v="644"/>
            <x v="647"/>
            <x v="648"/>
            <x v="651"/>
            <x v="652"/>
            <x v="654"/>
            <x v="655"/>
            <x v="657"/>
            <x v="663"/>
            <x v="664"/>
            <x v="665"/>
          </reference>
        </references>
      </pivotArea>
    </format>
    <format dxfId="231">
      <pivotArea dataOnly="0" labelOnly="1" fieldPosition="0">
        <references count="1">
          <reference field="6" count="50">
            <x v="666"/>
            <x v="669"/>
            <x v="671"/>
            <x v="675"/>
            <x v="676"/>
            <x v="682"/>
            <x v="683"/>
            <x v="685"/>
            <x v="687"/>
            <x v="690"/>
            <x v="691"/>
            <x v="696"/>
            <x v="698"/>
            <x v="700"/>
            <x v="702"/>
            <x v="705"/>
            <x v="706"/>
            <x v="709"/>
            <x v="712"/>
            <x v="715"/>
            <x v="716"/>
            <x v="718"/>
            <x v="720"/>
            <x v="721"/>
            <x v="722"/>
            <x v="724"/>
            <x v="728"/>
            <x v="730"/>
            <x v="731"/>
            <x v="732"/>
            <x v="733"/>
            <x v="749"/>
            <x v="750"/>
            <x v="751"/>
            <x v="753"/>
            <x v="757"/>
            <x v="758"/>
            <x v="759"/>
            <x v="762"/>
            <x v="763"/>
            <x v="765"/>
            <x v="767"/>
            <x v="770"/>
            <x v="773"/>
            <x v="774"/>
            <x v="779"/>
            <x v="783"/>
            <x v="784"/>
            <x v="787"/>
            <x v="789"/>
          </reference>
        </references>
      </pivotArea>
    </format>
    <format dxfId="230">
      <pivotArea dataOnly="0" labelOnly="1" fieldPosition="0">
        <references count="1">
          <reference field="6" count="50">
            <x v="792"/>
            <x v="793"/>
            <x v="794"/>
            <x v="795"/>
            <x v="796"/>
            <x v="798"/>
            <x v="800"/>
            <x v="801"/>
            <x v="803"/>
            <x v="804"/>
            <x v="806"/>
            <x v="807"/>
            <x v="808"/>
            <x v="809"/>
            <x v="812"/>
            <x v="814"/>
            <x v="815"/>
            <x v="816"/>
            <x v="817"/>
            <x v="821"/>
            <x v="826"/>
            <x v="827"/>
            <x v="829"/>
            <x v="836"/>
            <x v="839"/>
            <x v="840"/>
            <x v="842"/>
            <x v="844"/>
            <x v="850"/>
            <x v="851"/>
            <x v="854"/>
            <x v="855"/>
            <x v="856"/>
            <x v="861"/>
            <x v="870"/>
            <x v="871"/>
            <x v="873"/>
            <x v="876"/>
            <x v="877"/>
            <x v="878"/>
            <x v="879"/>
            <x v="880"/>
            <x v="881"/>
            <x v="886"/>
            <x v="890"/>
            <x v="891"/>
            <x v="892"/>
            <x v="895"/>
            <x v="896"/>
            <x v="897"/>
          </reference>
        </references>
      </pivotArea>
    </format>
    <format dxfId="229">
      <pivotArea dataOnly="0" labelOnly="1" fieldPosition="0">
        <references count="1">
          <reference field="6" count="50">
            <x v="899"/>
            <x v="902"/>
            <x v="909"/>
            <x v="912"/>
            <x v="915"/>
            <x v="916"/>
            <x v="918"/>
            <x v="919"/>
            <x v="922"/>
            <x v="924"/>
            <x v="925"/>
            <x v="929"/>
            <x v="931"/>
            <x v="935"/>
            <x v="940"/>
            <x v="944"/>
            <x v="945"/>
            <x v="947"/>
            <x v="948"/>
            <x v="949"/>
            <x v="953"/>
            <x v="955"/>
            <x v="956"/>
            <x v="959"/>
            <x v="961"/>
            <x v="962"/>
            <x v="969"/>
            <x v="970"/>
            <x v="971"/>
            <x v="973"/>
            <x v="974"/>
            <x v="975"/>
            <x v="976"/>
            <x v="977"/>
            <x v="978"/>
            <x v="983"/>
            <x v="984"/>
            <x v="987"/>
            <x v="988"/>
            <x v="989"/>
            <x v="991"/>
            <x v="993"/>
            <x v="1000"/>
            <x v="1001"/>
            <x v="1005"/>
            <x v="1006"/>
            <x v="1008"/>
            <x v="1012"/>
            <x v="1015"/>
            <x v="1016"/>
          </reference>
        </references>
      </pivotArea>
    </format>
    <format dxfId="228">
      <pivotArea dataOnly="0" labelOnly="1" fieldPosition="0">
        <references count="1">
          <reference field="6" count="50">
            <x v="1019"/>
            <x v="1020"/>
            <x v="1023"/>
            <x v="1024"/>
            <x v="1026"/>
            <x v="1029"/>
            <x v="1033"/>
            <x v="1035"/>
            <x v="1036"/>
            <x v="1037"/>
            <x v="1040"/>
            <x v="1042"/>
            <x v="1047"/>
            <x v="1051"/>
            <x v="1052"/>
            <x v="1053"/>
            <x v="1058"/>
            <x v="1069"/>
            <x v="1073"/>
            <x v="1081"/>
            <x v="1083"/>
            <x v="1089"/>
            <x v="1093"/>
            <x v="1095"/>
            <x v="1098"/>
            <x v="1100"/>
            <x v="1102"/>
            <x v="1103"/>
            <x v="1104"/>
            <x v="1105"/>
            <x v="1106"/>
            <x v="1108"/>
            <x v="1110"/>
            <x v="1117"/>
            <x v="1122"/>
            <x v="1127"/>
            <x v="1128"/>
            <x v="1129"/>
            <x v="1131"/>
            <x v="1132"/>
            <x v="1138"/>
            <x v="1139"/>
            <x v="1140"/>
            <x v="1142"/>
            <x v="1143"/>
            <x v="1145"/>
            <x v="1147"/>
            <x v="1158"/>
            <x v="1161"/>
            <x v="1166"/>
          </reference>
        </references>
      </pivotArea>
    </format>
    <format dxfId="227">
      <pivotArea dataOnly="0" labelOnly="1" fieldPosition="0">
        <references count="1">
          <reference field="6" count="50">
            <x v="1169"/>
            <x v="1170"/>
            <x v="1177"/>
            <x v="1179"/>
            <x v="1180"/>
            <x v="1183"/>
            <x v="1184"/>
            <x v="1185"/>
            <x v="1187"/>
            <x v="1193"/>
            <x v="1196"/>
            <x v="1210"/>
            <x v="1212"/>
            <x v="1215"/>
            <x v="1216"/>
            <x v="1223"/>
            <x v="1227"/>
            <x v="1231"/>
            <x v="1236"/>
            <x v="1238"/>
            <x v="1241"/>
            <x v="1242"/>
            <x v="1243"/>
            <x v="1244"/>
            <x v="1247"/>
            <x v="1250"/>
            <x v="1252"/>
            <x v="1256"/>
            <x v="1257"/>
            <x v="1258"/>
            <x v="1263"/>
            <x v="1265"/>
            <x v="1267"/>
            <x v="1268"/>
            <x v="1269"/>
            <x v="1270"/>
            <x v="1271"/>
            <x v="1273"/>
            <x v="1276"/>
            <x v="1277"/>
            <x v="1278"/>
            <x v="1279"/>
            <x v="1280"/>
            <x v="1285"/>
            <x v="1286"/>
            <x v="1291"/>
            <x v="1292"/>
            <x v="1303"/>
            <x v="1305"/>
            <x v="1307"/>
          </reference>
        </references>
      </pivotArea>
    </format>
    <format dxfId="226">
      <pivotArea dataOnly="0" labelOnly="1" fieldPosition="0">
        <references count="1">
          <reference field="6" count="50">
            <x v="1309"/>
            <x v="1311"/>
            <x v="1315"/>
            <x v="1316"/>
            <x v="1319"/>
            <x v="1321"/>
            <x v="1322"/>
            <x v="1323"/>
            <x v="1324"/>
            <x v="1325"/>
            <x v="1327"/>
            <x v="1332"/>
            <x v="1334"/>
            <x v="1341"/>
            <x v="1342"/>
            <x v="1345"/>
            <x v="1347"/>
            <x v="1348"/>
            <x v="1353"/>
            <x v="1354"/>
            <x v="1355"/>
            <x v="1358"/>
            <x v="1359"/>
            <x v="1364"/>
            <x v="1367"/>
            <x v="1372"/>
            <x v="1378"/>
            <x v="1394"/>
            <x v="1396"/>
            <x v="1399"/>
            <x v="1400"/>
            <x v="1410"/>
            <x v="1420"/>
            <x v="1421"/>
            <x v="1427"/>
            <x v="1431"/>
            <x v="1432"/>
            <x v="1434"/>
            <x v="1436"/>
            <x v="1437"/>
            <x v="1439"/>
            <x v="1442"/>
            <x v="1443"/>
            <x v="1446"/>
            <x v="1447"/>
            <x v="1448"/>
            <x v="1451"/>
            <x v="1452"/>
            <x v="1456"/>
            <x v="1458"/>
          </reference>
        </references>
      </pivotArea>
    </format>
    <format dxfId="225">
      <pivotArea dataOnly="0" labelOnly="1" fieldPosition="0">
        <references count="1">
          <reference field="6" count="50">
            <x v="1466"/>
            <x v="1468"/>
            <x v="1469"/>
            <x v="1472"/>
            <x v="1473"/>
            <x v="1478"/>
            <x v="1479"/>
            <x v="1480"/>
            <x v="1488"/>
            <x v="1489"/>
            <x v="1492"/>
            <x v="1494"/>
            <x v="1495"/>
            <x v="1496"/>
            <x v="1498"/>
            <x v="1506"/>
            <x v="1508"/>
            <x v="1509"/>
            <x v="1512"/>
            <x v="1513"/>
            <x v="1516"/>
            <x v="1517"/>
            <x v="1519"/>
            <x v="1526"/>
            <x v="1529"/>
            <x v="1536"/>
            <x v="1537"/>
            <x v="1538"/>
            <x v="1543"/>
            <x v="1548"/>
            <x v="1552"/>
            <x v="1554"/>
            <x v="1558"/>
            <x v="1562"/>
            <x v="1563"/>
            <x v="1564"/>
            <x v="1571"/>
            <x v="1573"/>
            <x v="1577"/>
            <x v="1579"/>
            <x v="1580"/>
            <x v="1583"/>
            <x v="1595"/>
            <x v="1599"/>
            <x v="1600"/>
            <x v="1603"/>
            <x v="1604"/>
            <x v="1605"/>
            <x v="1607"/>
            <x v="1608"/>
          </reference>
        </references>
      </pivotArea>
    </format>
    <format dxfId="224">
      <pivotArea dataOnly="0" labelOnly="1" fieldPosition="0">
        <references count="1">
          <reference field="6" count="50">
            <x v="1609"/>
            <x v="1613"/>
            <x v="1615"/>
            <x v="1616"/>
            <x v="1618"/>
            <x v="1626"/>
            <x v="1627"/>
            <x v="1629"/>
            <x v="1631"/>
            <x v="1632"/>
            <x v="1634"/>
            <x v="1636"/>
            <x v="1637"/>
            <x v="1643"/>
            <x v="1646"/>
            <x v="1647"/>
            <x v="1657"/>
            <x v="1659"/>
            <x v="1661"/>
            <x v="1662"/>
            <x v="1665"/>
            <x v="1666"/>
            <x v="1667"/>
            <x v="1668"/>
            <x v="1669"/>
            <x v="1670"/>
            <x v="1675"/>
            <x v="1677"/>
            <x v="1680"/>
            <x v="1682"/>
            <x v="1683"/>
            <x v="1685"/>
            <x v="1688"/>
            <x v="1690"/>
            <x v="1701"/>
            <x v="1704"/>
            <x v="1710"/>
            <x v="1713"/>
            <x v="1714"/>
            <x v="1717"/>
            <x v="1721"/>
            <x v="1725"/>
            <x v="1726"/>
            <x v="1733"/>
            <x v="1736"/>
            <x v="1738"/>
            <x v="1739"/>
            <x v="1751"/>
            <x v="1763"/>
            <x v="1765"/>
          </reference>
        </references>
      </pivotArea>
    </format>
    <format dxfId="223">
      <pivotArea dataOnly="0" labelOnly="1" fieldPosition="0">
        <references count="1">
          <reference field="6" count="50">
            <x v="1767"/>
            <x v="1768"/>
            <x v="1769"/>
            <x v="1770"/>
            <x v="1778"/>
            <x v="1780"/>
            <x v="1781"/>
            <x v="1784"/>
            <x v="1786"/>
            <x v="1787"/>
            <x v="1788"/>
            <x v="1790"/>
            <x v="1794"/>
            <x v="1795"/>
            <x v="1796"/>
            <x v="1797"/>
            <x v="1799"/>
            <x v="1804"/>
            <x v="1805"/>
            <x v="1806"/>
            <x v="1810"/>
            <x v="1813"/>
            <x v="1815"/>
            <x v="1816"/>
            <x v="1819"/>
            <x v="1821"/>
            <x v="1825"/>
            <x v="1826"/>
            <x v="1829"/>
            <x v="1833"/>
            <x v="1836"/>
            <x v="1838"/>
            <x v="1845"/>
            <x v="1847"/>
            <x v="1850"/>
            <x v="1851"/>
            <x v="1854"/>
            <x v="1855"/>
            <x v="1863"/>
            <x v="1864"/>
            <x v="1871"/>
            <x v="1890"/>
            <x v="1895"/>
            <x v="1897"/>
            <x v="1898"/>
            <x v="1899"/>
            <x v="1900"/>
            <x v="1901"/>
            <x v="1903"/>
            <x v="1904"/>
          </reference>
        </references>
      </pivotArea>
    </format>
    <format dxfId="222">
      <pivotArea dataOnly="0" labelOnly="1" fieldPosition="0">
        <references count="1">
          <reference field="6" count="17">
            <x v="1906"/>
            <x v="1907"/>
            <x v="1910"/>
            <x v="1914"/>
            <x v="1915"/>
            <x v="1916"/>
            <x v="1920"/>
            <x v="1923"/>
            <x v="1925"/>
            <x v="1926"/>
            <x v="1933"/>
            <x v="1934"/>
            <x v="1936"/>
            <x v="1942"/>
            <x v="1945"/>
            <x v="1947"/>
            <x v="1948"/>
          </reference>
        </references>
      </pivotArea>
    </format>
    <format dxfId="221">
      <pivotArea outline="0" collapsedLevelsAreSubtotals="1" fieldPosition="0"/>
    </format>
    <format dxfId="220">
      <pivotArea field="6" type="button" dataOnly="0" labelOnly="1" outline="0" axis="axisRow" fieldPosition="0"/>
    </format>
    <format dxfId="219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2"/>
            <x v="13"/>
            <x v="15"/>
            <x v="18"/>
            <x v="19"/>
            <x v="21"/>
            <x v="25"/>
            <x v="26"/>
            <x v="27"/>
            <x v="31"/>
            <x v="33"/>
            <x v="35"/>
            <x v="36"/>
            <x v="37"/>
            <x v="38"/>
            <x v="39"/>
            <x v="40"/>
            <x v="42"/>
            <x v="45"/>
            <x v="46"/>
            <x v="47"/>
            <x v="48"/>
            <x v="49"/>
            <x v="52"/>
            <x v="54"/>
            <x v="56"/>
            <x v="59"/>
            <x v="63"/>
            <x v="67"/>
            <x v="68"/>
            <x v="69"/>
            <x v="71"/>
            <x v="76"/>
            <x v="77"/>
            <x v="78"/>
            <x v="79"/>
            <x v="82"/>
            <x v="85"/>
            <x v="87"/>
            <x v="88"/>
            <x v="91"/>
            <x v="93"/>
            <x v="95"/>
            <x v="97"/>
          </reference>
        </references>
      </pivotArea>
    </format>
    <format dxfId="218">
      <pivotArea dataOnly="0" labelOnly="1" fieldPosition="0">
        <references count="1">
          <reference field="6" count="50">
            <x v="99"/>
            <x v="100"/>
            <x v="101"/>
            <x v="102"/>
            <x v="103"/>
            <x v="106"/>
            <x v="107"/>
            <x v="110"/>
            <x v="111"/>
            <x v="114"/>
            <x v="115"/>
            <x v="118"/>
            <x v="120"/>
            <x v="121"/>
            <x v="123"/>
            <x v="124"/>
            <x v="126"/>
            <x v="129"/>
            <x v="132"/>
            <x v="133"/>
            <x v="134"/>
            <x v="138"/>
            <x v="139"/>
            <x v="140"/>
            <x v="142"/>
            <x v="144"/>
            <x v="152"/>
            <x v="153"/>
            <x v="154"/>
            <x v="157"/>
            <x v="158"/>
            <x v="163"/>
            <x v="164"/>
            <x v="165"/>
            <x v="168"/>
            <x v="169"/>
            <x v="173"/>
            <x v="174"/>
            <x v="175"/>
            <x v="176"/>
            <x v="179"/>
            <x v="182"/>
            <x v="185"/>
            <x v="186"/>
            <x v="189"/>
            <x v="190"/>
            <x v="192"/>
            <x v="194"/>
            <x v="196"/>
            <x v="200"/>
          </reference>
        </references>
      </pivotArea>
    </format>
    <format dxfId="217">
      <pivotArea dataOnly="0" labelOnly="1" fieldPosition="0">
        <references count="1">
          <reference field="6" count="50">
            <x v="201"/>
            <x v="202"/>
            <x v="208"/>
            <x v="210"/>
            <x v="213"/>
            <x v="218"/>
            <x v="220"/>
            <x v="221"/>
            <x v="223"/>
            <x v="224"/>
            <x v="226"/>
            <x v="227"/>
            <x v="228"/>
            <x v="229"/>
            <x v="230"/>
            <x v="232"/>
            <x v="234"/>
            <x v="235"/>
            <x v="238"/>
            <x v="239"/>
            <x v="241"/>
            <x v="242"/>
            <x v="243"/>
            <x v="245"/>
            <x v="246"/>
            <x v="247"/>
            <x v="248"/>
            <x v="252"/>
            <x v="253"/>
            <x v="254"/>
            <x v="255"/>
            <x v="256"/>
            <x v="258"/>
            <x v="259"/>
            <x v="260"/>
            <x v="262"/>
            <x v="265"/>
            <x v="266"/>
            <x v="271"/>
            <x v="273"/>
            <x v="275"/>
            <x v="276"/>
            <x v="279"/>
            <x v="280"/>
            <x v="283"/>
            <x v="284"/>
            <x v="287"/>
            <x v="288"/>
            <x v="289"/>
            <x v="291"/>
          </reference>
        </references>
      </pivotArea>
    </format>
    <format dxfId="216">
      <pivotArea dataOnly="0" labelOnly="1" fieldPosition="0">
        <references count="1">
          <reference field="6" count="50">
            <x v="292"/>
            <x v="293"/>
            <x v="294"/>
            <x v="295"/>
            <x v="296"/>
            <x v="297"/>
            <x v="298"/>
            <x v="300"/>
            <x v="301"/>
            <x v="304"/>
            <x v="306"/>
            <x v="308"/>
            <x v="309"/>
            <x v="310"/>
            <x v="312"/>
            <x v="313"/>
            <x v="315"/>
            <x v="317"/>
            <x v="318"/>
            <x v="319"/>
            <x v="321"/>
            <x v="323"/>
            <x v="325"/>
            <x v="326"/>
            <x v="330"/>
            <x v="331"/>
            <x v="333"/>
            <x v="334"/>
            <x v="335"/>
            <x v="336"/>
            <x v="337"/>
            <x v="339"/>
            <x v="340"/>
            <x v="342"/>
            <x v="345"/>
            <x v="346"/>
            <x v="347"/>
            <x v="348"/>
            <x v="350"/>
            <x v="353"/>
            <x v="354"/>
            <x v="355"/>
            <x v="358"/>
            <x v="360"/>
            <x v="361"/>
            <x v="368"/>
            <x v="369"/>
            <x v="374"/>
            <x v="375"/>
            <x v="376"/>
          </reference>
        </references>
      </pivotArea>
    </format>
    <format dxfId="215">
      <pivotArea dataOnly="0" labelOnly="1" fieldPosition="0">
        <references count="1">
          <reference field="6" count="50">
            <x v="377"/>
            <x v="379"/>
            <x v="380"/>
            <x v="381"/>
            <x v="387"/>
            <x v="388"/>
            <x v="389"/>
            <x v="391"/>
            <x v="394"/>
            <x v="397"/>
            <x v="400"/>
            <x v="401"/>
            <x v="402"/>
            <x v="403"/>
            <x v="404"/>
            <x v="406"/>
            <x v="407"/>
            <x v="411"/>
            <x v="412"/>
            <x v="413"/>
            <x v="415"/>
            <x v="416"/>
            <x v="419"/>
            <x v="420"/>
            <x v="422"/>
            <x v="423"/>
            <x v="424"/>
            <x v="425"/>
            <x v="426"/>
            <x v="427"/>
            <x v="429"/>
            <x v="430"/>
            <x v="433"/>
            <x v="434"/>
            <x v="435"/>
            <x v="436"/>
            <x v="438"/>
            <x v="439"/>
            <x v="444"/>
            <x v="445"/>
            <x v="446"/>
            <x v="451"/>
            <x v="453"/>
            <x v="454"/>
            <x v="456"/>
            <x v="457"/>
            <x v="458"/>
            <x v="459"/>
            <x v="460"/>
            <x v="461"/>
          </reference>
        </references>
      </pivotArea>
    </format>
    <format dxfId="214">
      <pivotArea dataOnly="0" labelOnly="1" fieldPosition="0">
        <references count="1">
          <reference field="6" count="50">
            <x v="462"/>
            <x v="463"/>
            <x v="464"/>
            <x v="465"/>
            <x v="466"/>
            <x v="467"/>
            <x v="469"/>
            <x v="473"/>
            <x v="477"/>
            <x v="479"/>
            <x v="482"/>
            <x v="483"/>
            <x v="484"/>
            <x v="485"/>
            <x v="486"/>
            <x v="488"/>
            <x v="489"/>
            <x v="491"/>
            <x v="492"/>
            <x v="493"/>
            <x v="494"/>
            <x v="495"/>
            <x v="496"/>
            <x v="497"/>
            <x v="498"/>
            <x v="499"/>
            <x v="501"/>
            <x v="504"/>
            <x v="505"/>
            <x v="506"/>
            <x v="507"/>
            <x v="508"/>
            <x v="509"/>
            <x v="510"/>
            <x v="512"/>
            <x v="515"/>
            <x v="516"/>
            <x v="517"/>
            <x v="519"/>
            <x v="520"/>
            <x v="522"/>
            <x v="525"/>
            <x v="526"/>
            <x v="527"/>
            <x v="529"/>
            <x v="532"/>
            <x v="533"/>
            <x v="534"/>
            <x v="535"/>
            <x v="536"/>
          </reference>
        </references>
      </pivotArea>
    </format>
    <format dxfId="213">
      <pivotArea dataOnly="0" labelOnly="1" fieldPosition="0">
        <references count="1">
          <reference field="6" count="50">
            <x v="537"/>
            <x v="539"/>
            <x v="540"/>
            <x v="541"/>
            <x v="542"/>
            <x v="544"/>
            <x v="545"/>
            <x v="546"/>
            <x v="547"/>
            <x v="549"/>
            <x v="551"/>
            <x v="556"/>
            <x v="558"/>
            <x v="559"/>
            <x v="560"/>
            <x v="561"/>
            <x v="563"/>
            <x v="564"/>
            <x v="566"/>
            <x v="567"/>
            <x v="568"/>
            <x v="570"/>
            <x v="571"/>
            <x v="572"/>
            <x v="573"/>
            <x v="574"/>
            <x v="575"/>
            <x v="577"/>
            <x v="581"/>
            <x v="582"/>
            <x v="583"/>
            <x v="585"/>
            <x v="587"/>
            <x v="589"/>
            <x v="590"/>
            <x v="591"/>
            <x v="593"/>
            <x v="594"/>
            <x v="595"/>
            <x v="596"/>
            <x v="598"/>
            <x v="601"/>
            <x v="602"/>
            <x v="603"/>
            <x v="605"/>
            <x v="606"/>
            <x v="607"/>
            <x v="609"/>
            <x v="610"/>
            <x v="611"/>
          </reference>
        </references>
      </pivotArea>
    </format>
    <format dxfId="212">
      <pivotArea dataOnly="0" labelOnly="1" fieldPosition="0">
        <references count="1">
          <reference field="6" count="50">
            <x v="612"/>
            <x v="614"/>
            <x v="615"/>
            <x v="617"/>
            <x v="618"/>
            <x v="619"/>
            <x v="620"/>
            <x v="622"/>
            <x v="624"/>
            <x v="626"/>
            <x v="627"/>
            <x v="628"/>
            <x v="629"/>
            <x v="630"/>
            <x v="637"/>
            <x v="638"/>
            <x v="640"/>
            <x v="644"/>
            <x v="645"/>
            <x v="647"/>
            <x v="648"/>
            <x v="649"/>
            <x v="651"/>
            <x v="652"/>
            <x v="654"/>
            <x v="655"/>
            <x v="657"/>
            <x v="658"/>
            <x v="662"/>
            <x v="663"/>
            <x v="664"/>
            <x v="665"/>
            <x v="666"/>
            <x v="668"/>
            <x v="669"/>
            <x v="671"/>
            <x v="672"/>
            <x v="675"/>
            <x v="676"/>
            <x v="677"/>
            <x v="682"/>
            <x v="683"/>
            <x v="685"/>
            <x v="687"/>
            <x v="689"/>
            <x v="690"/>
            <x v="691"/>
            <x v="696"/>
            <x v="698"/>
            <x v="700"/>
          </reference>
        </references>
      </pivotArea>
    </format>
    <format dxfId="211">
      <pivotArea dataOnly="0" labelOnly="1" fieldPosition="0">
        <references count="1">
          <reference field="6" count="50">
            <x v="702"/>
            <x v="705"/>
            <x v="706"/>
            <x v="708"/>
            <x v="709"/>
            <x v="712"/>
            <x v="714"/>
            <x v="715"/>
            <x v="716"/>
            <x v="718"/>
            <x v="720"/>
            <x v="721"/>
            <x v="722"/>
            <x v="723"/>
            <x v="724"/>
            <x v="728"/>
            <x v="730"/>
            <x v="731"/>
            <x v="732"/>
            <x v="733"/>
            <x v="736"/>
            <x v="737"/>
            <x v="738"/>
            <x v="741"/>
            <x v="743"/>
            <x v="744"/>
            <x v="749"/>
            <x v="750"/>
            <x v="751"/>
            <x v="753"/>
            <x v="757"/>
            <x v="758"/>
            <x v="759"/>
            <x v="760"/>
            <x v="762"/>
            <x v="763"/>
            <x v="765"/>
            <x v="767"/>
            <x v="769"/>
            <x v="770"/>
            <x v="771"/>
            <x v="773"/>
            <x v="774"/>
            <x v="777"/>
            <x v="779"/>
            <x v="783"/>
            <x v="784"/>
            <x v="785"/>
            <x v="787"/>
            <x v="789"/>
          </reference>
        </references>
      </pivotArea>
    </format>
    <format dxfId="210">
      <pivotArea dataOnly="0" labelOnly="1" fieldPosition="0">
        <references count="1">
          <reference field="6" count="50">
            <x v="792"/>
            <x v="793"/>
            <x v="794"/>
            <x v="795"/>
            <x v="796"/>
            <x v="797"/>
            <x v="798"/>
            <x v="799"/>
            <x v="800"/>
            <x v="801"/>
            <x v="803"/>
            <x v="804"/>
            <x v="805"/>
            <x v="806"/>
            <x v="807"/>
            <x v="808"/>
            <x v="809"/>
            <x v="812"/>
            <x v="814"/>
            <x v="815"/>
            <x v="816"/>
            <x v="817"/>
            <x v="821"/>
            <x v="825"/>
            <x v="826"/>
            <x v="827"/>
            <x v="829"/>
            <x v="830"/>
            <x v="836"/>
            <x v="837"/>
            <x v="839"/>
            <x v="840"/>
            <x v="842"/>
            <x v="844"/>
            <x v="846"/>
            <x v="847"/>
            <x v="850"/>
            <x v="851"/>
            <x v="852"/>
            <x v="854"/>
            <x v="855"/>
            <x v="856"/>
            <x v="859"/>
            <x v="860"/>
            <x v="861"/>
            <x v="864"/>
            <x v="865"/>
            <x v="869"/>
            <x v="870"/>
            <x v="871"/>
          </reference>
        </references>
      </pivotArea>
    </format>
    <format dxfId="209">
      <pivotArea dataOnly="0" labelOnly="1" fieldPosition="0">
        <references count="1">
          <reference field="6" count="50">
            <x v="873"/>
            <x v="874"/>
            <x v="876"/>
            <x v="877"/>
            <x v="878"/>
            <x v="879"/>
            <x v="880"/>
            <x v="881"/>
            <x v="886"/>
            <x v="889"/>
            <x v="890"/>
            <x v="891"/>
            <x v="892"/>
            <x v="894"/>
            <x v="895"/>
            <x v="896"/>
            <x v="897"/>
            <x v="898"/>
            <x v="899"/>
            <x v="900"/>
            <x v="901"/>
            <x v="902"/>
            <x v="909"/>
            <x v="911"/>
            <x v="912"/>
            <x v="914"/>
            <x v="915"/>
            <x v="916"/>
            <x v="917"/>
            <x v="918"/>
            <x v="919"/>
            <x v="921"/>
            <x v="922"/>
            <x v="923"/>
            <x v="924"/>
            <x v="925"/>
            <x v="926"/>
            <x v="928"/>
            <x v="929"/>
            <x v="931"/>
            <x v="933"/>
            <x v="935"/>
            <x v="940"/>
            <x v="944"/>
            <x v="945"/>
            <x v="947"/>
            <x v="948"/>
            <x v="949"/>
            <x v="951"/>
            <x v="952"/>
          </reference>
        </references>
      </pivotArea>
    </format>
    <format dxfId="208">
      <pivotArea dataOnly="0" labelOnly="1" fieldPosition="0">
        <references count="1">
          <reference field="6" count="50">
            <x v="953"/>
            <x v="955"/>
            <x v="956"/>
            <x v="959"/>
            <x v="961"/>
            <x v="962"/>
            <x v="966"/>
            <x v="967"/>
            <x v="968"/>
            <x v="969"/>
            <x v="970"/>
            <x v="971"/>
            <x v="973"/>
            <x v="974"/>
            <x v="975"/>
            <x v="976"/>
            <x v="977"/>
            <x v="978"/>
            <x v="983"/>
            <x v="984"/>
            <x v="985"/>
            <x v="987"/>
            <x v="988"/>
            <x v="989"/>
            <x v="991"/>
            <x v="993"/>
            <x v="995"/>
            <x v="1000"/>
            <x v="1001"/>
            <x v="1005"/>
            <x v="1006"/>
            <x v="1008"/>
            <x v="1012"/>
            <x v="1014"/>
            <x v="1015"/>
            <x v="1016"/>
            <x v="1017"/>
            <x v="1019"/>
            <x v="1020"/>
            <x v="1023"/>
            <x v="1024"/>
            <x v="1026"/>
            <x v="1029"/>
            <x v="1033"/>
            <x v="1035"/>
            <x v="1036"/>
            <x v="1037"/>
            <x v="1038"/>
            <x v="1040"/>
            <x v="1042"/>
          </reference>
        </references>
      </pivotArea>
    </format>
    <format dxfId="207">
      <pivotArea dataOnly="0" labelOnly="1" fieldPosition="0">
        <references count="1">
          <reference field="6" count="50">
            <x v="1045"/>
            <x v="1046"/>
            <x v="1047"/>
            <x v="1049"/>
            <x v="1051"/>
            <x v="1052"/>
            <x v="1053"/>
            <x v="1058"/>
            <x v="1068"/>
            <x v="1069"/>
            <x v="1070"/>
            <x v="1071"/>
            <x v="1073"/>
            <x v="1080"/>
            <x v="1081"/>
            <x v="1082"/>
            <x v="1083"/>
            <x v="1089"/>
            <x v="1091"/>
            <x v="1093"/>
            <x v="1095"/>
            <x v="1097"/>
            <x v="1098"/>
            <x v="1100"/>
            <x v="1102"/>
            <x v="1103"/>
            <x v="1104"/>
            <x v="1105"/>
            <x v="1106"/>
            <x v="1108"/>
            <x v="1109"/>
            <x v="1110"/>
            <x v="1111"/>
            <x v="1113"/>
            <x v="1116"/>
            <x v="1117"/>
            <x v="1122"/>
            <x v="1125"/>
            <x v="1127"/>
            <x v="1128"/>
            <x v="1129"/>
            <x v="1131"/>
            <x v="1132"/>
            <x v="1136"/>
            <x v="1138"/>
            <x v="1139"/>
            <x v="1140"/>
            <x v="1142"/>
            <x v="1143"/>
            <x v="1145"/>
          </reference>
        </references>
      </pivotArea>
    </format>
    <format dxfId="206">
      <pivotArea dataOnly="0" labelOnly="1" fieldPosition="0">
        <references count="1">
          <reference field="6" count="50">
            <x v="1147"/>
            <x v="1148"/>
            <x v="1150"/>
            <x v="1153"/>
            <x v="1158"/>
            <x v="1159"/>
            <x v="1161"/>
            <x v="1162"/>
            <x v="1166"/>
            <x v="1169"/>
            <x v="1170"/>
            <x v="1174"/>
            <x v="1176"/>
            <x v="1177"/>
            <x v="1179"/>
            <x v="1180"/>
            <x v="1183"/>
            <x v="1184"/>
            <x v="1185"/>
            <x v="1187"/>
            <x v="1191"/>
            <x v="1193"/>
            <x v="1196"/>
            <x v="1202"/>
            <x v="1204"/>
            <x v="1206"/>
            <x v="1207"/>
            <x v="1210"/>
            <x v="1211"/>
            <x v="1212"/>
            <x v="1214"/>
            <x v="1215"/>
            <x v="1216"/>
            <x v="1218"/>
            <x v="1223"/>
            <x v="1226"/>
            <x v="1227"/>
            <x v="1231"/>
            <x v="1234"/>
            <x v="1236"/>
            <x v="1237"/>
            <x v="1238"/>
            <x v="1240"/>
            <x v="1241"/>
            <x v="1242"/>
            <x v="1243"/>
            <x v="1244"/>
            <x v="1246"/>
            <x v="1247"/>
            <x v="1250"/>
          </reference>
        </references>
      </pivotArea>
    </format>
    <format dxfId="205">
      <pivotArea dataOnly="0" labelOnly="1" fieldPosition="0">
        <references count="1">
          <reference field="6" count="50">
            <x v="1252"/>
            <x v="1253"/>
            <x v="1256"/>
            <x v="1257"/>
            <x v="1258"/>
            <x v="1260"/>
            <x v="1263"/>
            <x v="1265"/>
            <x v="1267"/>
            <x v="1268"/>
            <x v="1269"/>
            <x v="1270"/>
            <x v="1271"/>
            <x v="1273"/>
            <x v="1276"/>
            <x v="1277"/>
            <x v="1278"/>
            <x v="1279"/>
            <x v="1280"/>
            <x v="1285"/>
            <x v="1286"/>
            <x v="1288"/>
            <x v="1291"/>
            <x v="1292"/>
            <x v="1294"/>
            <x v="1298"/>
            <x v="1303"/>
            <x v="1304"/>
            <x v="1305"/>
            <x v="1306"/>
            <x v="1307"/>
            <x v="1309"/>
            <x v="1311"/>
            <x v="1314"/>
            <x v="1315"/>
            <x v="1316"/>
            <x v="1319"/>
            <x v="1321"/>
            <x v="1322"/>
            <x v="1323"/>
            <x v="1324"/>
            <x v="1325"/>
            <x v="1327"/>
            <x v="1328"/>
            <x v="1331"/>
            <x v="1332"/>
            <x v="1333"/>
            <x v="1334"/>
            <x v="1338"/>
            <x v="1341"/>
          </reference>
        </references>
      </pivotArea>
    </format>
    <format dxfId="204">
      <pivotArea dataOnly="0" labelOnly="1" fieldPosition="0">
        <references count="1">
          <reference field="6" count="50">
            <x v="1342"/>
            <x v="1345"/>
            <x v="1347"/>
            <x v="1348"/>
            <x v="1349"/>
            <x v="1351"/>
            <x v="1352"/>
            <x v="1353"/>
            <x v="1354"/>
            <x v="1355"/>
            <x v="1356"/>
            <x v="1358"/>
            <x v="1359"/>
            <x v="1361"/>
            <x v="1363"/>
            <x v="1364"/>
            <x v="1365"/>
            <x v="1366"/>
            <x v="1367"/>
            <x v="1370"/>
            <x v="1372"/>
            <x v="1373"/>
            <x v="1378"/>
            <x v="1379"/>
            <x v="1392"/>
            <x v="1393"/>
            <x v="1394"/>
            <x v="1395"/>
            <x v="1396"/>
            <x v="1399"/>
            <x v="1400"/>
            <x v="1404"/>
            <x v="1405"/>
            <x v="1410"/>
            <x v="1411"/>
            <x v="1412"/>
            <x v="1414"/>
            <x v="1416"/>
            <x v="1418"/>
            <x v="1420"/>
            <x v="1421"/>
            <x v="1426"/>
            <x v="1427"/>
            <x v="1431"/>
            <x v="1432"/>
            <x v="1433"/>
            <x v="1434"/>
            <x v="1436"/>
            <x v="1437"/>
            <x v="1439"/>
          </reference>
        </references>
      </pivotArea>
    </format>
    <format dxfId="203">
      <pivotArea dataOnly="0" labelOnly="1" fieldPosition="0">
        <references count="1">
          <reference field="6" count="50">
            <x v="1442"/>
            <x v="1443"/>
            <x v="1445"/>
            <x v="1446"/>
            <x v="1447"/>
            <x v="1448"/>
            <x v="1449"/>
            <x v="1451"/>
            <x v="1452"/>
            <x v="1456"/>
            <x v="1458"/>
            <x v="1459"/>
            <x v="1462"/>
            <x v="1466"/>
            <x v="1468"/>
            <x v="1469"/>
            <x v="1472"/>
            <x v="1473"/>
            <x v="1475"/>
            <x v="1478"/>
            <x v="1479"/>
            <x v="1480"/>
            <x v="1482"/>
            <x v="1484"/>
            <x v="1485"/>
            <x v="1486"/>
            <x v="1487"/>
            <x v="1488"/>
            <x v="1489"/>
            <x v="1492"/>
            <x v="1493"/>
            <x v="1494"/>
            <x v="1495"/>
            <x v="1496"/>
            <x v="1498"/>
            <x v="1506"/>
            <x v="1508"/>
            <x v="1509"/>
            <x v="1510"/>
            <x v="1511"/>
            <x v="1512"/>
            <x v="1513"/>
            <x v="1516"/>
            <x v="1517"/>
            <x v="1519"/>
            <x v="1521"/>
            <x v="1522"/>
            <x v="1523"/>
            <x v="1524"/>
            <x v="1526"/>
          </reference>
        </references>
      </pivotArea>
    </format>
    <format dxfId="202">
      <pivotArea dataOnly="0" labelOnly="1" fieldPosition="0">
        <references count="1">
          <reference field="6" count="50">
            <x v="1529"/>
            <x v="1530"/>
            <x v="1532"/>
            <x v="1536"/>
            <x v="1537"/>
            <x v="1538"/>
            <x v="1540"/>
            <x v="1541"/>
            <x v="1543"/>
            <x v="1548"/>
            <x v="1550"/>
            <x v="1552"/>
            <x v="1554"/>
            <x v="1555"/>
            <x v="1558"/>
            <x v="1562"/>
            <x v="1563"/>
            <x v="1564"/>
            <x v="1565"/>
            <x v="1569"/>
            <x v="1571"/>
            <x v="1572"/>
            <x v="1573"/>
            <x v="1576"/>
            <x v="1577"/>
            <x v="1579"/>
            <x v="1580"/>
            <x v="1583"/>
            <x v="1584"/>
            <x v="1585"/>
            <x v="1588"/>
            <x v="1589"/>
            <x v="1593"/>
            <x v="1595"/>
            <x v="1599"/>
            <x v="1600"/>
            <x v="1602"/>
            <x v="1603"/>
            <x v="1604"/>
            <x v="1605"/>
            <x v="1606"/>
            <x v="1607"/>
            <x v="1608"/>
            <x v="1609"/>
            <x v="1613"/>
            <x v="1615"/>
            <x v="1616"/>
            <x v="1618"/>
            <x v="1626"/>
            <x v="1627"/>
          </reference>
        </references>
      </pivotArea>
    </format>
    <format dxfId="201">
      <pivotArea dataOnly="0" labelOnly="1" fieldPosition="0">
        <references count="1">
          <reference field="6" count="50">
            <x v="1629"/>
            <x v="1631"/>
            <x v="1632"/>
            <x v="1633"/>
            <x v="1634"/>
            <x v="1636"/>
            <x v="1637"/>
            <x v="1638"/>
            <x v="1643"/>
            <x v="1645"/>
            <x v="1646"/>
            <x v="1647"/>
            <x v="1649"/>
            <x v="1657"/>
            <x v="1659"/>
            <x v="1661"/>
            <x v="1662"/>
            <x v="1665"/>
            <x v="1666"/>
            <x v="1667"/>
            <x v="1668"/>
            <x v="1669"/>
            <x v="1670"/>
            <x v="1675"/>
            <x v="1677"/>
            <x v="1680"/>
            <x v="1682"/>
            <x v="1683"/>
            <x v="1685"/>
            <x v="1688"/>
            <x v="1689"/>
            <x v="1690"/>
            <x v="1692"/>
            <x v="1693"/>
            <x v="1697"/>
            <x v="1698"/>
            <x v="1699"/>
            <x v="1700"/>
            <x v="1701"/>
            <x v="1702"/>
            <x v="1704"/>
            <x v="1705"/>
            <x v="1710"/>
            <x v="1713"/>
            <x v="1714"/>
            <x v="1716"/>
            <x v="1717"/>
            <x v="1718"/>
            <x v="1719"/>
            <x v="1720"/>
          </reference>
        </references>
      </pivotArea>
    </format>
    <format dxfId="200">
      <pivotArea dataOnly="0" labelOnly="1" fieldPosition="0">
        <references count="1">
          <reference field="6" count="50">
            <x v="1721"/>
            <x v="1725"/>
            <x v="1726"/>
            <x v="1730"/>
            <x v="1731"/>
            <x v="1733"/>
            <x v="1734"/>
            <x v="1736"/>
            <x v="1737"/>
            <x v="1738"/>
            <x v="1739"/>
            <x v="1741"/>
            <x v="1743"/>
            <x v="1744"/>
            <x v="1745"/>
            <x v="1748"/>
            <x v="1749"/>
            <x v="1750"/>
            <x v="1751"/>
            <x v="1752"/>
            <x v="1753"/>
            <x v="1754"/>
            <x v="1757"/>
            <x v="1759"/>
            <x v="1763"/>
            <x v="1764"/>
            <x v="1765"/>
            <x v="1767"/>
            <x v="1768"/>
            <x v="1769"/>
            <x v="1770"/>
            <x v="1771"/>
            <x v="1773"/>
            <x v="1776"/>
            <x v="1778"/>
            <x v="1780"/>
            <x v="1781"/>
            <x v="1784"/>
            <x v="1786"/>
            <x v="1787"/>
            <x v="1788"/>
            <x v="1790"/>
            <x v="1791"/>
            <x v="1794"/>
            <x v="1795"/>
            <x v="1796"/>
            <x v="1797"/>
            <x v="1799"/>
            <x v="1801"/>
            <x v="1803"/>
          </reference>
        </references>
      </pivotArea>
    </format>
    <format dxfId="199">
      <pivotArea dataOnly="0" labelOnly="1" fieldPosition="0">
        <references count="1">
          <reference field="6" count="50">
            <x v="1804"/>
            <x v="1805"/>
            <x v="1806"/>
            <x v="1807"/>
            <x v="1810"/>
            <x v="1813"/>
            <x v="1815"/>
            <x v="1816"/>
            <x v="1819"/>
            <x v="1821"/>
            <x v="1822"/>
            <x v="1825"/>
            <x v="1826"/>
            <x v="1827"/>
            <x v="1829"/>
            <x v="1830"/>
            <x v="1831"/>
            <x v="1833"/>
            <x v="1834"/>
            <x v="1836"/>
            <x v="1838"/>
            <x v="1839"/>
            <x v="1840"/>
            <x v="1843"/>
            <x v="1844"/>
            <x v="1845"/>
            <x v="1847"/>
            <x v="1850"/>
            <x v="1851"/>
            <x v="1854"/>
            <x v="1855"/>
            <x v="1863"/>
            <x v="1864"/>
            <x v="1866"/>
            <x v="1870"/>
            <x v="1871"/>
            <x v="1872"/>
            <x v="1890"/>
            <x v="1893"/>
            <x v="1894"/>
            <x v="1895"/>
            <x v="1897"/>
            <x v="1898"/>
            <x v="1899"/>
            <x v="1900"/>
            <x v="1901"/>
            <x v="1903"/>
            <x v="1904"/>
            <x v="1905"/>
            <x v="1906"/>
          </reference>
        </references>
      </pivotArea>
    </format>
    <format dxfId="198">
      <pivotArea dataOnly="0" labelOnly="1" fieldPosition="0">
        <references count="1">
          <reference field="6" count="24">
            <x v="1907"/>
            <x v="1908"/>
            <x v="1910"/>
            <x v="1914"/>
            <x v="1915"/>
            <x v="1916"/>
            <x v="1918"/>
            <x v="1919"/>
            <x v="1920"/>
            <x v="1921"/>
            <x v="1923"/>
            <x v="1925"/>
            <x v="1926"/>
            <x v="1928"/>
            <x v="1933"/>
            <x v="1934"/>
            <x v="1936"/>
            <x v="1938"/>
            <x v="1939"/>
            <x v="1942"/>
            <x v="1945"/>
            <x v="1947"/>
            <x v="1948"/>
            <x v="1949"/>
          </reference>
        </references>
      </pivotArea>
    </format>
    <format dxfId="197">
      <pivotArea dataOnly="0" labelOnly="1" grandRow="1" outline="0" fieldPosition="0"/>
    </format>
    <format dxfId="196">
      <pivotArea dataOnly="0" labelOnly="1" fieldPosition="0">
        <references count="1">
          <reference field="19" count="0"/>
        </references>
      </pivotArea>
    </format>
    <format dxfId="195">
      <pivotArea dataOnly="0" labelOnly="1" grandCol="1" outline="0" fieldPosition="0"/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2"/>
            <x v="13"/>
            <x v="15"/>
            <x v="18"/>
            <x v="19"/>
            <x v="21"/>
            <x v="25"/>
            <x v="26"/>
            <x v="27"/>
            <x v="31"/>
            <x v="33"/>
            <x v="35"/>
            <x v="36"/>
            <x v="37"/>
            <x v="38"/>
            <x v="39"/>
            <x v="40"/>
            <x v="42"/>
            <x v="45"/>
            <x v="46"/>
            <x v="47"/>
            <x v="48"/>
            <x v="49"/>
            <x v="52"/>
            <x v="54"/>
            <x v="56"/>
            <x v="59"/>
            <x v="63"/>
            <x v="67"/>
            <x v="68"/>
            <x v="69"/>
            <x v="71"/>
            <x v="76"/>
            <x v="77"/>
            <x v="78"/>
            <x v="79"/>
            <x v="82"/>
            <x v="85"/>
            <x v="87"/>
            <x v="88"/>
            <x v="91"/>
            <x v="93"/>
            <x v="95"/>
            <x v="97"/>
          </reference>
        </references>
      </pivotArea>
    </format>
    <format dxfId="192">
      <pivotArea dataOnly="0" labelOnly="1" fieldPosition="0">
        <references count="1">
          <reference field="6" count="50">
            <x v="99"/>
            <x v="100"/>
            <x v="101"/>
            <x v="102"/>
            <x v="103"/>
            <x v="106"/>
            <x v="107"/>
            <x v="110"/>
            <x v="111"/>
            <x v="114"/>
            <x v="115"/>
            <x v="118"/>
            <x v="120"/>
            <x v="121"/>
            <x v="123"/>
            <x v="124"/>
            <x v="126"/>
            <x v="129"/>
            <x v="132"/>
            <x v="133"/>
            <x v="134"/>
            <x v="138"/>
            <x v="139"/>
            <x v="140"/>
            <x v="142"/>
            <x v="144"/>
            <x v="152"/>
            <x v="153"/>
            <x v="154"/>
            <x v="157"/>
            <x v="158"/>
            <x v="163"/>
            <x v="164"/>
            <x v="165"/>
            <x v="168"/>
            <x v="169"/>
            <x v="173"/>
            <x v="174"/>
            <x v="175"/>
            <x v="176"/>
            <x v="179"/>
            <x v="182"/>
            <x v="185"/>
            <x v="186"/>
            <x v="189"/>
            <x v="190"/>
            <x v="192"/>
            <x v="194"/>
            <x v="196"/>
            <x v="200"/>
          </reference>
        </references>
      </pivotArea>
    </format>
    <format dxfId="191">
      <pivotArea dataOnly="0" labelOnly="1" fieldPosition="0">
        <references count="1">
          <reference field="6" count="50">
            <x v="201"/>
            <x v="202"/>
            <x v="208"/>
            <x v="210"/>
            <x v="213"/>
            <x v="218"/>
            <x v="220"/>
            <x v="221"/>
            <x v="223"/>
            <x v="224"/>
            <x v="226"/>
            <x v="227"/>
            <x v="228"/>
            <x v="229"/>
            <x v="230"/>
            <x v="232"/>
            <x v="234"/>
            <x v="235"/>
            <x v="238"/>
            <x v="239"/>
            <x v="241"/>
            <x v="242"/>
            <x v="243"/>
            <x v="245"/>
            <x v="246"/>
            <x v="247"/>
            <x v="248"/>
            <x v="252"/>
            <x v="253"/>
            <x v="254"/>
            <x v="255"/>
            <x v="256"/>
            <x v="258"/>
            <x v="259"/>
            <x v="260"/>
            <x v="262"/>
            <x v="265"/>
            <x v="266"/>
            <x v="271"/>
            <x v="273"/>
            <x v="275"/>
            <x v="276"/>
            <x v="279"/>
            <x v="280"/>
            <x v="283"/>
            <x v="284"/>
            <x v="287"/>
            <x v="288"/>
            <x v="289"/>
            <x v="291"/>
          </reference>
        </references>
      </pivotArea>
    </format>
    <format dxfId="190">
      <pivotArea dataOnly="0" labelOnly="1" fieldPosition="0">
        <references count="1">
          <reference field="6" count="50">
            <x v="292"/>
            <x v="293"/>
            <x v="294"/>
            <x v="295"/>
            <x v="296"/>
            <x v="297"/>
            <x v="298"/>
            <x v="300"/>
            <x v="301"/>
            <x v="304"/>
            <x v="306"/>
            <x v="308"/>
            <x v="309"/>
            <x v="310"/>
            <x v="312"/>
            <x v="313"/>
            <x v="315"/>
            <x v="317"/>
            <x v="318"/>
            <x v="319"/>
            <x v="321"/>
            <x v="323"/>
            <x v="325"/>
            <x v="326"/>
            <x v="330"/>
            <x v="331"/>
            <x v="333"/>
            <x v="334"/>
            <x v="335"/>
            <x v="336"/>
            <x v="337"/>
            <x v="339"/>
            <x v="340"/>
            <x v="342"/>
            <x v="345"/>
            <x v="346"/>
            <x v="347"/>
            <x v="348"/>
            <x v="350"/>
            <x v="353"/>
            <x v="354"/>
            <x v="355"/>
            <x v="358"/>
            <x v="360"/>
            <x v="361"/>
            <x v="368"/>
            <x v="369"/>
            <x v="374"/>
            <x v="375"/>
            <x v="376"/>
          </reference>
        </references>
      </pivotArea>
    </format>
    <format dxfId="189">
      <pivotArea dataOnly="0" labelOnly="1" fieldPosition="0">
        <references count="1">
          <reference field="6" count="50">
            <x v="377"/>
            <x v="379"/>
            <x v="380"/>
            <x v="381"/>
            <x v="387"/>
            <x v="388"/>
            <x v="389"/>
            <x v="391"/>
            <x v="394"/>
            <x v="397"/>
            <x v="400"/>
            <x v="401"/>
            <x v="402"/>
            <x v="403"/>
            <x v="404"/>
            <x v="406"/>
            <x v="407"/>
            <x v="411"/>
            <x v="412"/>
            <x v="413"/>
            <x v="415"/>
            <x v="416"/>
            <x v="419"/>
            <x v="420"/>
            <x v="422"/>
            <x v="423"/>
            <x v="424"/>
            <x v="425"/>
            <x v="426"/>
            <x v="427"/>
            <x v="429"/>
            <x v="430"/>
            <x v="433"/>
            <x v="434"/>
            <x v="435"/>
            <x v="436"/>
            <x v="438"/>
            <x v="439"/>
            <x v="444"/>
            <x v="445"/>
            <x v="446"/>
            <x v="451"/>
            <x v="453"/>
            <x v="454"/>
            <x v="456"/>
            <x v="457"/>
            <x v="458"/>
            <x v="459"/>
            <x v="460"/>
            <x v="461"/>
          </reference>
        </references>
      </pivotArea>
    </format>
    <format dxfId="188">
      <pivotArea dataOnly="0" labelOnly="1" fieldPosition="0">
        <references count="1">
          <reference field="6" count="50">
            <x v="462"/>
            <x v="463"/>
            <x v="464"/>
            <x v="465"/>
            <x v="466"/>
            <x v="467"/>
            <x v="469"/>
            <x v="473"/>
            <x v="477"/>
            <x v="479"/>
            <x v="482"/>
            <x v="483"/>
            <x v="484"/>
            <x v="485"/>
            <x v="486"/>
            <x v="488"/>
            <x v="489"/>
            <x v="491"/>
            <x v="492"/>
            <x v="493"/>
            <x v="494"/>
            <x v="495"/>
            <x v="496"/>
            <x v="497"/>
            <x v="498"/>
            <x v="499"/>
            <x v="501"/>
            <x v="504"/>
            <x v="505"/>
            <x v="506"/>
            <x v="507"/>
            <x v="508"/>
            <x v="509"/>
            <x v="510"/>
            <x v="512"/>
            <x v="515"/>
            <x v="516"/>
            <x v="517"/>
            <x v="519"/>
            <x v="520"/>
            <x v="522"/>
            <x v="525"/>
            <x v="526"/>
            <x v="527"/>
            <x v="529"/>
            <x v="532"/>
            <x v="533"/>
            <x v="534"/>
            <x v="535"/>
            <x v="536"/>
          </reference>
        </references>
      </pivotArea>
    </format>
    <format dxfId="187">
      <pivotArea dataOnly="0" labelOnly="1" fieldPosition="0">
        <references count="1">
          <reference field="6" count="50">
            <x v="537"/>
            <x v="539"/>
            <x v="540"/>
            <x v="541"/>
            <x v="542"/>
            <x v="544"/>
            <x v="545"/>
            <x v="546"/>
            <x v="547"/>
            <x v="549"/>
            <x v="551"/>
            <x v="556"/>
            <x v="558"/>
            <x v="559"/>
            <x v="560"/>
            <x v="561"/>
            <x v="563"/>
            <x v="564"/>
            <x v="566"/>
            <x v="567"/>
            <x v="568"/>
            <x v="570"/>
            <x v="571"/>
            <x v="572"/>
            <x v="573"/>
            <x v="574"/>
            <x v="575"/>
            <x v="577"/>
            <x v="581"/>
            <x v="582"/>
            <x v="583"/>
            <x v="585"/>
            <x v="587"/>
            <x v="589"/>
            <x v="590"/>
            <x v="591"/>
            <x v="593"/>
            <x v="594"/>
            <x v="595"/>
            <x v="596"/>
            <x v="598"/>
            <x v="601"/>
            <x v="602"/>
            <x v="603"/>
            <x v="605"/>
            <x v="606"/>
            <x v="607"/>
            <x v="609"/>
            <x v="610"/>
            <x v="611"/>
          </reference>
        </references>
      </pivotArea>
    </format>
    <format dxfId="186">
      <pivotArea dataOnly="0" labelOnly="1" fieldPosition="0">
        <references count="1">
          <reference field="6" count="50">
            <x v="612"/>
            <x v="614"/>
            <x v="615"/>
            <x v="617"/>
            <x v="618"/>
            <x v="619"/>
            <x v="620"/>
            <x v="622"/>
            <x v="624"/>
            <x v="626"/>
            <x v="627"/>
            <x v="628"/>
            <x v="629"/>
            <x v="630"/>
            <x v="637"/>
            <x v="638"/>
            <x v="640"/>
            <x v="644"/>
            <x v="645"/>
            <x v="647"/>
            <x v="648"/>
            <x v="649"/>
            <x v="651"/>
            <x v="652"/>
            <x v="654"/>
            <x v="655"/>
            <x v="657"/>
            <x v="658"/>
            <x v="662"/>
            <x v="663"/>
            <x v="664"/>
            <x v="665"/>
            <x v="666"/>
            <x v="668"/>
            <x v="669"/>
            <x v="671"/>
            <x v="672"/>
            <x v="675"/>
            <x v="676"/>
            <x v="677"/>
            <x v="682"/>
            <x v="683"/>
            <x v="685"/>
            <x v="687"/>
            <x v="689"/>
            <x v="690"/>
            <x v="691"/>
            <x v="696"/>
            <x v="698"/>
            <x v="700"/>
          </reference>
        </references>
      </pivotArea>
    </format>
    <format dxfId="185">
      <pivotArea dataOnly="0" labelOnly="1" fieldPosition="0">
        <references count="1">
          <reference field="6" count="50">
            <x v="702"/>
            <x v="705"/>
            <x v="706"/>
            <x v="708"/>
            <x v="709"/>
            <x v="712"/>
            <x v="714"/>
            <x v="715"/>
            <x v="716"/>
            <x v="718"/>
            <x v="720"/>
            <x v="721"/>
            <x v="722"/>
            <x v="723"/>
            <x v="724"/>
            <x v="728"/>
            <x v="730"/>
            <x v="731"/>
            <x v="732"/>
            <x v="733"/>
            <x v="736"/>
            <x v="737"/>
            <x v="738"/>
            <x v="741"/>
            <x v="743"/>
            <x v="744"/>
            <x v="749"/>
            <x v="750"/>
            <x v="751"/>
            <x v="753"/>
            <x v="757"/>
            <x v="758"/>
            <x v="759"/>
            <x v="760"/>
            <x v="762"/>
            <x v="763"/>
            <x v="765"/>
            <x v="767"/>
            <x v="769"/>
            <x v="770"/>
            <x v="771"/>
            <x v="773"/>
            <x v="774"/>
            <x v="777"/>
            <x v="779"/>
            <x v="783"/>
            <x v="784"/>
            <x v="785"/>
            <x v="787"/>
            <x v="789"/>
          </reference>
        </references>
      </pivotArea>
    </format>
    <format dxfId="184">
      <pivotArea dataOnly="0" labelOnly="1" fieldPosition="0">
        <references count="1">
          <reference field="6" count="50">
            <x v="792"/>
            <x v="793"/>
            <x v="794"/>
            <x v="795"/>
            <x v="796"/>
            <x v="797"/>
            <x v="798"/>
            <x v="799"/>
            <x v="800"/>
            <x v="801"/>
            <x v="803"/>
            <x v="804"/>
            <x v="805"/>
            <x v="806"/>
            <x v="807"/>
            <x v="808"/>
            <x v="809"/>
            <x v="812"/>
            <x v="814"/>
            <x v="815"/>
            <x v="816"/>
            <x v="817"/>
            <x v="821"/>
            <x v="825"/>
            <x v="826"/>
            <x v="827"/>
            <x v="829"/>
            <x v="830"/>
            <x v="836"/>
            <x v="837"/>
            <x v="839"/>
            <x v="840"/>
            <x v="842"/>
            <x v="844"/>
            <x v="846"/>
            <x v="847"/>
            <x v="850"/>
            <x v="851"/>
            <x v="852"/>
            <x v="854"/>
            <x v="855"/>
            <x v="856"/>
            <x v="859"/>
            <x v="860"/>
            <x v="861"/>
            <x v="864"/>
            <x v="865"/>
            <x v="869"/>
            <x v="870"/>
            <x v="871"/>
          </reference>
        </references>
      </pivotArea>
    </format>
    <format dxfId="183">
      <pivotArea dataOnly="0" labelOnly="1" fieldPosition="0">
        <references count="1">
          <reference field="6" count="50">
            <x v="873"/>
            <x v="874"/>
            <x v="876"/>
            <x v="877"/>
            <x v="878"/>
            <x v="879"/>
            <x v="880"/>
            <x v="881"/>
            <x v="886"/>
            <x v="889"/>
            <x v="890"/>
            <x v="891"/>
            <x v="892"/>
            <x v="894"/>
            <x v="895"/>
            <x v="896"/>
            <x v="897"/>
            <x v="898"/>
            <x v="899"/>
            <x v="900"/>
            <x v="901"/>
            <x v="902"/>
            <x v="909"/>
            <x v="911"/>
            <x v="912"/>
            <x v="914"/>
            <x v="915"/>
            <x v="916"/>
            <x v="917"/>
            <x v="918"/>
            <x v="919"/>
            <x v="921"/>
            <x v="922"/>
            <x v="923"/>
            <x v="924"/>
            <x v="925"/>
            <x v="926"/>
            <x v="928"/>
            <x v="929"/>
            <x v="931"/>
            <x v="933"/>
            <x v="935"/>
            <x v="940"/>
            <x v="944"/>
            <x v="945"/>
            <x v="947"/>
            <x v="948"/>
            <x v="949"/>
            <x v="951"/>
            <x v="952"/>
          </reference>
        </references>
      </pivotArea>
    </format>
    <format dxfId="182">
      <pivotArea dataOnly="0" labelOnly="1" fieldPosition="0">
        <references count="1">
          <reference field="6" count="50">
            <x v="953"/>
            <x v="955"/>
            <x v="956"/>
            <x v="959"/>
            <x v="961"/>
            <x v="962"/>
            <x v="966"/>
            <x v="967"/>
            <x v="968"/>
            <x v="969"/>
            <x v="970"/>
            <x v="971"/>
            <x v="973"/>
            <x v="974"/>
            <x v="975"/>
            <x v="976"/>
            <x v="977"/>
            <x v="978"/>
            <x v="983"/>
            <x v="984"/>
            <x v="985"/>
            <x v="987"/>
            <x v="988"/>
            <x v="989"/>
            <x v="991"/>
            <x v="993"/>
            <x v="995"/>
            <x v="1000"/>
            <x v="1001"/>
            <x v="1005"/>
            <x v="1006"/>
            <x v="1008"/>
            <x v="1012"/>
            <x v="1014"/>
            <x v="1015"/>
            <x v="1016"/>
            <x v="1017"/>
            <x v="1019"/>
            <x v="1020"/>
            <x v="1023"/>
            <x v="1024"/>
            <x v="1026"/>
            <x v="1029"/>
            <x v="1033"/>
            <x v="1035"/>
            <x v="1036"/>
            <x v="1037"/>
            <x v="1038"/>
            <x v="1040"/>
            <x v="1042"/>
          </reference>
        </references>
      </pivotArea>
    </format>
    <format dxfId="181">
      <pivotArea dataOnly="0" labelOnly="1" fieldPosition="0">
        <references count="1">
          <reference field="6" count="50">
            <x v="1045"/>
            <x v="1046"/>
            <x v="1047"/>
            <x v="1049"/>
            <x v="1051"/>
            <x v="1052"/>
            <x v="1053"/>
            <x v="1058"/>
            <x v="1068"/>
            <x v="1069"/>
            <x v="1070"/>
            <x v="1071"/>
            <x v="1073"/>
            <x v="1080"/>
            <x v="1081"/>
            <x v="1082"/>
            <x v="1083"/>
            <x v="1089"/>
            <x v="1091"/>
            <x v="1093"/>
            <x v="1095"/>
            <x v="1097"/>
            <x v="1098"/>
            <x v="1100"/>
            <x v="1102"/>
            <x v="1103"/>
            <x v="1104"/>
            <x v="1105"/>
            <x v="1106"/>
            <x v="1108"/>
            <x v="1109"/>
            <x v="1110"/>
            <x v="1111"/>
            <x v="1113"/>
            <x v="1116"/>
            <x v="1117"/>
            <x v="1122"/>
            <x v="1125"/>
            <x v="1127"/>
            <x v="1128"/>
            <x v="1129"/>
            <x v="1131"/>
            <x v="1132"/>
            <x v="1136"/>
            <x v="1138"/>
            <x v="1139"/>
            <x v="1140"/>
            <x v="1142"/>
            <x v="1143"/>
            <x v="1145"/>
          </reference>
        </references>
      </pivotArea>
    </format>
    <format dxfId="180">
      <pivotArea dataOnly="0" labelOnly="1" fieldPosition="0">
        <references count="1">
          <reference field="6" count="50">
            <x v="1147"/>
            <x v="1148"/>
            <x v="1150"/>
            <x v="1153"/>
            <x v="1158"/>
            <x v="1159"/>
            <x v="1161"/>
            <x v="1162"/>
            <x v="1166"/>
            <x v="1169"/>
            <x v="1170"/>
            <x v="1174"/>
            <x v="1176"/>
            <x v="1177"/>
            <x v="1179"/>
            <x v="1180"/>
            <x v="1183"/>
            <x v="1184"/>
            <x v="1185"/>
            <x v="1187"/>
            <x v="1191"/>
            <x v="1193"/>
            <x v="1196"/>
            <x v="1202"/>
            <x v="1204"/>
            <x v="1206"/>
            <x v="1207"/>
            <x v="1210"/>
            <x v="1211"/>
            <x v="1212"/>
            <x v="1214"/>
            <x v="1215"/>
            <x v="1216"/>
            <x v="1218"/>
            <x v="1223"/>
            <x v="1226"/>
            <x v="1227"/>
            <x v="1231"/>
            <x v="1234"/>
            <x v="1236"/>
            <x v="1237"/>
            <x v="1238"/>
            <x v="1240"/>
            <x v="1241"/>
            <x v="1242"/>
            <x v="1243"/>
            <x v="1244"/>
            <x v="1246"/>
            <x v="1247"/>
            <x v="1250"/>
          </reference>
        </references>
      </pivotArea>
    </format>
    <format dxfId="179">
      <pivotArea dataOnly="0" labelOnly="1" fieldPosition="0">
        <references count="1">
          <reference field="6" count="50">
            <x v="1252"/>
            <x v="1253"/>
            <x v="1256"/>
            <x v="1257"/>
            <x v="1258"/>
            <x v="1260"/>
            <x v="1263"/>
            <x v="1265"/>
            <x v="1267"/>
            <x v="1268"/>
            <x v="1269"/>
            <x v="1270"/>
            <x v="1271"/>
            <x v="1273"/>
            <x v="1276"/>
            <x v="1277"/>
            <x v="1278"/>
            <x v="1279"/>
            <x v="1280"/>
            <x v="1285"/>
            <x v="1286"/>
            <x v="1288"/>
            <x v="1291"/>
            <x v="1292"/>
            <x v="1294"/>
            <x v="1298"/>
            <x v="1303"/>
            <x v="1304"/>
            <x v="1305"/>
            <x v="1306"/>
            <x v="1307"/>
            <x v="1309"/>
            <x v="1311"/>
            <x v="1314"/>
            <x v="1315"/>
            <x v="1316"/>
            <x v="1319"/>
            <x v="1321"/>
            <x v="1322"/>
            <x v="1323"/>
            <x v="1324"/>
            <x v="1325"/>
            <x v="1327"/>
            <x v="1328"/>
            <x v="1331"/>
            <x v="1332"/>
            <x v="1333"/>
            <x v="1334"/>
            <x v="1338"/>
            <x v="1341"/>
          </reference>
        </references>
      </pivotArea>
    </format>
    <format dxfId="178">
      <pivotArea dataOnly="0" labelOnly="1" fieldPosition="0">
        <references count="1">
          <reference field="6" count="50">
            <x v="1342"/>
            <x v="1345"/>
            <x v="1347"/>
            <x v="1348"/>
            <x v="1349"/>
            <x v="1351"/>
            <x v="1352"/>
            <x v="1353"/>
            <x v="1354"/>
            <x v="1355"/>
            <x v="1356"/>
            <x v="1358"/>
            <x v="1359"/>
            <x v="1361"/>
            <x v="1363"/>
            <x v="1364"/>
            <x v="1365"/>
            <x v="1366"/>
            <x v="1367"/>
            <x v="1370"/>
            <x v="1372"/>
            <x v="1373"/>
            <x v="1378"/>
            <x v="1379"/>
            <x v="1392"/>
            <x v="1393"/>
            <x v="1394"/>
            <x v="1395"/>
            <x v="1396"/>
            <x v="1399"/>
            <x v="1400"/>
            <x v="1404"/>
            <x v="1405"/>
            <x v="1410"/>
            <x v="1411"/>
            <x v="1412"/>
            <x v="1414"/>
            <x v="1416"/>
            <x v="1418"/>
            <x v="1420"/>
            <x v="1421"/>
            <x v="1426"/>
            <x v="1427"/>
            <x v="1431"/>
            <x v="1432"/>
            <x v="1433"/>
            <x v="1434"/>
            <x v="1436"/>
            <x v="1437"/>
            <x v="1439"/>
          </reference>
        </references>
      </pivotArea>
    </format>
    <format dxfId="177">
      <pivotArea dataOnly="0" labelOnly="1" fieldPosition="0">
        <references count="1">
          <reference field="6" count="50">
            <x v="1442"/>
            <x v="1443"/>
            <x v="1445"/>
            <x v="1446"/>
            <x v="1447"/>
            <x v="1448"/>
            <x v="1449"/>
            <x v="1451"/>
            <x v="1452"/>
            <x v="1456"/>
            <x v="1458"/>
            <x v="1459"/>
            <x v="1462"/>
            <x v="1466"/>
            <x v="1468"/>
            <x v="1469"/>
            <x v="1472"/>
            <x v="1473"/>
            <x v="1475"/>
            <x v="1478"/>
            <x v="1479"/>
            <x v="1480"/>
            <x v="1482"/>
            <x v="1484"/>
            <x v="1485"/>
            <x v="1486"/>
            <x v="1487"/>
            <x v="1488"/>
            <x v="1489"/>
            <x v="1492"/>
            <x v="1493"/>
            <x v="1494"/>
            <x v="1495"/>
            <x v="1496"/>
            <x v="1498"/>
            <x v="1506"/>
            <x v="1508"/>
            <x v="1509"/>
            <x v="1510"/>
            <x v="1511"/>
            <x v="1512"/>
            <x v="1513"/>
            <x v="1516"/>
            <x v="1517"/>
            <x v="1519"/>
            <x v="1521"/>
            <x v="1522"/>
            <x v="1523"/>
            <x v="1524"/>
            <x v="1526"/>
          </reference>
        </references>
      </pivotArea>
    </format>
    <format dxfId="176">
      <pivotArea dataOnly="0" labelOnly="1" fieldPosition="0">
        <references count="1">
          <reference field="6" count="50">
            <x v="1529"/>
            <x v="1530"/>
            <x v="1532"/>
            <x v="1536"/>
            <x v="1537"/>
            <x v="1538"/>
            <x v="1540"/>
            <x v="1541"/>
            <x v="1543"/>
            <x v="1548"/>
            <x v="1550"/>
            <x v="1552"/>
            <x v="1554"/>
            <x v="1555"/>
            <x v="1558"/>
            <x v="1562"/>
            <x v="1563"/>
            <x v="1564"/>
            <x v="1565"/>
            <x v="1569"/>
            <x v="1571"/>
            <x v="1572"/>
            <x v="1573"/>
            <x v="1576"/>
            <x v="1577"/>
            <x v="1579"/>
            <x v="1580"/>
            <x v="1583"/>
            <x v="1584"/>
            <x v="1585"/>
            <x v="1588"/>
            <x v="1589"/>
            <x v="1593"/>
            <x v="1595"/>
            <x v="1599"/>
            <x v="1600"/>
            <x v="1602"/>
            <x v="1603"/>
            <x v="1604"/>
            <x v="1605"/>
            <x v="1606"/>
            <x v="1607"/>
            <x v="1608"/>
            <x v="1609"/>
            <x v="1613"/>
            <x v="1615"/>
            <x v="1616"/>
            <x v="1618"/>
            <x v="1626"/>
            <x v="1627"/>
          </reference>
        </references>
      </pivotArea>
    </format>
    <format dxfId="175">
      <pivotArea dataOnly="0" labelOnly="1" fieldPosition="0">
        <references count="1">
          <reference field="6" count="50">
            <x v="1629"/>
            <x v="1631"/>
            <x v="1632"/>
            <x v="1633"/>
            <x v="1634"/>
            <x v="1636"/>
            <x v="1637"/>
            <x v="1638"/>
            <x v="1643"/>
            <x v="1645"/>
            <x v="1646"/>
            <x v="1647"/>
            <x v="1649"/>
            <x v="1657"/>
            <x v="1659"/>
            <x v="1661"/>
            <x v="1662"/>
            <x v="1665"/>
            <x v="1666"/>
            <x v="1667"/>
            <x v="1668"/>
            <x v="1669"/>
            <x v="1670"/>
            <x v="1675"/>
            <x v="1677"/>
            <x v="1680"/>
            <x v="1682"/>
            <x v="1683"/>
            <x v="1685"/>
            <x v="1688"/>
            <x v="1689"/>
            <x v="1690"/>
            <x v="1692"/>
            <x v="1693"/>
            <x v="1697"/>
            <x v="1698"/>
            <x v="1699"/>
            <x v="1700"/>
            <x v="1701"/>
            <x v="1702"/>
            <x v="1704"/>
            <x v="1705"/>
            <x v="1710"/>
            <x v="1713"/>
            <x v="1714"/>
            <x v="1716"/>
            <x v="1717"/>
            <x v="1718"/>
            <x v="1719"/>
            <x v="1720"/>
          </reference>
        </references>
      </pivotArea>
    </format>
    <format dxfId="174">
      <pivotArea dataOnly="0" labelOnly="1" fieldPosition="0">
        <references count="1">
          <reference field="6" count="50">
            <x v="1721"/>
            <x v="1725"/>
            <x v="1726"/>
            <x v="1730"/>
            <x v="1731"/>
            <x v="1733"/>
            <x v="1734"/>
            <x v="1736"/>
            <x v="1737"/>
            <x v="1738"/>
            <x v="1739"/>
            <x v="1741"/>
            <x v="1743"/>
            <x v="1744"/>
            <x v="1745"/>
            <x v="1748"/>
            <x v="1749"/>
            <x v="1750"/>
            <x v="1751"/>
            <x v="1752"/>
            <x v="1753"/>
            <x v="1754"/>
            <x v="1757"/>
            <x v="1759"/>
            <x v="1763"/>
            <x v="1764"/>
            <x v="1765"/>
            <x v="1767"/>
            <x v="1768"/>
            <x v="1769"/>
            <x v="1770"/>
            <x v="1771"/>
            <x v="1773"/>
            <x v="1776"/>
            <x v="1778"/>
            <x v="1780"/>
            <x v="1781"/>
            <x v="1784"/>
            <x v="1786"/>
            <x v="1787"/>
            <x v="1788"/>
            <x v="1790"/>
            <x v="1791"/>
            <x v="1794"/>
            <x v="1795"/>
            <x v="1796"/>
            <x v="1797"/>
            <x v="1799"/>
            <x v="1801"/>
            <x v="1803"/>
          </reference>
        </references>
      </pivotArea>
    </format>
    <format dxfId="173">
      <pivotArea dataOnly="0" labelOnly="1" fieldPosition="0">
        <references count="1">
          <reference field="6" count="50">
            <x v="1804"/>
            <x v="1805"/>
            <x v="1806"/>
            <x v="1807"/>
            <x v="1810"/>
            <x v="1813"/>
            <x v="1815"/>
            <x v="1816"/>
            <x v="1819"/>
            <x v="1821"/>
            <x v="1822"/>
            <x v="1825"/>
            <x v="1826"/>
            <x v="1827"/>
            <x v="1829"/>
            <x v="1830"/>
            <x v="1831"/>
            <x v="1833"/>
            <x v="1834"/>
            <x v="1836"/>
            <x v="1838"/>
            <x v="1839"/>
            <x v="1840"/>
            <x v="1843"/>
            <x v="1844"/>
            <x v="1845"/>
            <x v="1847"/>
            <x v="1850"/>
            <x v="1851"/>
            <x v="1854"/>
            <x v="1855"/>
            <x v="1863"/>
            <x v="1864"/>
            <x v="1866"/>
            <x v="1870"/>
            <x v="1871"/>
            <x v="1872"/>
            <x v="1890"/>
            <x v="1893"/>
            <x v="1894"/>
            <x v="1895"/>
            <x v="1897"/>
            <x v="1898"/>
            <x v="1899"/>
            <x v="1900"/>
            <x v="1901"/>
            <x v="1903"/>
            <x v="1904"/>
            <x v="1905"/>
            <x v="1906"/>
          </reference>
        </references>
      </pivotArea>
    </format>
    <format dxfId="172">
      <pivotArea dataOnly="0" labelOnly="1" fieldPosition="0">
        <references count="1">
          <reference field="6" count="24">
            <x v="1907"/>
            <x v="1908"/>
            <x v="1910"/>
            <x v="1914"/>
            <x v="1915"/>
            <x v="1916"/>
            <x v="1918"/>
            <x v="1919"/>
            <x v="1920"/>
            <x v="1921"/>
            <x v="1923"/>
            <x v="1925"/>
            <x v="1926"/>
            <x v="1928"/>
            <x v="1933"/>
            <x v="1934"/>
            <x v="1936"/>
            <x v="1938"/>
            <x v="1939"/>
            <x v="1942"/>
            <x v="1945"/>
            <x v="1947"/>
            <x v="1948"/>
            <x v="1949"/>
          </reference>
        </references>
      </pivotArea>
    </format>
    <format dxfId="171">
      <pivotArea dataOnly="0" labelOnly="1" grandRow="1" outline="0" fieldPosition="0"/>
    </format>
    <format dxfId="170">
      <pivotArea outline="0" collapsedLevelsAreSubtotals="1" fieldPosition="0"/>
    </format>
    <format dxfId="169">
      <pivotArea dataOnly="0" labelOnly="1" fieldPosition="0">
        <references count="1">
          <reference field="6" count="50">
            <x v="0"/>
            <x v="8"/>
            <x v="11"/>
            <x v="12"/>
            <x v="20"/>
            <x v="24"/>
            <x v="27"/>
            <x v="31"/>
            <x v="38"/>
            <x v="40"/>
            <x v="42"/>
            <x v="45"/>
            <x v="46"/>
            <x v="49"/>
            <x v="54"/>
            <x v="56"/>
            <x v="63"/>
            <x v="67"/>
            <x v="71"/>
            <x v="73"/>
            <x v="79"/>
            <x v="82"/>
            <x v="86"/>
            <x v="87"/>
            <x v="88"/>
            <x v="90"/>
            <x v="99"/>
            <x v="100"/>
            <x v="101"/>
            <x v="112"/>
            <x v="115"/>
            <x v="120"/>
            <x v="123"/>
            <x v="126"/>
            <x v="129"/>
            <x v="131"/>
            <x v="142"/>
            <x v="144"/>
            <x v="146"/>
            <x v="148"/>
            <x v="161"/>
            <x v="163"/>
            <x v="165"/>
            <x v="166"/>
            <x v="168"/>
            <x v="173"/>
            <x v="190"/>
            <x v="200"/>
            <x v="211"/>
            <x v="225"/>
          </reference>
        </references>
      </pivotArea>
    </format>
    <format dxfId="168">
      <pivotArea dataOnly="0" labelOnly="1" fieldPosition="0">
        <references count="1">
          <reference field="6" count="50">
            <x v="226"/>
            <x v="228"/>
            <x v="232"/>
            <x v="235"/>
            <x v="245"/>
            <x v="253"/>
            <x v="254"/>
            <x v="258"/>
            <x v="259"/>
            <x v="262"/>
            <x v="274"/>
            <x v="280"/>
            <x v="284"/>
            <x v="287"/>
            <x v="288"/>
            <x v="289"/>
            <x v="292"/>
            <x v="294"/>
            <x v="295"/>
            <x v="296"/>
            <x v="299"/>
            <x v="304"/>
            <x v="308"/>
            <x v="310"/>
            <x v="312"/>
            <x v="315"/>
            <x v="317"/>
            <x v="318"/>
            <x v="319"/>
            <x v="328"/>
            <x v="330"/>
            <x v="336"/>
            <x v="347"/>
            <x v="350"/>
            <x v="358"/>
            <x v="371"/>
            <x v="375"/>
            <x v="377"/>
            <x v="380"/>
            <x v="388"/>
            <x v="401"/>
            <x v="404"/>
            <x v="407"/>
            <x v="411"/>
            <x v="423"/>
            <x v="424"/>
            <x v="434"/>
            <x v="435"/>
            <x v="436"/>
            <x v="440"/>
          </reference>
        </references>
      </pivotArea>
    </format>
    <format dxfId="167">
      <pivotArea dataOnly="0" labelOnly="1" fieldPosition="0">
        <references count="1">
          <reference field="6" count="50">
            <x v="446"/>
            <x v="453"/>
            <x v="454"/>
            <x v="464"/>
            <x v="465"/>
            <x v="472"/>
            <x v="476"/>
            <x v="477"/>
            <x v="492"/>
            <x v="497"/>
            <x v="513"/>
            <x v="516"/>
            <x v="517"/>
            <x v="520"/>
            <x v="527"/>
            <x v="531"/>
            <x v="532"/>
            <x v="537"/>
            <x v="544"/>
            <x v="545"/>
            <x v="549"/>
            <x v="556"/>
            <x v="564"/>
            <x v="567"/>
            <x v="571"/>
            <x v="572"/>
            <x v="573"/>
            <x v="576"/>
            <x v="585"/>
            <x v="601"/>
            <x v="603"/>
            <x v="610"/>
            <x v="612"/>
            <x v="617"/>
            <x v="618"/>
            <x v="619"/>
            <x v="620"/>
            <x v="622"/>
            <x v="624"/>
            <x v="626"/>
            <x v="628"/>
            <x v="631"/>
            <x v="638"/>
            <x v="639"/>
            <x v="654"/>
            <x v="655"/>
            <x v="657"/>
            <x v="666"/>
            <x v="670"/>
            <x v="677"/>
          </reference>
        </references>
      </pivotArea>
    </format>
    <format dxfId="166">
      <pivotArea dataOnly="0" labelOnly="1" fieldPosition="0">
        <references count="1">
          <reference field="6" count="50">
            <x v="682"/>
            <x v="683"/>
            <x v="685"/>
            <x v="687"/>
            <x v="690"/>
            <x v="698"/>
            <x v="700"/>
            <x v="705"/>
            <x v="722"/>
            <x v="724"/>
            <x v="727"/>
            <x v="739"/>
            <x v="742"/>
            <x v="744"/>
            <x v="751"/>
            <x v="757"/>
            <x v="758"/>
            <x v="759"/>
            <x v="770"/>
            <x v="771"/>
            <x v="775"/>
            <x v="783"/>
            <x v="785"/>
            <x v="790"/>
            <x v="791"/>
            <x v="794"/>
            <x v="797"/>
            <x v="798"/>
            <x v="801"/>
            <x v="804"/>
            <x v="806"/>
            <x v="809"/>
            <x v="812"/>
            <x v="821"/>
            <x v="826"/>
            <x v="830"/>
            <x v="836"/>
            <x v="838"/>
            <x v="839"/>
            <x v="844"/>
            <x v="846"/>
            <x v="847"/>
            <x v="852"/>
            <x v="855"/>
            <x v="859"/>
            <x v="862"/>
            <x v="873"/>
            <x v="878"/>
            <x v="880"/>
            <x v="890"/>
          </reference>
        </references>
      </pivotArea>
    </format>
    <format dxfId="165">
      <pivotArea dataOnly="0" labelOnly="1" fieldPosition="0">
        <references count="1">
          <reference field="6" count="50">
            <x v="894"/>
            <x v="900"/>
            <x v="901"/>
            <x v="911"/>
            <x v="912"/>
            <x v="913"/>
            <x v="916"/>
            <x v="921"/>
            <x v="935"/>
            <x v="943"/>
            <x v="945"/>
            <x v="949"/>
            <x v="953"/>
            <x v="969"/>
            <x v="974"/>
            <x v="976"/>
            <x v="978"/>
            <x v="981"/>
            <x v="984"/>
            <x v="986"/>
            <x v="999"/>
            <x v="1001"/>
            <x v="1013"/>
            <x v="1015"/>
            <x v="1020"/>
            <x v="1029"/>
            <x v="1033"/>
            <x v="1037"/>
            <x v="1040"/>
            <x v="1046"/>
            <x v="1051"/>
            <x v="1066"/>
            <x v="1069"/>
            <x v="1070"/>
            <x v="1075"/>
            <x v="1082"/>
            <x v="1083"/>
            <x v="1086"/>
            <x v="1092"/>
            <x v="1095"/>
            <x v="1102"/>
            <x v="1104"/>
            <x v="1106"/>
            <x v="1116"/>
            <x v="1117"/>
            <x v="1121"/>
            <x v="1122"/>
            <x v="1128"/>
            <x v="1132"/>
            <x v="1148"/>
          </reference>
        </references>
      </pivotArea>
    </format>
    <format dxfId="164">
      <pivotArea dataOnly="0" labelOnly="1" fieldPosition="0">
        <references count="1">
          <reference field="6" count="50">
            <x v="1149"/>
            <x v="1151"/>
            <x v="1153"/>
            <x v="1161"/>
            <x v="1163"/>
            <x v="1165"/>
            <x v="1172"/>
            <x v="1174"/>
            <x v="1184"/>
            <x v="1194"/>
            <x v="1196"/>
            <x v="1199"/>
            <x v="1202"/>
            <x v="1224"/>
            <x v="1226"/>
            <x v="1227"/>
            <x v="1234"/>
            <x v="1235"/>
            <x v="1247"/>
            <x v="1266"/>
            <x v="1267"/>
            <x v="1269"/>
            <x v="1273"/>
            <x v="1276"/>
            <x v="1279"/>
            <x v="1280"/>
            <x v="1282"/>
            <x v="1285"/>
            <x v="1294"/>
            <x v="1299"/>
            <x v="1301"/>
            <x v="1307"/>
            <x v="1310"/>
            <x v="1314"/>
            <x v="1319"/>
            <x v="1321"/>
            <x v="1323"/>
            <x v="1325"/>
            <x v="1326"/>
            <x v="1328"/>
            <x v="1331"/>
            <x v="1340"/>
            <x v="1342"/>
            <x v="1347"/>
            <x v="1350"/>
            <x v="1351"/>
            <x v="1353"/>
            <x v="1354"/>
            <x v="1357"/>
            <x v="1358"/>
          </reference>
        </references>
      </pivotArea>
    </format>
    <format dxfId="163">
      <pivotArea dataOnly="0" labelOnly="1" fieldPosition="0">
        <references count="1">
          <reference field="6" count="50">
            <x v="1359"/>
            <x v="1367"/>
            <x v="1379"/>
            <x v="1393"/>
            <x v="1399"/>
            <x v="1400"/>
            <x v="1405"/>
            <x v="1406"/>
            <x v="1411"/>
            <x v="1412"/>
            <x v="1418"/>
            <x v="1420"/>
            <x v="1433"/>
            <x v="1436"/>
            <x v="1439"/>
            <x v="1443"/>
            <x v="1447"/>
            <x v="1449"/>
            <x v="1452"/>
            <x v="1459"/>
            <x v="1464"/>
            <x v="1473"/>
            <x v="1482"/>
            <x v="1484"/>
            <x v="1487"/>
            <x v="1489"/>
            <x v="1494"/>
            <x v="1498"/>
            <x v="1499"/>
            <x v="1517"/>
            <x v="1519"/>
            <x v="1521"/>
            <x v="1527"/>
            <x v="1528"/>
            <x v="1529"/>
            <x v="1536"/>
            <x v="1541"/>
            <x v="1543"/>
            <x v="1554"/>
            <x v="1555"/>
            <x v="1565"/>
            <x v="1571"/>
            <x v="1573"/>
            <x v="1576"/>
            <x v="1577"/>
            <x v="1583"/>
            <x v="1584"/>
            <x v="1585"/>
            <x v="1593"/>
            <x v="1596"/>
          </reference>
        </references>
      </pivotArea>
    </format>
    <format dxfId="162">
      <pivotArea dataOnly="0" labelOnly="1" fieldPosition="0">
        <references count="1">
          <reference field="6" count="50">
            <x v="1603"/>
            <x v="1604"/>
            <x v="1606"/>
            <x v="1607"/>
            <x v="1609"/>
            <x v="1615"/>
            <x v="1616"/>
            <x v="1624"/>
            <x v="1628"/>
            <x v="1629"/>
            <x v="1631"/>
            <x v="1637"/>
            <x v="1638"/>
            <x v="1645"/>
            <x v="1646"/>
            <x v="1648"/>
            <x v="1659"/>
            <x v="1661"/>
            <x v="1665"/>
            <x v="1666"/>
            <x v="1668"/>
            <x v="1670"/>
            <x v="1679"/>
            <x v="1698"/>
            <x v="1700"/>
            <x v="1701"/>
            <x v="1704"/>
            <x v="1710"/>
            <x v="1714"/>
            <x v="1716"/>
            <x v="1721"/>
            <x v="1725"/>
            <x v="1734"/>
            <x v="1745"/>
            <x v="1746"/>
            <x v="1749"/>
            <x v="1750"/>
            <x v="1751"/>
            <x v="1759"/>
            <x v="1768"/>
            <x v="1773"/>
            <x v="1776"/>
            <x v="1777"/>
            <x v="1778"/>
            <x v="1787"/>
            <x v="1790"/>
            <x v="1795"/>
            <x v="1799"/>
            <x v="1801"/>
            <x v="1805"/>
          </reference>
        </references>
      </pivotArea>
    </format>
    <format dxfId="161">
      <pivotArea dataOnly="0" labelOnly="1" fieldPosition="0">
        <references count="1">
          <reference field="6" count="33">
            <x v="1807"/>
            <x v="1813"/>
            <x v="1819"/>
            <x v="1821"/>
            <x v="1822"/>
            <x v="1828"/>
            <x v="1832"/>
            <x v="1837"/>
            <x v="1839"/>
            <x v="1840"/>
            <x v="1843"/>
            <x v="1845"/>
            <x v="1847"/>
            <x v="1850"/>
            <x v="1851"/>
            <x v="1856"/>
            <x v="1867"/>
            <x v="1870"/>
            <x v="1871"/>
            <x v="1872"/>
            <x v="1873"/>
            <x v="1894"/>
            <x v="1895"/>
            <x v="1897"/>
            <x v="1919"/>
            <x v="1921"/>
            <x v="1923"/>
            <x v="1928"/>
            <x v="1933"/>
            <x v="1943"/>
            <x v="1947"/>
            <x v="1948"/>
            <x v="1949"/>
          </reference>
        </references>
      </pivotArea>
    </format>
    <format dxfId="160">
      <pivotArea dataOnly="0" labelOnly="1" grandRow="1" outline="0" fieldPosition="0"/>
    </format>
    <format dxfId="159">
      <pivotArea outline="0" collapsedLevelsAreSubtotals="1" fieldPosition="0"/>
    </format>
    <format dxfId="158">
      <pivotArea dataOnly="0" labelOnly="1" fieldPosition="0">
        <references count="1">
          <reference field="6" count="50">
            <x v="0"/>
            <x v="8"/>
            <x v="11"/>
            <x v="12"/>
            <x v="20"/>
            <x v="24"/>
            <x v="27"/>
            <x v="31"/>
            <x v="38"/>
            <x v="40"/>
            <x v="42"/>
            <x v="45"/>
            <x v="46"/>
            <x v="49"/>
            <x v="54"/>
            <x v="56"/>
            <x v="63"/>
            <x v="67"/>
            <x v="71"/>
            <x v="73"/>
            <x v="79"/>
            <x v="82"/>
            <x v="86"/>
            <x v="87"/>
            <x v="88"/>
            <x v="90"/>
            <x v="99"/>
            <x v="100"/>
            <x v="101"/>
            <x v="112"/>
            <x v="115"/>
            <x v="120"/>
            <x v="123"/>
            <x v="126"/>
            <x v="129"/>
            <x v="131"/>
            <x v="142"/>
            <x v="144"/>
            <x v="146"/>
            <x v="148"/>
            <x v="161"/>
            <x v="163"/>
            <x v="165"/>
            <x v="166"/>
            <x v="168"/>
            <x v="173"/>
            <x v="190"/>
            <x v="200"/>
            <x v="211"/>
            <x v="225"/>
          </reference>
        </references>
      </pivotArea>
    </format>
    <format dxfId="157">
      <pivotArea dataOnly="0" labelOnly="1" fieldPosition="0">
        <references count="1">
          <reference field="6" count="50">
            <x v="226"/>
            <x v="228"/>
            <x v="232"/>
            <x v="235"/>
            <x v="245"/>
            <x v="253"/>
            <x v="254"/>
            <x v="258"/>
            <x v="259"/>
            <x v="262"/>
            <x v="274"/>
            <x v="280"/>
            <x v="284"/>
            <x v="287"/>
            <x v="288"/>
            <x v="289"/>
            <x v="292"/>
            <x v="294"/>
            <x v="295"/>
            <x v="296"/>
            <x v="299"/>
            <x v="304"/>
            <x v="308"/>
            <x v="310"/>
            <x v="312"/>
            <x v="315"/>
            <x v="317"/>
            <x v="318"/>
            <x v="319"/>
            <x v="328"/>
            <x v="330"/>
            <x v="336"/>
            <x v="347"/>
            <x v="350"/>
            <x v="358"/>
            <x v="371"/>
            <x v="375"/>
            <x v="377"/>
            <x v="380"/>
            <x v="388"/>
            <x v="401"/>
            <x v="404"/>
            <x v="407"/>
            <x v="411"/>
            <x v="423"/>
            <x v="424"/>
            <x v="434"/>
            <x v="435"/>
            <x v="436"/>
            <x v="440"/>
          </reference>
        </references>
      </pivotArea>
    </format>
    <format dxfId="156">
      <pivotArea dataOnly="0" labelOnly="1" fieldPosition="0">
        <references count="1">
          <reference field="6" count="50">
            <x v="446"/>
            <x v="453"/>
            <x v="454"/>
            <x v="464"/>
            <x v="465"/>
            <x v="472"/>
            <x v="476"/>
            <x v="477"/>
            <x v="492"/>
            <x v="497"/>
            <x v="513"/>
            <x v="516"/>
            <x v="517"/>
            <x v="520"/>
            <x v="527"/>
            <x v="531"/>
            <x v="532"/>
            <x v="537"/>
            <x v="544"/>
            <x v="545"/>
            <x v="549"/>
            <x v="556"/>
            <x v="564"/>
            <x v="567"/>
            <x v="571"/>
            <x v="572"/>
            <x v="573"/>
            <x v="576"/>
            <x v="585"/>
            <x v="601"/>
            <x v="603"/>
            <x v="610"/>
            <x v="612"/>
            <x v="617"/>
            <x v="618"/>
            <x v="619"/>
            <x v="620"/>
            <x v="622"/>
            <x v="624"/>
            <x v="626"/>
            <x v="628"/>
            <x v="631"/>
            <x v="638"/>
            <x v="639"/>
            <x v="654"/>
            <x v="655"/>
            <x v="657"/>
            <x v="666"/>
            <x v="670"/>
            <x v="677"/>
          </reference>
        </references>
      </pivotArea>
    </format>
    <format dxfId="155">
      <pivotArea dataOnly="0" labelOnly="1" fieldPosition="0">
        <references count="1">
          <reference field="6" count="50">
            <x v="682"/>
            <x v="683"/>
            <x v="685"/>
            <x v="687"/>
            <x v="690"/>
            <x v="698"/>
            <x v="700"/>
            <x v="705"/>
            <x v="722"/>
            <x v="724"/>
            <x v="727"/>
            <x v="739"/>
            <x v="742"/>
            <x v="744"/>
            <x v="751"/>
            <x v="757"/>
            <x v="758"/>
            <x v="759"/>
            <x v="770"/>
            <x v="771"/>
            <x v="775"/>
            <x v="783"/>
            <x v="785"/>
            <x v="790"/>
            <x v="791"/>
            <x v="794"/>
            <x v="797"/>
            <x v="798"/>
            <x v="801"/>
            <x v="804"/>
            <x v="806"/>
            <x v="809"/>
            <x v="812"/>
            <x v="821"/>
            <x v="826"/>
            <x v="830"/>
            <x v="836"/>
            <x v="838"/>
            <x v="839"/>
            <x v="844"/>
            <x v="846"/>
            <x v="847"/>
            <x v="852"/>
            <x v="855"/>
            <x v="859"/>
            <x v="862"/>
            <x v="873"/>
            <x v="878"/>
            <x v="880"/>
            <x v="890"/>
          </reference>
        </references>
      </pivotArea>
    </format>
    <format dxfId="154">
      <pivotArea dataOnly="0" labelOnly="1" fieldPosition="0">
        <references count="1">
          <reference field="6" count="50">
            <x v="894"/>
            <x v="900"/>
            <x v="901"/>
            <x v="911"/>
            <x v="912"/>
            <x v="913"/>
            <x v="916"/>
            <x v="921"/>
            <x v="935"/>
            <x v="943"/>
            <x v="945"/>
            <x v="949"/>
            <x v="953"/>
            <x v="969"/>
            <x v="974"/>
            <x v="976"/>
            <x v="978"/>
            <x v="981"/>
            <x v="984"/>
            <x v="986"/>
            <x v="999"/>
            <x v="1001"/>
            <x v="1013"/>
            <x v="1015"/>
            <x v="1020"/>
            <x v="1029"/>
            <x v="1033"/>
            <x v="1037"/>
            <x v="1040"/>
            <x v="1046"/>
            <x v="1051"/>
            <x v="1066"/>
            <x v="1069"/>
            <x v="1070"/>
            <x v="1075"/>
            <x v="1082"/>
            <x v="1083"/>
            <x v="1086"/>
            <x v="1092"/>
            <x v="1095"/>
            <x v="1102"/>
            <x v="1104"/>
            <x v="1106"/>
            <x v="1116"/>
            <x v="1117"/>
            <x v="1121"/>
            <x v="1122"/>
            <x v="1128"/>
            <x v="1132"/>
            <x v="1148"/>
          </reference>
        </references>
      </pivotArea>
    </format>
    <format dxfId="153">
      <pivotArea dataOnly="0" labelOnly="1" fieldPosition="0">
        <references count="1">
          <reference field="6" count="50">
            <x v="1149"/>
            <x v="1151"/>
            <x v="1153"/>
            <x v="1161"/>
            <x v="1163"/>
            <x v="1165"/>
            <x v="1172"/>
            <x v="1174"/>
            <x v="1184"/>
            <x v="1194"/>
            <x v="1196"/>
            <x v="1199"/>
            <x v="1202"/>
            <x v="1224"/>
            <x v="1226"/>
            <x v="1227"/>
            <x v="1234"/>
            <x v="1235"/>
            <x v="1247"/>
            <x v="1266"/>
            <x v="1267"/>
            <x v="1269"/>
            <x v="1273"/>
            <x v="1276"/>
            <x v="1279"/>
            <x v="1280"/>
            <x v="1282"/>
            <x v="1285"/>
            <x v="1294"/>
            <x v="1299"/>
            <x v="1301"/>
            <x v="1307"/>
            <x v="1310"/>
            <x v="1314"/>
            <x v="1319"/>
            <x v="1321"/>
            <x v="1323"/>
            <x v="1325"/>
            <x v="1326"/>
            <x v="1328"/>
            <x v="1331"/>
            <x v="1340"/>
            <x v="1342"/>
            <x v="1347"/>
            <x v="1350"/>
            <x v="1351"/>
            <x v="1353"/>
            <x v="1354"/>
            <x v="1357"/>
            <x v="1358"/>
          </reference>
        </references>
      </pivotArea>
    </format>
    <format dxfId="152">
      <pivotArea dataOnly="0" labelOnly="1" fieldPosition="0">
        <references count="1">
          <reference field="6" count="50">
            <x v="1359"/>
            <x v="1367"/>
            <x v="1379"/>
            <x v="1393"/>
            <x v="1399"/>
            <x v="1400"/>
            <x v="1405"/>
            <x v="1406"/>
            <x v="1411"/>
            <x v="1412"/>
            <x v="1418"/>
            <x v="1420"/>
            <x v="1433"/>
            <x v="1436"/>
            <x v="1439"/>
            <x v="1443"/>
            <x v="1447"/>
            <x v="1449"/>
            <x v="1452"/>
            <x v="1459"/>
            <x v="1464"/>
            <x v="1473"/>
            <x v="1482"/>
            <x v="1484"/>
            <x v="1487"/>
            <x v="1489"/>
            <x v="1494"/>
            <x v="1498"/>
            <x v="1499"/>
            <x v="1517"/>
            <x v="1519"/>
            <x v="1521"/>
            <x v="1527"/>
            <x v="1528"/>
            <x v="1529"/>
            <x v="1536"/>
            <x v="1541"/>
            <x v="1543"/>
            <x v="1554"/>
            <x v="1555"/>
            <x v="1565"/>
            <x v="1571"/>
            <x v="1573"/>
            <x v="1576"/>
            <x v="1577"/>
            <x v="1583"/>
            <x v="1584"/>
            <x v="1585"/>
            <x v="1593"/>
            <x v="1596"/>
          </reference>
        </references>
      </pivotArea>
    </format>
    <format dxfId="151">
      <pivotArea dataOnly="0" labelOnly="1" fieldPosition="0">
        <references count="1">
          <reference field="6" count="50">
            <x v="1603"/>
            <x v="1604"/>
            <x v="1606"/>
            <x v="1607"/>
            <x v="1609"/>
            <x v="1615"/>
            <x v="1616"/>
            <x v="1624"/>
            <x v="1628"/>
            <x v="1629"/>
            <x v="1631"/>
            <x v="1637"/>
            <x v="1638"/>
            <x v="1645"/>
            <x v="1646"/>
            <x v="1648"/>
            <x v="1659"/>
            <x v="1661"/>
            <x v="1665"/>
            <x v="1666"/>
            <x v="1668"/>
            <x v="1670"/>
            <x v="1679"/>
            <x v="1698"/>
            <x v="1700"/>
            <x v="1701"/>
            <x v="1704"/>
            <x v="1710"/>
            <x v="1714"/>
            <x v="1716"/>
            <x v="1721"/>
            <x v="1725"/>
            <x v="1734"/>
            <x v="1745"/>
            <x v="1746"/>
            <x v="1749"/>
            <x v="1750"/>
            <x v="1751"/>
            <x v="1759"/>
            <x v="1768"/>
            <x v="1773"/>
            <x v="1776"/>
            <x v="1777"/>
            <x v="1778"/>
            <x v="1787"/>
            <x v="1790"/>
            <x v="1795"/>
            <x v="1799"/>
            <x v="1801"/>
            <x v="1805"/>
          </reference>
        </references>
      </pivotArea>
    </format>
    <format dxfId="150">
      <pivotArea dataOnly="0" labelOnly="1" fieldPosition="0">
        <references count="1">
          <reference field="6" count="33">
            <x v="1807"/>
            <x v="1813"/>
            <x v="1819"/>
            <x v="1821"/>
            <x v="1822"/>
            <x v="1828"/>
            <x v="1832"/>
            <x v="1837"/>
            <x v="1839"/>
            <x v="1840"/>
            <x v="1843"/>
            <x v="1845"/>
            <x v="1847"/>
            <x v="1850"/>
            <x v="1851"/>
            <x v="1856"/>
            <x v="1867"/>
            <x v="1870"/>
            <x v="1871"/>
            <x v="1872"/>
            <x v="1873"/>
            <x v="1894"/>
            <x v="1895"/>
            <x v="1897"/>
            <x v="1919"/>
            <x v="1921"/>
            <x v="1923"/>
            <x v="1928"/>
            <x v="1933"/>
            <x v="1943"/>
            <x v="1947"/>
            <x v="1948"/>
            <x v="1949"/>
          </reference>
        </references>
      </pivotArea>
    </format>
    <format dxfId="1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2137" totalsRowShown="0" headerRowDxfId="1607" dataDxfId="1606">
  <autoFilter ref="A1:X2137"/>
  <sortState ref="A2:X6760">
    <sortCondition ref="G1:G6760"/>
  </sortState>
  <tableColumns count="24">
    <tableColumn id="1" name="Nº Operación" dataDxfId="1605"/>
    <tableColumn id="2" name="Fase" dataDxfId="1604"/>
    <tableColumn id="3" name="Fecha" dataDxfId="1603"/>
    <tableColumn id="4" name="Referencia" dataDxfId="1602"/>
    <tableColumn id="5" name="Aplicación" dataDxfId="1601"/>
    <tableColumn id="6" name="Importe" dataDxfId="1600"/>
    <tableColumn id="8" name="Nombre Ter." dataDxfId="1599"/>
    <tableColumn id="9" name="Texto Libre" dataDxfId="1598"/>
    <tableColumn id="10" name="Oper." dataDxfId="1597"/>
    <tableColumn id="11" name="Localidad" dataDxfId="1596"/>
    <tableColumn id="12" name="Provincia" dataDxfId="1595"/>
    <tableColumn id="13" name="Tipo Contrato" dataDxfId="1594"/>
    <tableColumn id="14" name="Procedim. Contrato" dataDxfId="1593"/>
    <tableColumn id="15" name="Criterio Contrato" dataDxfId="1592"/>
    <tableColumn id="27" name="PROCEDIMIENTO" dataDxfId="1591"/>
    <tableColumn id="21" name="TRIMESTRE" dataDxfId="1590"/>
    <tableColumn id="24" name="CAPITULO" dataDxfId="1589">
      <calculatedColumnFormula>MID(Tabla1[[#This Row],[Aplicación]],14,1)</calculatedColumnFormula>
    </tableColumn>
    <tableColumn id="23" name="CAPITULO EN TEXTO" dataDxfId="1588">
      <calculatedColumnFormula>VLOOKUP(Tabla1[[#This Row],[CAPITULO]],Hoja1!A1:B11,2,FALSE)</calculatedColumnFormula>
    </tableColumn>
    <tableColumn id="16" name="AREA" dataDxfId="1587">
      <calculatedColumnFormula>MID(Tabla1[[#This Row],[Aplicación]],6,2)</calculatedColumnFormula>
    </tableColumn>
    <tableColumn id="17" name="AREA EN TEXTO" dataDxfId="1586" totalsRowDxfId="1585">
      <calculatedColumnFormula>VLOOKUP(Tabla1[[#This Row],[AREA]],Hoja1!A:B,2,FALSE)</calculatedColumnFormula>
    </tableColumn>
    <tableColumn id="18" name="PROGRAMA" dataDxfId="1584" totalsRowDxfId="1583">
      <calculatedColumnFormula>MID(Tabla1[[#This Row],[Aplicación]],9,4)</calculatedColumnFormula>
    </tableColumn>
    <tableColumn id="19" name="PROGRAMA EN TEXTO" dataDxfId="1582" totalsRowDxfId="1581">
      <calculatedColumnFormula>VLOOKUP(Tabla1[[#This Row],[PROGRAMA]],Hoja1!A:B,2,FALSE)</calculatedColumnFormula>
    </tableColumn>
    <tableColumn id="25" name="ARTICULO" dataDxfId="1580" totalsRowDxfId="1579">
      <calculatedColumnFormula>MID(Tabla1[[#This Row],[Aplicación]],14,2)</calculatedColumnFormula>
    </tableColumn>
    <tableColumn id="20" name="CONCEPTO" dataDxfId="1578" totalsRowDxfId="1577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264" totalsRowShown="0" headerRowDxfId="148" dataDxfId="146" totalsRowDxfId="144" headerRowBorderDxfId="147" tableBorderDxfId="145" totalsRowBorderDxfId="143">
  <autoFilter ref="A1:M264"/>
  <sortState ref="A2:M264">
    <sortCondition ref="A1:A264"/>
  </sortState>
  <tableColumns count="13">
    <tableColumn id="1" name="CONTRATACION MENOR / SERVICIOS / PRIMER TRIMESTRE 2022" dataDxfId="142" totalsRowDxfId="141"/>
    <tableColumn id="2" name="01. Alcaldía" dataDxfId="140" totalsRowDxfId="139"/>
    <tableColumn id="3" name="02. Planeamiento urbanístico y vivienda" dataDxfId="138" totalsRowDxfId="137"/>
    <tableColumn id="4" name="03. Participación ciudadana y deportes" dataDxfId="136" totalsRowDxfId="135"/>
    <tableColumn id="5" name="04. Planificación y recursos" dataDxfId="134" totalsRowDxfId="133"/>
    <tableColumn id="6" name="05. Innovación, desarrollo económico, empleo y comercio" dataDxfId="132" totalsRowDxfId="131"/>
    <tableColumn id="7" name="06. Educación, infancia, juventud e igualdad" dataDxfId="130" totalsRowDxfId="129"/>
    <tableColumn id="8" name="07. Medio ambiente y desarrollo sostenible" dataDxfId="128" totalsRowDxfId="127"/>
    <tableColumn id="9" name="08. Movilidad y espacio urbano" dataDxfId="126" totalsRowDxfId="125"/>
    <tableColumn id="10" name="09. Cultura y turismo" dataDxfId="124" totalsRowDxfId="123"/>
    <tableColumn id="11" name="10. Servicios sociales y mediación comunitaria" dataDxfId="122" totalsRowDxfId="121"/>
    <tableColumn id="12" name="11. Salud pública y seguridad ciudadana" dataDxfId="120" totalsRowDxfId="119"/>
    <tableColumn id="13" name="Total general" dataDxfId="118" totalsRowDxfId="117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178" totalsRowShown="0" headerRowDxfId="116" dataDxfId="114" totalsRowDxfId="112" headerRowBorderDxfId="115" tableBorderDxfId="113" totalsRowBorderDxfId="111">
  <autoFilter ref="A1:M178"/>
  <sortState ref="A2:M178">
    <sortCondition ref="A1:A178"/>
  </sortState>
  <tableColumns count="13">
    <tableColumn id="1" name="CONTRATACION MENOR / SUMINISTROS / PRIMER TRIMESTRE 2022" dataDxfId="110" totalsRowDxfId="109"/>
    <tableColumn id="2" name="01. Alcaldía" dataDxfId="108" totalsRowDxfId="107"/>
    <tableColumn id="3" name="02. Planeamiento urbanístico y vivienda" dataDxfId="106" totalsRowDxfId="105"/>
    <tableColumn id="4" name="03. Participación ciudadana y deportes" dataDxfId="104" totalsRowDxfId="103"/>
    <tableColumn id="5" name="04. Planificación y recursos" dataDxfId="102" totalsRowDxfId="101"/>
    <tableColumn id="6" name="05. Innovación, desarrollo económico, empleo y comercio" dataDxfId="100" totalsRowDxfId="99"/>
    <tableColumn id="7" name="06. Educación, infancia, juventud e igualdad" dataDxfId="98" totalsRowDxfId="97"/>
    <tableColumn id="8" name="07. Medio ambiente y desarrollo sostenible" dataDxfId="96" totalsRowDxfId="95"/>
    <tableColumn id="9" name="08. Movilidad y espacio urbano" dataDxfId="94" totalsRowDxfId="93"/>
    <tableColumn id="10" name="09. Cultura y turismo" dataDxfId="92" totalsRowDxfId="91"/>
    <tableColumn id="11" name="10. Servicios sociales y mediación comunitaria" dataDxfId="90" totalsRowDxfId="89"/>
    <tableColumn id="12" name="11. Salud pública y seguridad ciudadana" dataDxfId="88" totalsRowDxfId="87"/>
    <tableColumn id="13" name="Total general" dataDxfId="86" totalsRowDxfId="85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19" totalsRowShown="0" headerRowDxfId="84" dataDxfId="82" totalsRowDxfId="80" headerRowBorderDxfId="83" tableBorderDxfId="81" totalsRowBorderDxfId="79">
  <autoFilter ref="A1:M19"/>
  <sortState ref="A2:M19">
    <sortCondition ref="A1:A19"/>
  </sortState>
  <tableColumns count="13">
    <tableColumn id="1" name="CONTRATACION MENOR / OBRAS / PRIMER TRIMESTRE 2022" dataDxfId="78"/>
    <tableColumn id="2" name="01. Alcaldía" dataDxfId="77"/>
    <tableColumn id="3" name="02. Planeamiento urbanístico y vivienda" dataDxfId="76"/>
    <tableColumn id="4" name="03. Participación ciudadana y deportes" dataDxfId="75" totalsRowDxfId="74"/>
    <tableColumn id="5" name="04. Planificación y recursos" dataDxfId="73" totalsRowDxfId="72"/>
    <tableColumn id="6" name="05. Innovación, desarrollo económico, empleo y comercio" dataDxfId="71"/>
    <tableColumn id="7" name="06. Educación, infancia, juventud e igualdad" dataDxfId="70"/>
    <tableColumn id="8" name="07. Medio ambiente y desarrollo sostenible" dataDxfId="69"/>
    <tableColumn id="9" name="08. Movilidad y espacio urbano" dataDxfId="68"/>
    <tableColumn id="10" name="09. Cultura y turismo" dataDxfId="67"/>
    <tableColumn id="11" name="10. Servicios sociales y mediación comunitaria" dataDxfId="66"/>
    <tableColumn id="12" name="11. Salud pública y seguridad ciudadana" dataDxfId="65"/>
    <tableColumn id="13" name="Total general" dataDxfId="64" totalsRowDxfId="63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2" totalsRowShown="0" headerRowDxfId="62" dataDxfId="60" totalsRowDxfId="58" headerRowBorderDxfId="61" tableBorderDxfId="59" totalsRowBorderDxfId="57">
  <autoFilter ref="A1:M2"/>
  <sortState ref="A2:M4">
    <sortCondition ref="A1:A4"/>
  </sortState>
  <tableColumns count="13">
    <tableColumn id="1" name="CONTRATACION MENOR / MIXTOS / PRIMR TRIMESTRE 2022" dataDxfId="56" totalsRowDxfId="55"/>
    <tableColumn id="2" name="01. Alcaldía" dataDxfId="54" totalsRowDxfId="53"/>
    <tableColumn id="3" name="02. Planeamiento urbanístico y vivienda" dataDxfId="52" totalsRowDxfId="51"/>
    <tableColumn id="4" name="03. Participación ciudadana y deportes" dataDxfId="50" totalsRowDxfId="49"/>
    <tableColumn id="5" name="04. Planificación y recursos" dataDxfId="48" totalsRowDxfId="47"/>
    <tableColumn id="6" name="05. Innovación, desarrollo económico, empleo y comercio" dataDxfId="46" totalsRowDxfId="45"/>
    <tableColumn id="7" name="06. Educación, infancia, juventud e igualdad" dataDxfId="44" totalsRowDxfId="43"/>
    <tableColumn id="8" name="07. Medio ambiente y desarrollo sostenible" dataDxfId="42" totalsRowDxfId="41"/>
    <tableColumn id="9" name="08. Movilidad y espacio urbano" dataDxfId="40" totalsRowDxfId="39"/>
    <tableColumn id="10" name="09. Cultura y turismo" dataDxfId="38" totalsRowDxfId="37"/>
    <tableColumn id="11" name="10. Servicios sociales y mediación comunitaria" dataDxfId="36" totalsRowDxfId="35"/>
    <tableColumn id="12" name="11. Salud pública y seguridad ciudadana" dataDxfId="34" totalsRowDxfId="33"/>
    <tableColumn id="13" name="Total general" dataDxfId="32" totalsRowDxfId="31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15" totalsRowShown="0" headerRowDxfId="30" dataDxfId="28" totalsRowDxfId="26" headerRowBorderDxfId="29" tableBorderDxfId="27" totalsRowBorderDxfId="25">
  <autoFilter ref="A1:M15"/>
  <sortState ref="A2:M15">
    <sortCondition ref="A1:A15"/>
  </sortState>
  <tableColumns count="13">
    <tableColumn id="1" name="CONTRATACION MENOR / OTROS / PRIMER TRIMESTRE 2022" dataDxfId="24"/>
    <tableColumn id="2" name="01. Alcaldía" dataDxfId="23" totalsRowDxfId="22"/>
    <tableColumn id="3" name="02. Planeamiento urbanístico y vivienda" dataDxfId="21" totalsRowDxfId="20"/>
    <tableColumn id="4" name="03. Participación ciudadana y deportes" dataDxfId="19" totalsRowDxfId="18"/>
    <tableColumn id="5" name="04. Planificación y recursos" dataDxfId="17" totalsRowDxfId="16"/>
    <tableColumn id="6" name="05. Innovación, desarrollo económico, empleo y comercio" dataDxfId="15" totalsRowDxfId="14"/>
    <tableColumn id="7" name="06. Educación, infancia, juventud e igualdad" dataDxfId="13" totalsRowDxfId="12"/>
    <tableColumn id="8" name="07. Medio ambiente y desarrollo sostenible" dataDxfId="11" totalsRowDxfId="10"/>
    <tableColumn id="9" name="08. Movilidad y espacio urbano" dataDxfId="9" totalsRowDxfId="8"/>
    <tableColumn id="10" name="09. Cultura y turismo" dataDxfId="7" totalsRowDxfId="6"/>
    <tableColumn id="11" name="10. Servicios sociales y mediación comunitaria" dataDxfId="5" totalsRowDxfId="4"/>
    <tableColumn id="12" name="11. Salud pública y seguridad ciudadana" dataDxfId="3" totalsRowDxfId="2"/>
    <tableColumn id="13" name="Total general" dataDxfId="1" totalsRowDxfId="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1"/>
  <sheetViews>
    <sheetView workbookViewId="0">
      <selection activeCell="G18" sqref="G18"/>
    </sheetView>
  </sheetViews>
  <sheetFormatPr baseColWidth="10" defaultRowHeight="15" x14ac:dyDescent="0.25"/>
  <cols>
    <col min="1" max="1" width="7.140625" style="1" bestFit="1" customWidth="1"/>
    <col min="2" max="2" width="78.140625" style="2" bestFit="1" customWidth="1"/>
  </cols>
  <sheetData>
    <row r="1" spans="1:2" x14ac:dyDescent="0.25">
      <c r="A1" s="1" t="s">
        <v>266</v>
      </c>
      <c r="B1" s="2" t="s">
        <v>267</v>
      </c>
    </row>
    <row r="2" spans="1:2" x14ac:dyDescent="0.25">
      <c r="A2" s="1" t="s">
        <v>268</v>
      </c>
      <c r="B2" s="2" t="s">
        <v>624</v>
      </c>
    </row>
    <row r="3" spans="1:2" x14ac:dyDescent="0.25">
      <c r="A3" s="1" t="s">
        <v>269</v>
      </c>
      <c r="B3" s="2" t="s">
        <v>625</v>
      </c>
    </row>
    <row r="4" spans="1:2" x14ac:dyDescent="0.25">
      <c r="A4" s="1" t="s">
        <v>270</v>
      </c>
      <c r="B4" s="2" t="s">
        <v>626</v>
      </c>
    </row>
    <row r="5" spans="1:2" x14ac:dyDescent="0.25">
      <c r="A5" s="1" t="s">
        <v>603</v>
      </c>
      <c r="B5" s="2" t="s">
        <v>604</v>
      </c>
    </row>
    <row r="6" spans="1:2" x14ac:dyDescent="0.25">
      <c r="A6" s="1" t="s">
        <v>271</v>
      </c>
      <c r="B6" s="2" t="s">
        <v>627</v>
      </c>
    </row>
    <row r="7" spans="1:2" x14ac:dyDescent="0.25">
      <c r="A7" s="1" t="s">
        <v>272</v>
      </c>
      <c r="B7" s="2" t="s">
        <v>628</v>
      </c>
    </row>
    <row r="8" spans="1:2" x14ac:dyDescent="0.25">
      <c r="A8" s="1" t="s">
        <v>273</v>
      </c>
      <c r="B8" s="2" t="s">
        <v>629</v>
      </c>
    </row>
    <row r="9" spans="1:2" x14ac:dyDescent="0.25">
      <c r="A9" s="1" t="s">
        <v>274</v>
      </c>
      <c r="B9" s="2" t="s">
        <v>275</v>
      </c>
    </row>
    <row r="10" spans="1:2" x14ac:dyDescent="0.25">
      <c r="A10" s="1" t="s">
        <v>276</v>
      </c>
      <c r="B10" s="2" t="s">
        <v>630</v>
      </c>
    </row>
    <row r="11" spans="1:2" x14ac:dyDescent="0.25">
      <c r="A11" s="1" t="s">
        <v>605</v>
      </c>
      <c r="B11" s="2" t="s">
        <v>602</v>
      </c>
    </row>
    <row r="12" spans="1:2" x14ac:dyDescent="0.25">
      <c r="A12" s="1">
        <v>1501</v>
      </c>
      <c r="B12" s="2" t="s">
        <v>277</v>
      </c>
    </row>
    <row r="13" spans="1:2" x14ac:dyDescent="0.25">
      <c r="A13" s="1">
        <v>1511</v>
      </c>
      <c r="B13" s="2" t="s">
        <v>278</v>
      </c>
    </row>
    <row r="14" spans="1:2" x14ac:dyDescent="0.25">
      <c r="A14" s="1">
        <v>1512</v>
      </c>
      <c r="B14" s="2" t="s">
        <v>279</v>
      </c>
    </row>
    <row r="15" spans="1:2" x14ac:dyDescent="0.25">
      <c r="A15" s="1" t="s">
        <v>610</v>
      </c>
      <c r="B15" s="2" t="s">
        <v>609</v>
      </c>
    </row>
    <row r="16" spans="1:2" x14ac:dyDescent="0.25">
      <c r="A16" s="1">
        <v>1532</v>
      </c>
      <c r="B16" s="2" t="s">
        <v>280</v>
      </c>
    </row>
    <row r="17" spans="1:2" x14ac:dyDescent="0.25">
      <c r="A17" s="1">
        <v>1651</v>
      </c>
      <c r="B17" s="2" t="s">
        <v>281</v>
      </c>
    </row>
    <row r="18" spans="1:2" x14ac:dyDescent="0.25">
      <c r="A18" s="1">
        <v>2314</v>
      </c>
      <c r="B18" s="2" t="s">
        <v>282</v>
      </c>
    </row>
    <row r="19" spans="1:2" x14ac:dyDescent="0.25">
      <c r="A19" s="1" t="s">
        <v>612</v>
      </c>
      <c r="B19" s="2" t="s">
        <v>611</v>
      </c>
    </row>
    <row r="20" spans="1:2" x14ac:dyDescent="0.25">
      <c r="A20" s="1">
        <v>2411</v>
      </c>
      <c r="B20" s="2" t="s">
        <v>283</v>
      </c>
    </row>
    <row r="21" spans="1:2" x14ac:dyDescent="0.25">
      <c r="A21" s="1">
        <v>3121</v>
      </c>
      <c r="B21" s="2" t="s">
        <v>284</v>
      </c>
    </row>
    <row r="22" spans="1:2" x14ac:dyDescent="0.25">
      <c r="A22" s="1">
        <v>3411</v>
      </c>
      <c r="B22" s="2" t="s">
        <v>285</v>
      </c>
    </row>
    <row r="23" spans="1:2" x14ac:dyDescent="0.25">
      <c r="A23" s="1" t="s">
        <v>614</v>
      </c>
      <c r="B23" s="2" t="s">
        <v>613</v>
      </c>
    </row>
    <row r="24" spans="1:2" x14ac:dyDescent="0.25">
      <c r="A24" s="1">
        <v>4314</v>
      </c>
      <c r="B24" s="2" t="s">
        <v>286</v>
      </c>
    </row>
    <row r="25" spans="1:2" x14ac:dyDescent="0.25">
      <c r="A25" s="1" t="s">
        <v>616</v>
      </c>
      <c r="B25" s="2" t="s">
        <v>615</v>
      </c>
    </row>
    <row r="26" spans="1:2" x14ac:dyDescent="0.25">
      <c r="A26" s="1" t="s">
        <v>608</v>
      </c>
      <c r="B26" s="2" t="s">
        <v>607</v>
      </c>
    </row>
    <row r="27" spans="1:2" x14ac:dyDescent="0.25">
      <c r="A27" s="1">
        <v>4911</v>
      </c>
      <c r="B27" s="2" t="s">
        <v>287</v>
      </c>
    </row>
    <row r="28" spans="1:2" x14ac:dyDescent="0.25">
      <c r="A28" s="1">
        <v>9121</v>
      </c>
      <c r="B28" s="2" t="s">
        <v>288</v>
      </c>
    </row>
    <row r="29" spans="1:2" x14ac:dyDescent="0.25">
      <c r="A29" s="1">
        <v>9200</v>
      </c>
      <c r="B29" s="2" t="s">
        <v>289</v>
      </c>
    </row>
    <row r="30" spans="1:2" x14ac:dyDescent="0.25">
      <c r="A30" s="1">
        <v>9201</v>
      </c>
      <c r="B30" s="2" t="s">
        <v>290</v>
      </c>
    </row>
    <row r="31" spans="1:2" x14ac:dyDescent="0.25">
      <c r="A31" s="1">
        <v>9202</v>
      </c>
      <c r="B31" s="2" t="s">
        <v>291</v>
      </c>
    </row>
    <row r="32" spans="1:2" x14ac:dyDescent="0.25">
      <c r="A32" s="1">
        <v>9203</v>
      </c>
      <c r="B32" s="2" t="s">
        <v>292</v>
      </c>
    </row>
    <row r="33" spans="1:2" x14ac:dyDescent="0.25">
      <c r="A33" s="1">
        <v>9204</v>
      </c>
      <c r="B33" s="2" t="s">
        <v>293</v>
      </c>
    </row>
    <row r="34" spans="1:2" x14ac:dyDescent="0.25">
      <c r="A34" s="1">
        <v>9205</v>
      </c>
      <c r="B34" s="2" t="s">
        <v>294</v>
      </c>
    </row>
    <row r="35" spans="1:2" x14ac:dyDescent="0.25">
      <c r="A35" s="1">
        <v>9206</v>
      </c>
      <c r="B35" s="2" t="s">
        <v>295</v>
      </c>
    </row>
    <row r="36" spans="1:2" x14ac:dyDescent="0.25">
      <c r="A36" s="1">
        <v>9207</v>
      </c>
      <c r="B36" s="2" t="s">
        <v>296</v>
      </c>
    </row>
    <row r="37" spans="1:2" x14ac:dyDescent="0.25">
      <c r="A37" s="1">
        <v>9209</v>
      </c>
      <c r="B37" s="2" t="s">
        <v>297</v>
      </c>
    </row>
    <row r="38" spans="1:2" x14ac:dyDescent="0.25">
      <c r="A38" s="1">
        <v>9231</v>
      </c>
      <c r="B38" s="2" t="s">
        <v>298</v>
      </c>
    </row>
    <row r="39" spans="1:2" x14ac:dyDescent="0.25">
      <c r="A39" s="1">
        <v>9241</v>
      </c>
      <c r="B39" s="2" t="s">
        <v>299</v>
      </c>
    </row>
    <row r="40" spans="1:2" x14ac:dyDescent="0.25">
      <c r="A40" s="1">
        <v>9291</v>
      </c>
      <c r="B40" s="2" t="s">
        <v>300</v>
      </c>
    </row>
    <row r="41" spans="1:2" x14ac:dyDescent="0.25">
      <c r="A41" s="1">
        <v>9311</v>
      </c>
      <c r="B41" s="2" t="s">
        <v>301</v>
      </c>
    </row>
    <row r="42" spans="1:2" x14ac:dyDescent="0.25">
      <c r="A42" s="1" t="s">
        <v>606</v>
      </c>
      <c r="B42" s="2" t="s">
        <v>302</v>
      </c>
    </row>
    <row r="43" spans="1:2" x14ac:dyDescent="0.25">
      <c r="A43" s="1">
        <v>9321</v>
      </c>
      <c r="B43" s="2" t="s">
        <v>303</v>
      </c>
    </row>
    <row r="44" spans="1:2" x14ac:dyDescent="0.25">
      <c r="A44" s="1">
        <v>9331</v>
      </c>
      <c r="B44" s="2" t="s">
        <v>304</v>
      </c>
    </row>
    <row r="45" spans="1:2" x14ac:dyDescent="0.25">
      <c r="A45" s="1">
        <v>9332</v>
      </c>
      <c r="B45" s="2" t="s">
        <v>305</v>
      </c>
    </row>
    <row r="46" spans="1:2" x14ac:dyDescent="0.25">
      <c r="A46" s="1">
        <v>9333</v>
      </c>
      <c r="B46" s="2" t="s">
        <v>619</v>
      </c>
    </row>
    <row r="47" spans="1:2" x14ac:dyDescent="0.25">
      <c r="A47" s="1" t="s">
        <v>617</v>
      </c>
      <c r="B47" s="2" t="s">
        <v>618</v>
      </c>
    </row>
    <row r="48" spans="1:2" x14ac:dyDescent="0.25">
      <c r="A48" s="1">
        <v>9341</v>
      </c>
      <c r="B48" s="2" t="s">
        <v>307</v>
      </c>
    </row>
    <row r="49" spans="1:2" x14ac:dyDescent="0.25">
      <c r="A49" s="1" t="s">
        <v>308</v>
      </c>
      <c r="B49" s="2" t="s">
        <v>309</v>
      </c>
    </row>
    <row r="50" spans="1:2" x14ac:dyDescent="0.25">
      <c r="A50" s="1" t="s">
        <v>310</v>
      </c>
      <c r="B50" s="2" t="s">
        <v>311</v>
      </c>
    </row>
    <row r="51" spans="1:2" x14ac:dyDescent="0.25">
      <c r="A51" s="1" t="s">
        <v>312</v>
      </c>
      <c r="B51" s="2" t="s">
        <v>313</v>
      </c>
    </row>
    <row r="52" spans="1:2" x14ac:dyDescent="0.25">
      <c r="A52" s="1" t="s">
        <v>314</v>
      </c>
      <c r="B52" s="2" t="s">
        <v>315</v>
      </c>
    </row>
    <row r="53" spans="1:2" x14ac:dyDescent="0.25">
      <c r="A53" s="1" t="s">
        <v>316</v>
      </c>
      <c r="B53" s="2" t="s">
        <v>317</v>
      </c>
    </row>
    <row r="54" spans="1:2" x14ac:dyDescent="0.25">
      <c r="A54" s="1" t="s">
        <v>318</v>
      </c>
      <c r="B54" s="2" t="s">
        <v>319</v>
      </c>
    </row>
    <row r="55" spans="1:2" x14ac:dyDescent="0.25">
      <c r="A55" s="1" t="s">
        <v>320</v>
      </c>
      <c r="B55" s="2" t="s">
        <v>277</v>
      </c>
    </row>
    <row r="56" spans="1:2" x14ac:dyDescent="0.25">
      <c r="A56" s="1" t="s">
        <v>321</v>
      </c>
      <c r="B56" s="2" t="s">
        <v>278</v>
      </c>
    </row>
    <row r="57" spans="1:2" x14ac:dyDescent="0.25">
      <c r="A57" s="1" t="s">
        <v>322</v>
      </c>
      <c r="B57" s="2" t="s">
        <v>279</v>
      </c>
    </row>
    <row r="58" spans="1:2" x14ac:dyDescent="0.25">
      <c r="A58" s="1" t="s">
        <v>323</v>
      </c>
      <c r="B58" s="2" t="s">
        <v>280</v>
      </c>
    </row>
    <row r="59" spans="1:2" x14ac:dyDescent="0.25">
      <c r="A59" s="1" t="s">
        <v>324</v>
      </c>
      <c r="B59" s="2" t="s">
        <v>325</v>
      </c>
    </row>
    <row r="60" spans="1:2" x14ac:dyDescent="0.25">
      <c r="A60" s="1" t="s">
        <v>326</v>
      </c>
      <c r="B60" s="2" t="s">
        <v>327</v>
      </c>
    </row>
    <row r="61" spans="1:2" x14ac:dyDescent="0.25">
      <c r="A61" s="1" t="s">
        <v>328</v>
      </c>
      <c r="B61" s="2" t="s">
        <v>329</v>
      </c>
    </row>
    <row r="62" spans="1:2" x14ac:dyDescent="0.25">
      <c r="A62" s="1" t="s">
        <v>330</v>
      </c>
      <c r="B62" s="2" t="s">
        <v>281</v>
      </c>
    </row>
    <row r="63" spans="1:2" x14ac:dyDescent="0.25">
      <c r="A63" s="1" t="s">
        <v>331</v>
      </c>
      <c r="B63" s="2" t="s">
        <v>332</v>
      </c>
    </row>
    <row r="64" spans="1:2" x14ac:dyDescent="0.25">
      <c r="A64" s="1" t="s">
        <v>333</v>
      </c>
      <c r="B64" s="2" t="s">
        <v>334</v>
      </c>
    </row>
    <row r="65" spans="1:2" x14ac:dyDescent="0.25">
      <c r="A65" s="1" t="s">
        <v>335</v>
      </c>
      <c r="B65" s="2" t="s">
        <v>336</v>
      </c>
    </row>
    <row r="66" spans="1:2" x14ac:dyDescent="0.25">
      <c r="A66" s="1" t="s">
        <v>337</v>
      </c>
      <c r="B66" s="2" t="s">
        <v>338</v>
      </c>
    </row>
    <row r="67" spans="1:2" x14ac:dyDescent="0.25">
      <c r="A67" s="1" t="s">
        <v>339</v>
      </c>
      <c r="B67" s="2" t="s">
        <v>340</v>
      </c>
    </row>
    <row r="68" spans="1:2" x14ac:dyDescent="0.25">
      <c r="A68" s="1" t="s">
        <v>341</v>
      </c>
      <c r="B68" s="2" t="s">
        <v>342</v>
      </c>
    </row>
    <row r="69" spans="1:2" x14ac:dyDescent="0.25">
      <c r="A69" s="1" t="s">
        <v>343</v>
      </c>
      <c r="B69" s="2" t="s">
        <v>282</v>
      </c>
    </row>
    <row r="70" spans="1:2" x14ac:dyDescent="0.25">
      <c r="A70" s="1" t="s">
        <v>344</v>
      </c>
      <c r="B70" s="2" t="s">
        <v>345</v>
      </c>
    </row>
    <row r="71" spans="1:2" x14ac:dyDescent="0.25">
      <c r="A71" s="1" t="s">
        <v>346</v>
      </c>
      <c r="B71" s="2" t="s">
        <v>283</v>
      </c>
    </row>
    <row r="72" spans="1:2" x14ac:dyDescent="0.25">
      <c r="A72" s="1" t="s">
        <v>347</v>
      </c>
      <c r="B72" s="2" t="s">
        <v>348</v>
      </c>
    </row>
    <row r="73" spans="1:2" x14ac:dyDescent="0.25">
      <c r="A73" s="1" t="s">
        <v>349</v>
      </c>
      <c r="B73" s="2" t="s">
        <v>350</v>
      </c>
    </row>
    <row r="74" spans="1:2" x14ac:dyDescent="0.25">
      <c r="A74" s="1" t="s">
        <v>351</v>
      </c>
      <c r="B74" s="2" t="s">
        <v>284</v>
      </c>
    </row>
    <row r="75" spans="1:2" x14ac:dyDescent="0.25">
      <c r="A75" s="1" t="s">
        <v>352</v>
      </c>
      <c r="B75" s="2" t="s">
        <v>353</v>
      </c>
    </row>
    <row r="76" spans="1:2" x14ac:dyDescent="0.25">
      <c r="A76" s="1" t="s">
        <v>354</v>
      </c>
      <c r="B76" s="2" t="s">
        <v>355</v>
      </c>
    </row>
    <row r="77" spans="1:2" x14ac:dyDescent="0.25">
      <c r="A77" s="1" t="s">
        <v>356</v>
      </c>
      <c r="B77" s="2" t="s">
        <v>357</v>
      </c>
    </row>
    <row r="78" spans="1:2" x14ac:dyDescent="0.25">
      <c r="A78" s="1" t="s">
        <v>358</v>
      </c>
      <c r="B78" s="2" t="s">
        <v>359</v>
      </c>
    </row>
    <row r="79" spans="1:2" x14ac:dyDescent="0.25">
      <c r="A79" s="1" t="s">
        <v>360</v>
      </c>
      <c r="B79" s="2" t="s">
        <v>361</v>
      </c>
    </row>
    <row r="80" spans="1:2" x14ac:dyDescent="0.25">
      <c r="A80" s="1" t="s">
        <v>362</v>
      </c>
      <c r="B80" s="2" t="s">
        <v>363</v>
      </c>
    </row>
    <row r="81" spans="1:2" x14ac:dyDescent="0.25">
      <c r="A81" s="1" t="s">
        <v>364</v>
      </c>
      <c r="B81" s="2" t="s">
        <v>365</v>
      </c>
    </row>
    <row r="82" spans="1:2" x14ac:dyDescent="0.25">
      <c r="A82" s="1" t="s">
        <v>366</v>
      </c>
      <c r="B82" s="2" t="s">
        <v>367</v>
      </c>
    </row>
    <row r="83" spans="1:2" x14ac:dyDescent="0.25">
      <c r="A83" s="1" t="s">
        <v>368</v>
      </c>
      <c r="B83" s="2" t="s">
        <v>369</v>
      </c>
    </row>
    <row r="84" spans="1:2" x14ac:dyDescent="0.25">
      <c r="A84" s="1" t="s">
        <v>370</v>
      </c>
      <c r="B84" s="2" t="s">
        <v>371</v>
      </c>
    </row>
    <row r="85" spans="1:2" x14ac:dyDescent="0.25">
      <c r="A85" s="1" t="s">
        <v>372</v>
      </c>
      <c r="B85" s="2" t="s">
        <v>373</v>
      </c>
    </row>
    <row r="86" spans="1:2" x14ac:dyDescent="0.25">
      <c r="A86" s="1" t="s">
        <v>374</v>
      </c>
      <c r="B86" s="2" t="s">
        <v>285</v>
      </c>
    </row>
    <row r="87" spans="1:2" x14ac:dyDescent="0.25">
      <c r="A87" s="1" t="s">
        <v>375</v>
      </c>
      <c r="B87" s="2" t="s">
        <v>376</v>
      </c>
    </row>
    <row r="88" spans="1:2" x14ac:dyDescent="0.25">
      <c r="A88" s="1" t="s">
        <v>377</v>
      </c>
      <c r="B88" s="2" t="s">
        <v>378</v>
      </c>
    </row>
    <row r="89" spans="1:2" x14ac:dyDescent="0.25">
      <c r="A89" s="1" t="s">
        <v>379</v>
      </c>
      <c r="B89" s="2" t="s">
        <v>380</v>
      </c>
    </row>
    <row r="90" spans="1:2" x14ac:dyDescent="0.25">
      <c r="A90" s="1" t="s">
        <v>381</v>
      </c>
      <c r="B90" s="2" t="s">
        <v>382</v>
      </c>
    </row>
    <row r="91" spans="1:2" x14ac:dyDescent="0.25">
      <c r="A91" s="1" t="s">
        <v>383</v>
      </c>
      <c r="B91" s="2" t="s">
        <v>384</v>
      </c>
    </row>
    <row r="92" spans="1:2" x14ac:dyDescent="0.25">
      <c r="A92" s="1" t="s">
        <v>385</v>
      </c>
      <c r="B92" s="2" t="s">
        <v>286</v>
      </c>
    </row>
    <row r="93" spans="1:2" x14ac:dyDescent="0.25">
      <c r="A93" s="1" t="s">
        <v>386</v>
      </c>
      <c r="B93" s="2" t="s">
        <v>387</v>
      </c>
    </row>
    <row r="94" spans="1:2" x14ac:dyDescent="0.25">
      <c r="A94" s="1" t="s">
        <v>388</v>
      </c>
      <c r="B94" s="2" t="s">
        <v>389</v>
      </c>
    </row>
    <row r="95" spans="1:2" x14ac:dyDescent="0.25">
      <c r="A95" s="1" t="s">
        <v>390</v>
      </c>
      <c r="B95" s="2" t="s">
        <v>287</v>
      </c>
    </row>
    <row r="96" spans="1:2" x14ac:dyDescent="0.25">
      <c r="A96" s="1" t="s">
        <v>391</v>
      </c>
      <c r="B96" s="2" t="s">
        <v>288</v>
      </c>
    </row>
    <row r="97" spans="1:2" x14ac:dyDescent="0.25">
      <c r="A97" s="1" t="s">
        <v>392</v>
      </c>
      <c r="B97" s="2" t="s">
        <v>289</v>
      </c>
    </row>
    <row r="98" spans="1:2" x14ac:dyDescent="0.25">
      <c r="A98" s="1" t="s">
        <v>393</v>
      </c>
      <c r="B98" s="2" t="s">
        <v>290</v>
      </c>
    </row>
    <row r="99" spans="1:2" x14ac:dyDescent="0.25">
      <c r="A99" s="1" t="s">
        <v>394</v>
      </c>
      <c r="B99" s="2" t="s">
        <v>291</v>
      </c>
    </row>
    <row r="100" spans="1:2" x14ac:dyDescent="0.25">
      <c r="A100" s="1" t="s">
        <v>395</v>
      </c>
      <c r="B100" s="2" t="s">
        <v>292</v>
      </c>
    </row>
    <row r="101" spans="1:2" x14ac:dyDescent="0.25">
      <c r="A101" s="1" t="s">
        <v>396</v>
      </c>
      <c r="B101" s="2" t="s">
        <v>293</v>
      </c>
    </row>
    <row r="102" spans="1:2" x14ac:dyDescent="0.25">
      <c r="A102" s="1" t="s">
        <v>397</v>
      </c>
      <c r="B102" s="2" t="s">
        <v>294</v>
      </c>
    </row>
    <row r="103" spans="1:2" x14ac:dyDescent="0.25">
      <c r="A103" s="1" t="s">
        <v>398</v>
      </c>
      <c r="B103" s="2" t="s">
        <v>295</v>
      </c>
    </row>
    <row r="104" spans="1:2" x14ac:dyDescent="0.25">
      <c r="A104" s="1" t="s">
        <v>399</v>
      </c>
      <c r="B104" s="2" t="s">
        <v>296</v>
      </c>
    </row>
    <row r="105" spans="1:2" x14ac:dyDescent="0.25">
      <c r="A105" s="1" t="s">
        <v>400</v>
      </c>
      <c r="B105" s="2" t="s">
        <v>297</v>
      </c>
    </row>
    <row r="106" spans="1:2" x14ac:dyDescent="0.25">
      <c r="A106" s="1" t="s">
        <v>401</v>
      </c>
      <c r="B106" s="2" t="s">
        <v>298</v>
      </c>
    </row>
    <row r="107" spans="1:2" x14ac:dyDescent="0.25">
      <c r="A107" s="1" t="s">
        <v>402</v>
      </c>
      <c r="B107" s="2" t="s">
        <v>299</v>
      </c>
    </row>
    <row r="108" spans="1:2" x14ac:dyDescent="0.25">
      <c r="A108" s="1" t="s">
        <v>403</v>
      </c>
      <c r="B108" s="2" t="s">
        <v>300</v>
      </c>
    </row>
    <row r="109" spans="1:2" x14ac:dyDescent="0.25">
      <c r="A109" s="1" t="s">
        <v>404</v>
      </c>
      <c r="B109" s="2" t="s">
        <v>301</v>
      </c>
    </row>
    <row r="110" spans="1:2" x14ac:dyDescent="0.25">
      <c r="A110" s="1" t="s">
        <v>405</v>
      </c>
      <c r="B110" s="2" t="s">
        <v>303</v>
      </c>
    </row>
    <row r="111" spans="1:2" x14ac:dyDescent="0.25">
      <c r="A111" s="1" t="s">
        <v>406</v>
      </c>
      <c r="B111" s="2" t="s">
        <v>304</v>
      </c>
    </row>
    <row r="112" spans="1:2" x14ac:dyDescent="0.25">
      <c r="A112" s="1" t="s">
        <v>407</v>
      </c>
      <c r="B112" s="2" t="s">
        <v>305</v>
      </c>
    </row>
    <row r="113" spans="1:2" x14ac:dyDescent="0.25">
      <c r="A113" s="1" t="s">
        <v>408</v>
      </c>
      <c r="B113" s="2" t="s">
        <v>306</v>
      </c>
    </row>
    <row r="114" spans="1:2" x14ac:dyDescent="0.25">
      <c r="A114" s="1" t="s">
        <v>409</v>
      </c>
      <c r="B114" s="2" t="s">
        <v>410</v>
      </c>
    </row>
    <row r="115" spans="1:2" x14ac:dyDescent="0.25">
      <c r="A115" s="1" t="s">
        <v>411</v>
      </c>
      <c r="B115" s="2" t="s">
        <v>412</v>
      </c>
    </row>
    <row r="116" spans="1:2" x14ac:dyDescent="0.25">
      <c r="A116" s="1" t="s">
        <v>413</v>
      </c>
      <c r="B116" s="2" t="s">
        <v>414</v>
      </c>
    </row>
    <row r="117" spans="1:2" x14ac:dyDescent="0.25">
      <c r="A117" s="1" t="s">
        <v>415</v>
      </c>
      <c r="B117" s="2" t="s">
        <v>416</v>
      </c>
    </row>
    <row r="118" spans="1:2" x14ac:dyDescent="0.25">
      <c r="A118" s="1" t="s">
        <v>417</v>
      </c>
      <c r="B118" s="2" t="s">
        <v>418</v>
      </c>
    </row>
    <row r="119" spans="1:2" x14ac:dyDescent="0.25">
      <c r="A119" s="1" t="s">
        <v>419</v>
      </c>
      <c r="B119" s="2" t="s">
        <v>307</v>
      </c>
    </row>
    <row r="120" spans="1:2" x14ac:dyDescent="0.25">
      <c r="A120" s="1">
        <v>1331</v>
      </c>
      <c r="B120" s="2" t="s">
        <v>420</v>
      </c>
    </row>
    <row r="121" spans="1:2" x14ac:dyDescent="0.25">
      <c r="A121" s="1" t="s">
        <v>421</v>
      </c>
      <c r="B121" s="2" t="s">
        <v>422</v>
      </c>
    </row>
    <row r="122" spans="1:2" x14ac:dyDescent="0.25">
      <c r="A122" s="1" t="s">
        <v>423</v>
      </c>
      <c r="B122" s="3" t="s">
        <v>424</v>
      </c>
    </row>
    <row r="123" spans="1:2" x14ac:dyDescent="0.25">
      <c r="A123" s="1" t="s">
        <v>425</v>
      </c>
      <c r="B123" s="3" t="s">
        <v>426</v>
      </c>
    </row>
    <row r="124" spans="1:2" x14ac:dyDescent="0.25">
      <c r="A124" s="1" t="s">
        <v>427</v>
      </c>
      <c r="B124" s="3" t="s">
        <v>428</v>
      </c>
    </row>
    <row r="125" spans="1:2" x14ac:dyDescent="0.25">
      <c r="A125" s="1" t="s">
        <v>429</v>
      </c>
      <c r="B125" s="3" t="s">
        <v>430</v>
      </c>
    </row>
    <row r="126" spans="1:2" x14ac:dyDescent="0.25">
      <c r="A126" s="1" t="s">
        <v>431</v>
      </c>
      <c r="B126" s="3" t="s">
        <v>432</v>
      </c>
    </row>
    <row r="127" spans="1:2" x14ac:dyDescent="0.25">
      <c r="A127" s="1" t="s">
        <v>433</v>
      </c>
      <c r="B127" s="3" t="s">
        <v>434</v>
      </c>
    </row>
    <row r="128" spans="1:2" x14ac:dyDescent="0.25">
      <c r="A128" s="1" t="s">
        <v>435</v>
      </c>
      <c r="B128" s="3" t="s">
        <v>436</v>
      </c>
    </row>
    <row r="129" spans="1:2" x14ac:dyDescent="0.25">
      <c r="A129" s="1" t="s">
        <v>437</v>
      </c>
      <c r="B129" s="3" t="s">
        <v>438</v>
      </c>
    </row>
    <row r="130" spans="1:2" x14ac:dyDescent="0.25">
      <c r="A130" s="1" t="s">
        <v>439</v>
      </c>
      <c r="B130" s="3" t="s">
        <v>440</v>
      </c>
    </row>
    <row r="131" spans="1:2" x14ac:dyDescent="0.25">
      <c r="A131" s="4">
        <v>2</v>
      </c>
      <c r="B131" s="3" t="s">
        <v>441</v>
      </c>
    </row>
    <row r="132" spans="1:2" x14ac:dyDescent="0.25">
      <c r="A132" s="4">
        <v>6</v>
      </c>
      <c r="B132" s="3" t="s">
        <v>442</v>
      </c>
    </row>
    <row r="133" spans="1:2" x14ac:dyDescent="0.25">
      <c r="A133" s="4">
        <v>8</v>
      </c>
      <c r="B133" s="3" t="s">
        <v>443</v>
      </c>
    </row>
    <row r="134" spans="1:2" x14ac:dyDescent="0.25">
      <c r="A134" s="4">
        <v>1</v>
      </c>
      <c r="B134" s="3" t="s">
        <v>450</v>
      </c>
    </row>
    <row r="135" spans="1:2" x14ac:dyDescent="0.25">
      <c r="A135" s="5"/>
      <c r="B135" s="3"/>
    </row>
    <row r="136" spans="1:2" x14ac:dyDescent="0.25">
      <c r="A136" s="5"/>
      <c r="B136" s="3"/>
    </row>
    <row r="137" spans="1:2" x14ac:dyDescent="0.25">
      <c r="A137" s="5"/>
      <c r="B137" s="3"/>
    </row>
    <row r="138" spans="1:2" x14ac:dyDescent="0.25">
      <c r="A138" s="5"/>
      <c r="B138" s="3"/>
    </row>
    <row r="139" spans="1:2" x14ac:dyDescent="0.25">
      <c r="A139" s="5"/>
      <c r="B139" s="3"/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</row>
    <row r="177" spans="1:2" x14ac:dyDescent="0.25">
      <c r="A177" s="5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</row>
    <row r="220" spans="1:2" x14ac:dyDescent="0.25">
      <c r="A220" s="5"/>
    </row>
    <row r="222" spans="1:2" x14ac:dyDescent="0.25">
      <c r="A222" s="5"/>
    </row>
    <row r="223" spans="1:2" x14ac:dyDescent="0.25">
      <c r="A223" s="5"/>
    </row>
    <row r="224" spans="1:2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8"/>
  <sheetViews>
    <sheetView workbookViewId="0">
      <selection activeCell="A651" sqref="A651"/>
    </sheetView>
  </sheetViews>
  <sheetFormatPr baseColWidth="10" defaultRowHeight="15" x14ac:dyDescent="0.25"/>
  <cols>
    <col min="1" max="1" width="75.42578125" bestFit="1" customWidth="1"/>
    <col min="2" max="2" width="21" bestFit="1" customWidth="1"/>
  </cols>
  <sheetData>
    <row r="2" spans="1:2" x14ac:dyDescent="0.25">
      <c r="A2" s="39" t="s">
        <v>196</v>
      </c>
      <c r="B2" s="40" t="s">
        <v>632</v>
      </c>
    </row>
    <row r="4" spans="1:2" x14ac:dyDescent="0.25">
      <c r="A4" s="29" t="s">
        <v>454</v>
      </c>
      <c r="B4" s="30" t="s">
        <v>457</v>
      </c>
    </row>
    <row r="5" spans="1:2" x14ac:dyDescent="0.25">
      <c r="A5" s="27" t="s">
        <v>634</v>
      </c>
      <c r="B5" s="28">
        <v>400</v>
      </c>
    </row>
    <row r="6" spans="1:2" x14ac:dyDescent="0.25">
      <c r="A6" s="27" t="s">
        <v>236</v>
      </c>
      <c r="B6" s="28">
        <v>2065.63</v>
      </c>
    </row>
    <row r="7" spans="1:2" x14ac:dyDescent="0.25">
      <c r="A7" s="27" t="s">
        <v>493</v>
      </c>
      <c r="B7" s="28">
        <v>1762</v>
      </c>
    </row>
    <row r="8" spans="1:2" x14ac:dyDescent="0.25">
      <c r="A8" s="27" t="s">
        <v>54</v>
      </c>
      <c r="B8" s="28">
        <v>9275.67</v>
      </c>
    </row>
    <row r="9" spans="1:2" x14ac:dyDescent="0.25">
      <c r="A9" s="27" t="s">
        <v>53</v>
      </c>
      <c r="B9" s="28">
        <v>10950.84</v>
      </c>
    </row>
    <row r="10" spans="1:2" x14ac:dyDescent="0.25">
      <c r="A10" s="27" t="s">
        <v>478</v>
      </c>
      <c r="B10" s="28">
        <v>1225</v>
      </c>
    </row>
    <row r="11" spans="1:2" x14ac:dyDescent="0.25">
      <c r="A11" s="27" t="s">
        <v>82</v>
      </c>
      <c r="B11" s="28">
        <v>599.61999999999989</v>
      </c>
    </row>
    <row r="12" spans="1:2" x14ac:dyDescent="0.25">
      <c r="A12" s="27" t="s">
        <v>1198</v>
      </c>
      <c r="B12" s="28">
        <v>2884.76</v>
      </c>
    </row>
    <row r="13" spans="1:2" x14ac:dyDescent="0.25">
      <c r="A13" s="27" t="s">
        <v>238</v>
      </c>
      <c r="B13" s="28">
        <v>70.48</v>
      </c>
    </row>
    <row r="14" spans="1:2" x14ac:dyDescent="0.25">
      <c r="A14" s="27" t="s">
        <v>1159</v>
      </c>
      <c r="B14" s="28">
        <v>545</v>
      </c>
    </row>
    <row r="15" spans="1:2" x14ac:dyDescent="0.25">
      <c r="A15" s="27" t="s">
        <v>57</v>
      </c>
      <c r="B15" s="28">
        <v>880</v>
      </c>
    </row>
    <row r="16" spans="1:2" x14ac:dyDescent="0.25">
      <c r="A16" s="27" t="s">
        <v>254</v>
      </c>
      <c r="B16" s="28">
        <v>1100</v>
      </c>
    </row>
    <row r="17" spans="1:2" x14ac:dyDescent="0.25">
      <c r="A17" s="27" t="s">
        <v>71</v>
      </c>
      <c r="B17" s="28">
        <v>7247.9</v>
      </c>
    </row>
    <row r="18" spans="1:2" x14ac:dyDescent="0.25">
      <c r="A18" s="27" t="s">
        <v>651</v>
      </c>
      <c r="B18" s="28">
        <v>15367</v>
      </c>
    </row>
    <row r="19" spans="1:2" x14ac:dyDescent="0.25">
      <c r="A19" s="27" t="s">
        <v>1052</v>
      </c>
      <c r="B19" s="28">
        <v>598.95000000000005</v>
      </c>
    </row>
    <row r="20" spans="1:2" x14ac:dyDescent="0.25">
      <c r="A20" s="27" t="s">
        <v>215</v>
      </c>
      <c r="B20" s="28">
        <v>2904</v>
      </c>
    </row>
    <row r="21" spans="1:2" x14ac:dyDescent="0.25">
      <c r="A21" s="27" t="s">
        <v>191</v>
      </c>
      <c r="B21" s="28">
        <v>9629.23</v>
      </c>
    </row>
    <row r="22" spans="1:2" x14ac:dyDescent="0.25">
      <c r="A22" s="27" t="s">
        <v>1679</v>
      </c>
      <c r="B22" s="28">
        <v>1233.04</v>
      </c>
    </row>
    <row r="23" spans="1:2" x14ac:dyDescent="0.25">
      <c r="A23" s="27" t="s">
        <v>652</v>
      </c>
      <c r="B23" s="28">
        <v>193.6</v>
      </c>
    </row>
    <row r="24" spans="1:2" x14ac:dyDescent="0.25">
      <c r="A24" s="27" t="s">
        <v>59</v>
      </c>
      <c r="B24" s="28">
        <v>5600</v>
      </c>
    </row>
    <row r="25" spans="1:2" x14ac:dyDescent="0.25">
      <c r="A25" s="27" t="s">
        <v>239</v>
      </c>
      <c r="B25" s="28">
        <v>4840</v>
      </c>
    </row>
    <row r="26" spans="1:2" x14ac:dyDescent="0.25">
      <c r="A26" s="27" t="s">
        <v>186</v>
      </c>
      <c r="B26" s="28">
        <v>20685.599999999999</v>
      </c>
    </row>
    <row r="27" spans="1:2" x14ac:dyDescent="0.25">
      <c r="A27" s="27" t="s">
        <v>1705</v>
      </c>
      <c r="B27" s="28">
        <v>18149</v>
      </c>
    </row>
    <row r="28" spans="1:2" x14ac:dyDescent="0.25">
      <c r="A28" s="27" t="s">
        <v>1193</v>
      </c>
      <c r="B28" s="28">
        <v>1681.9</v>
      </c>
    </row>
    <row r="29" spans="1:2" x14ac:dyDescent="0.25">
      <c r="A29" s="27" t="s">
        <v>66</v>
      </c>
      <c r="B29" s="28">
        <v>6035.18</v>
      </c>
    </row>
    <row r="30" spans="1:2" x14ac:dyDescent="0.25">
      <c r="A30" s="27" t="s">
        <v>34</v>
      </c>
      <c r="B30" s="28">
        <v>7670.51</v>
      </c>
    </row>
    <row r="31" spans="1:2" x14ac:dyDescent="0.25">
      <c r="A31" s="27" t="s">
        <v>246</v>
      </c>
      <c r="B31" s="28">
        <v>135.97</v>
      </c>
    </row>
    <row r="32" spans="1:2" x14ac:dyDescent="0.25">
      <c r="A32" s="27" t="s">
        <v>1015</v>
      </c>
      <c r="B32" s="28">
        <v>895</v>
      </c>
    </row>
    <row r="33" spans="1:2" x14ac:dyDescent="0.25">
      <c r="A33" s="27" t="s">
        <v>1058</v>
      </c>
      <c r="B33" s="28">
        <v>2000</v>
      </c>
    </row>
    <row r="34" spans="1:2" x14ac:dyDescent="0.25">
      <c r="A34" s="27" t="s">
        <v>175</v>
      </c>
      <c r="B34" s="28">
        <v>600</v>
      </c>
    </row>
    <row r="35" spans="1:2" x14ac:dyDescent="0.25">
      <c r="A35" s="27" t="s">
        <v>668</v>
      </c>
      <c r="B35" s="28">
        <v>5935.05</v>
      </c>
    </row>
    <row r="36" spans="1:2" x14ac:dyDescent="0.25">
      <c r="A36" s="27" t="s">
        <v>901</v>
      </c>
      <c r="B36" s="28">
        <v>2508.98</v>
      </c>
    </row>
    <row r="37" spans="1:2" x14ac:dyDescent="0.25">
      <c r="A37" s="27" t="s">
        <v>260</v>
      </c>
      <c r="B37" s="28">
        <v>2500</v>
      </c>
    </row>
    <row r="38" spans="1:2" x14ac:dyDescent="0.25">
      <c r="A38" s="27" t="s">
        <v>1200</v>
      </c>
      <c r="B38" s="28">
        <v>723.58</v>
      </c>
    </row>
    <row r="39" spans="1:2" x14ac:dyDescent="0.25">
      <c r="A39" s="27" t="s">
        <v>1121</v>
      </c>
      <c r="B39" s="28">
        <v>391</v>
      </c>
    </row>
    <row r="40" spans="1:2" x14ac:dyDescent="0.25">
      <c r="A40" s="27" t="s">
        <v>671</v>
      </c>
      <c r="B40" s="28">
        <v>18000</v>
      </c>
    </row>
    <row r="41" spans="1:2" x14ac:dyDescent="0.25">
      <c r="A41" s="27" t="s">
        <v>1833</v>
      </c>
      <c r="B41" s="28">
        <v>267.41000000000003</v>
      </c>
    </row>
    <row r="42" spans="1:2" x14ac:dyDescent="0.25">
      <c r="A42" s="27" t="s">
        <v>251</v>
      </c>
      <c r="B42" s="28">
        <v>4819.67</v>
      </c>
    </row>
    <row r="43" spans="1:2" x14ac:dyDescent="0.25">
      <c r="A43" s="27" t="s">
        <v>261</v>
      </c>
      <c r="B43" s="28">
        <v>5767</v>
      </c>
    </row>
    <row r="44" spans="1:2" x14ac:dyDescent="0.25">
      <c r="A44" s="27" t="s">
        <v>258</v>
      </c>
      <c r="B44" s="28">
        <v>1173.5</v>
      </c>
    </row>
    <row r="45" spans="1:2" x14ac:dyDescent="0.25">
      <c r="A45" s="27" t="s">
        <v>231</v>
      </c>
      <c r="B45" s="28">
        <v>6073.8</v>
      </c>
    </row>
    <row r="46" spans="1:2" x14ac:dyDescent="0.25">
      <c r="A46" s="27" t="s">
        <v>464</v>
      </c>
      <c r="B46" s="28">
        <v>7260</v>
      </c>
    </row>
    <row r="47" spans="1:2" x14ac:dyDescent="0.25">
      <c r="A47" s="27" t="s">
        <v>900</v>
      </c>
      <c r="B47" s="28">
        <v>2500</v>
      </c>
    </row>
    <row r="48" spans="1:2" x14ac:dyDescent="0.25">
      <c r="A48" s="27" t="s">
        <v>1080</v>
      </c>
      <c r="B48" s="28">
        <v>2325.62</v>
      </c>
    </row>
    <row r="49" spans="1:2" x14ac:dyDescent="0.25">
      <c r="A49" s="27" t="s">
        <v>930</v>
      </c>
      <c r="B49" s="28">
        <v>35335.15</v>
      </c>
    </row>
    <row r="50" spans="1:2" x14ac:dyDescent="0.25">
      <c r="A50" s="27" t="s">
        <v>85</v>
      </c>
      <c r="B50" s="28">
        <v>546.46</v>
      </c>
    </row>
    <row r="51" spans="1:2" x14ac:dyDescent="0.25">
      <c r="A51" s="27" t="s">
        <v>242</v>
      </c>
      <c r="B51" s="28">
        <v>821.25</v>
      </c>
    </row>
    <row r="52" spans="1:2" x14ac:dyDescent="0.25">
      <c r="A52" s="27" t="s">
        <v>72</v>
      </c>
      <c r="B52" s="28">
        <v>1500</v>
      </c>
    </row>
    <row r="53" spans="1:2" x14ac:dyDescent="0.25">
      <c r="A53" s="27" t="s">
        <v>39</v>
      </c>
      <c r="B53" s="28">
        <v>2707.01</v>
      </c>
    </row>
    <row r="54" spans="1:2" x14ac:dyDescent="0.25">
      <c r="A54" s="27" t="s">
        <v>223</v>
      </c>
      <c r="B54" s="28">
        <v>7763.89</v>
      </c>
    </row>
    <row r="55" spans="1:2" x14ac:dyDescent="0.25">
      <c r="A55" s="27" t="s">
        <v>179</v>
      </c>
      <c r="B55" s="28">
        <v>4485.59</v>
      </c>
    </row>
    <row r="56" spans="1:2" x14ac:dyDescent="0.25">
      <c r="A56" s="27" t="s">
        <v>64</v>
      </c>
      <c r="B56" s="28">
        <v>4957.09</v>
      </c>
    </row>
    <row r="57" spans="1:2" x14ac:dyDescent="0.25">
      <c r="A57" s="27" t="s">
        <v>502</v>
      </c>
      <c r="B57" s="28">
        <v>11835.01</v>
      </c>
    </row>
    <row r="58" spans="1:2" x14ac:dyDescent="0.25">
      <c r="A58" s="27" t="s">
        <v>473</v>
      </c>
      <c r="B58" s="28">
        <v>529.53</v>
      </c>
    </row>
    <row r="59" spans="1:2" x14ac:dyDescent="0.25">
      <c r="A59" s="27" t="s">
        <v>256</v>
      </c>
      <c r="B59" s="28">
        <v>2582.14</v>
      </c>
    </row>
    <row r="60" spans="1:2" x14ac:dyDescent="0.25">
      <c r="A60" s="27" t="s">
        <v>1095</v>
      </c>
      <c r="B60" s="28">
        <v>1573</v>
      </c>
    </row>
    <row r="61" spans="1:2" x14ac:dyDescent="0.25">
      <c r="A61" s="27" t="s">
        <v>685</v>
      </c>
      <c r="B61" s="28">
        <v>2618</v>
      </c>
    </row>
    <row r="62" spans="1:2" x14ac:dyDescent="0.25">
      <c r="A62" s="27" t="s">
        <v>1020</v>
      </c>
      <c r="B62" s="28">
        <v>395</v>
      </c>
    </row>
    <row r="63" spans="1:2" x14ac:dyDescent="0.25">
      <c r="A63" s="27" t="s">
        <v>75</v>
      </c>
      <c r="B63" s="28">
        <v>8000</v>
      </c>
    </row>
    <row r="64" spans="1:2" x14ac:dyDescent="0.25">
      <c r="A64" s="27" t="s">
        <v>687</v>
      </c>
      <c r="B64" s="28">
        <v>752</v>
      </c>
    </row>
    <row r="65" spans="1:2" x14ac:dyDescent="0.25">
      <c r="A65" s="27" t="s">
        <v>70</v>
      </c>
      <c r="B65" s="28">
        <v>3000</v>
      </c>
    </row>
    <row r="66" spans="1:2" x14ac:dyDescent="0.25">
      <c r="A66" s="27" t="s">
        <v>117</v>
      </c>
      <c r="B66" s="28">
        <v>3895</v>
      </c>
    </row>
    <row r="67" spans="1:2" x14ac:dyDescent="0.25">
      <c r="A67" s="27" t="s">
        <v>879</v>
      </c>
      <c r="B67" s="28">
        <v>744.88</v>
      </c>
    </row>
    <row r="68" spans="1:2" x14ac:dyDescent="0.25">
      <c r="A68" s="27" t="s">
        <v>47</v>
      </c>
      <c r="B68" s="28">
        <v>4950.3</v>
      </c>
    </row>
    <row r="69" spans="1:2" x14ac:dyDescent="0.25">
      <c r="A69" s="27" t="s">
        <v>2113</v>
      </c>
      <c r="B69" s="28">
        <v>516.78</v>
      </c>
    </row>
    <row r="70" spans="1:2" x14ac:dyDescent="0.25">
      <c r="A70" s="27" t="s">
        <v>169</v>
      </c>
      <c r="B70" s="28">
        <v>14636.16</v>
      </c>
    </row>
    <row r="71" spans="1:2" x14ac:dyDescent="0.25">
      <c r="A71" s="27" t="s">
        <v>498</v>
      </c>
      <c r="B71" s="28">
        <v>44423.149999999994</v>
      </c>
    </row>
    <row r="72" spans="1:2" x14ac:dyDescent="0.25">
      <c r="A72" s="27" t="s">
        <v>253</v>
      </c>
      <c r="B72" s="28">
        <v>4541.8999999999996</v>
      </c>
    </row>
    <row r="73" spans="1:2" x14ac:dyDescent="0.25">
      <c r="A73" s="27" t="s">
        <v>92</v>
      </c>
      <c r="B73" s="28">
        <v>965</v>
      </c>
    </row>
    <row r="74" spans="1:2" x14ac:dyDescent="0.25">
      <c r="A74" s="27" t="s">
        <v>2154</v>
      </c>
      <c r="B74" s="28">
        <v>600</v>
      </c>
    </row>
    <row r="75" spans="1:2" x14ac:dyDescent="0.25">
      <c r="A75" s="27" t="s">
        <v>2156</v>
      </c>
      <c r="B75" s="28">
        <v>3652.02</v>
      </c>
    </row>
    <row r="76" spans="1:2" x14ac:dyDescent="0.25">
      <c r="A76" s="27" t="s">
        <v>41</v>
      </c>
      <c r="B76" s="28">
        <v>2927.4700000000003</v>
      </c>
    </row>
    <row r="77" spans="1:2" x14ac:dyDescent="0.25">
      <c r="A77" s="27" t="s">
        <v>978</v>
      </c>
      <c r="B77" s="28">
        <v>1200</v>
      </c>
    </row>
    <row r="78" spans="1:2" x14ac:dyDescent="0.25">
      <c r="A78" s="27" t="s">
        <v>1323</v>
      </c>
      <c r="B78" s="28">
        <v>440</v>
      </c>
    </row>
    <row r="79" spans="1:2" x14ac:dyDescent="0.25">
      <c r="A79" s="27" t="s">
        <v>76</v>
      </c>
      <c r="B79" s="28">
        <v>14520</v>
      </c>
    </row>
    <row r="80" spans="1:2" x14ac:dyDescent="0.25">
      <c r="A80" s="27" t="s">
        <v>43</v>
      </c>
      <c r="B80" s="28">
        <v>27225</v>
      </c>
    </row>
    <row r="81" spans="1:2" x14ac:dyDescent="0.25">
      <c r="A81" s="27" t="s">
        <v>2205</v>
      </c>
      <c r="B81" s="28">
        <v>400</v>
      </c>
    </row>
    <row r="82" spans="1:2" x14ac:dyDescent="0.25">
      <c r="A82" s="27" t="s">
        <v>702</v>
      </c>
      <c r="B82" s="28">
        <v>7260</v>
      </c>
    </row>
    <row r="83" spans="1:2" x14ac:dyDescent="0.25">
      <c r="A83" s="27" t="s">
        <v>50</v>
      </c>
      <c r="B83" s="28">
        <v>227.48</v>
      </c>
    </row>
    <row r="84" spans="1:2" x14ac:dyDescent="0.25">
      <c r="A84" s="27" t="s">
        <v>208</v>
      </c>
      <c r="B84" s="28">
        <v>1587.92</v>
      </c>
    </row>
    <row r="85" spans="1:2" x14ac:dyDescent="0.25">
      <c r="A85" s="27" t="s">
        <v>62</v>
      </c>
      <c r="B85" s="28">
        <v>16317.94</v>
      </c>
    </row>
    <row r="86" spans="1:2" x14ac:dyDescent="0.25">
      <c r="A86" s="27" t="s">
        <v>1326</v>
      </c>
      <c r="B86" s="28">
        <v>1413.28</v>
      </c>
    </row>
    <row r="87" spans="1:2" x14ac:dyDescent="0.25">
      <c r="A87" s="27" t="s">
        <v>188</v>
      </c>
      <c r="B87" s="28">
        <v>17811.2</v>
      </c>
    </row>
    <row r="88" spans="1:2" x14ac:dyDescent="0.25">
      <c r="A88" s="27" t="s">
        <v>189</v>
      </c>
      <c r="B88" s="28">
        <v>0.5</v>
      </c>
    </row>
    <row r="89" spans="1:2" x14ac:dyDescent="0.25">
      <c r="A89" s="27" t="s">
        <v>2251</v>
      </c>
      <c r="B89" s="28">
        <v>9317</v>
      </c>
    </row>
    <row r="90" spans="1:2" x14ac:dyDescent="0.25">
      <c r="A90" s="27" t="s">
        <v>244</v>
      </c>
      <c r="B90" s="28">
        <v>96.01</v>
      </c>
    </row>
    <row r="91" spans="1:2" x14ac:dyDescent="0.25">
      <c r="A91" s="27" t="s">
        <v>1163</v>
      </c>
      <c r="B91" s="28">
        <v>441</v>
      </c>
    </row>
    <row r="92" spans="1:2" x14ac:dyDescent="0.25">
      <c r="A92" s="27" t="s">
        <v>202</v>
      </c>
      <c r="B92" s="28">
        <v>300.02</v>
      </c>
    </row>
    <row r="93" spans="1:2" x14ac:dyDescent="0.25">
      <c r="A93" s="27" t="s">
        <v>153</v>
      </c>
      <c r="B93" s="28">
        <v>7683.34</v>
      </c>
    </row>
    <row r="94" spans="1:2" x14ac:dyDescent="0.25">
      <c r="A94" s="27" t="s">
        <v>104</v>
      </c>
      <c r="B94" s="28">
        <v>991.8</v>
      </c>
    </row>
    <row r="95" spans="1:2" x14ac:dyDescent="0.25">
      <c r="A95" s="27" t="s">
        <v>216</v>
      </c>
      <c r="B95" s="28">
        <v>2152.84</v>
      </c>
    </row>
    <row r="96" spans="1:2" x14ac:dyDescent="0.25">
      <c r="A96" s="27" t="s">
        <v>55</v>
      </c>
      <c r="B96" s="28">
        <v>17978.68</v>
      </c>
    </row>
    <row r="97" spans="1:2" x14ac:dyDescent="0.25">
      <c r="A97" s="27" t="s">
        <v>37</v>
      </c>
      <c r="B97" s="28">
        <v>0</v>
      </c>
    </row>
    <row r="98" spans="1:2" x14ac:dyDescent="0.25">
      <c r="A98" s="27" t="s">
        <v>193</v>
      </c>
      <c r="B98" s="28">
        <v>821</v>
      </c>
    </row>
    <row r="99" spans="1:2" x14ac:dyDescent="0.25">
      <c r="A99" s="27" t="s">
        <v>472</v>
      </c>
      <c r="B99" s="28">
        <v>4474.9400000000005</v>
      </c>
    </row>
    <row r="100" spans="1:2" x14ac:dyDescent="0.25">
      <c r="A100" s="27" t="s">
        <v>2328</v>
      </c>
      <c r="B100" s="28">
        <v>296.60000000000002</v>
      </c>
    </row>
    <row r="101" spans="1:2" x14ac:dyDescent="0.25">
      <c r="A101" s="27" t="s">
        <v>257</v>
      </c>
      <c r="B101" s="28">
        <v>7260</v>
      </c>
    </row>
    <row r="102" spans="1:2" x14ac:dyDescent="0.25">
      <c r="A102" s="27" t="s">
        <v>505</v>
      </c>
      <c r="B102" s="28">
        <v>4060.02</v>
      </c>
    </row>
    <row r="103" spans="1:2" x14ac:dyDescent="0.25">
      <c r="A103" s="27" t="s">
        <v>192</v>
      </c>
      <c r="B103" s="28">
        <v>5835.12</v>
      </c>
    </row>
    <row r="104" spans="1:2" x14ac:dyDescent="0.25">
      <c r="A104" s="27" t="s">
        <v>993</v>
      </c>
      <c r="B104" s="28">
        <v>1026</v>
      </c>
    </row>
    <row r="105" spans="1:2" x14ac:dyDescent="0.25">
      <c r="A105" s="27" t="s">
        <v>101</v>
      </c>
      <c r="B105" s="28">
        <v>4340.1499999999996</v>
      </c>
    </row>
    <row r="106" spans="1:2" x14ac:dyDescent="0.25">
      <c r="A106" s="27" t="s">
        <v>52</v>
      </c>
      <c r="B106" s="28">
        <v>18730.05</v>
      </c>
    </row>
    <row r="107" spans="1:2" x14ac:dyDescent="0.25">
      <c r="A107" s="27" t="s">
        <v>69</v>
      </c>
      <c r="B107" s="28">
        <v>3657.5</v>
      </c>
    </row>
    <row r="108" spans="1:2" x14ac:dyDescent="0.25">
      <c r="A108" s="27" t="s">
        <v>222</v>
      </c>
      <c r="B108" s="28">
        <v>56.95</v>
      </c>
    </row>
    <row r="109" spans="1:2" x14ac:dyDescent="0.25">
      <c r="A109" s="27" t="s">
        <v>210</v>
      </c>
      <c r="B109" s="28">
        <v>442.24</v>
      </c>
    </row>
    <row r="110" spans="1:2" x14ac:dyDescent="0.25">
      <c r="A110" s="27" t="s">
        <v>219</v>
      </c>
      <c r="B110" s="28">
        <v>1210</v>
      </c>
    </row>
    <row r="111" spans="1:2" x14ac:dyDescent="0.25">
      <c r="A111" s="27" t="s">
        <v>1332</v>
      </c>
      <c r="B111" s="28">
        <v>1197.9000000000001</v>
      </c>
    </row>
    <row r="112" spans="1:2" x14ac:dyDescent="0.25">
      <c r="A112" s="27" t="s">
        <v>739</v>
      </c>
      <c r="B112" s="28">
        <v>629.79999999999995</v>
      </c>
    </row>
    <row r="113" spans="1:2" x14ac:dyDescent="0.25">
      <c r="A113" s="27" t="s">
        <v>247</v>
      </c>
      <c r="B113" s="28">
        <v>170.4</v>
      </c>
    </row>
    <row r="114" spans="1:2" x14ac:dyDescent="0.25">
      <c r="A114" s="27" t="s">
        <v>248</v>
      </c>
      <c r="B114" s="28">
        <v>264.01</v>
      </c>
    </row>
    <row r="115" spans="1:2" x14ac:dyDescent="0.25">
      <c r="A115" s="27" t="s">
        <v>1319</v>
      </c>
      <c r="B115" s="28">
        <v>11495</v>
      </c>
    </row>
    <row r="116" spans="1:2" x14ac:dyDescent="0.25">
      <c r="A116" s="27" t="s">
        <v>951</v>
      </c>
      <c r="B116" s="28">
        <v>22844.92</v>
      </c>
    </row>
    <row r="117" spans="1:2" x14ac:dyDescent="0.25">
      <c r="A117" s="27" t="s">
        <v>462</v>
      </c>
      <c r="B117" s="28">
        <v>720</v>
      </c>
    </row>
    <row r="118" spans="1:2" x14ac:dyDescent="0.25">
      <c r="A118" s="27" t="s">
        <v>264</v>
      </c>
      <c r="B118" s="28">
        <v>899.5</v>
      </c>
    </row>
    <row r="119" spans="1:2" x14ac:dyDescent="0.25">
      <c r="A119" s="27" t="s">
        <v>459</v>
      </c>
      <c r="B119" s="28">
        <v>3599.75</v>
      </c>
    </row>
    <row r="120" spans="1:2" x14ac:dyDescent="0.25">
      <c r="A120" s="27" t="s">
        <v>35</v>
      </c>
      <c r="B120" s="28">
        <v>1500</v>
      </c>
    </row>
    <row r="121" spans="1:2" x14ac:dyDescent="0.25">
      <c r="A121" s="27" t="s">
        <v>94</v>
      </c>
      <c r="B121" s="28">
        <v>4000</v>
      </c>
    </row>
    <row r="122" spans="1:2" x14ac:dyDescent="0.25">
      <c r="A122" s="27" t="s">
        <v>33</v>
      </c>
      <c r="B122" s="28">
        <v>6413</v>
      </c>
    </row>
    <row r="123" spans="1:2" x14ac:dyDescent="0.25">
      <c r="A123" s="27" t="s">
        <v>470</v>
      </c>
      <c r="B123" s="28">
        <v>4500</v>
      </c>
    </row>
    <row r="124" spans="1:2" x14ac:dyDescent="0.25">
      <c r="A124" s="27" t="s">
        <v>240</v>
      </c>
      <c r="B124" s="28">
        <v>4973.58</v>
      </c>
    </row>
    <row r="125" spans="1:2" x14ac:dyDescent="0.25">
      <c r="A125" s="27" t="s">
        <v>999</v>
      </c>
      <c r="B125" s="28">
        <v>990.43999999999994</v>
      </c>
    </row>
    <row r="126" spans="1:2" x14ac:dyDescent="0.25">
      <c r="A126" s="27" t="s">
        <v>1334</v>
      </c>
      <c r="B126" s="28">
        <v>51.47</v>
      </c>
    </row>
    <row r="127" spans="1:2" x14ac:dyDescent="0.25">
      <c r="A127" s="27" t="s">
        <v>1016</v>
      </c>
      <c r="B127" s="28">
        <v>1695</v>
      </c>
    </row>
    <row r="128" spans="1:2" x14ac:dyDescent="0.25">
      <c r="A128" s="27" t="s">
        <v>84</v>
      </c>
      <c r="B128" s="28">
        <v>3691.2</v>
      </c>
    </row>
    <row r="129" spans="1:2" x14ac:dyDescent="0.25">
      <c r="A129" s="27" t="s">
        <v>51</v>
      </c>
      <c r="B129" s="28">
        <v>17711.93</v>
      </c>
    </row>
    <row r="130" spans="1:2" x14ac:dyDescent="0.25">
      <c r="A130" s="27" t="s">
        <v>176</v>
      </c>
      <c r="B130" s="28">
        <v>6000</v>
      </c>
    </row>
    <row r="131" spans="1:2" x14ac:dyDescent="0.25">
      <c r="A131" s="27" t="s">
        <v>977</v>
      </c>
      <c r="B131" s="28">
        <v>18146.849999999999</v>
      </c>
    </row>
    <row r="132" spans="1:2" x14ac:dyDescent="0.25">
      <c r="A132" s="27" t="s">
        <v>476</v>
      </c>
      <c r="B132" s="28">
        <v>282</v>
      </c>
    </row>
    <row r="133" spans="1:2" x14ac:dyDescent="0.25">
      <c r="A133" s="27" t="s">
        <v>867</v>
      </c>
      <c r="B133" s="28">
        <v>2211.84</v>
      </c>
    </row>
    <row r="134" spans="1:2" x14ac:dyDescent="0.25">
      <c r="A134" s="27" t="s">
        <v>752</v>
      </c>
      <c r="B134" s="28">
        <v>1263.56</v>
      </c>
    </row>
    <row r="135" spans="1:2" x14ac:dyDescent="0.25">
      <c r="A135" s="27" t="s">
        <v>887</v>
      </c>
      <c r="B135" s="28">
        <v>7260</v>
      </c>
    </row>
    <row r="136" spans="1:2" x14ac:dyDescent="0.25">
      <c r="A136" s="27" t="s">
        <v>953</v>
      </c>
      <c r="B136" s="28">
        <v>5372.4</v>
      </c>
    </row>
    <row r="137" spans="1:2" x14ac:dyDescent="0.25">
      <c r="A137" s="27" t="s">
        <v>1238</v>
      </c>
      <c r="B137" s="28">
        <v>433.43</v>
      </c>
    </row>
    <row r="138" spans="1:2" x14ac:dyDescent="0.25">
      <c r="A138" s="27" t="s">
        <v>103</v>
      </c>
      <c r="B138" s="28">
        <v>29191.25</v>
      </c>
    </row>
    <row r="139" spans="1:2" x14ac:dyDescent="0.25">
      <c r="A139" s="27" t="s">
        <v>102</v>
      </c>
      <c r="B139" s="28">
        <v>3603.64</v>
      </c>
    </row>
    <row r="140" spans="1:2" x14ac:dyDescent="0.25">
      <c r="A140" s="27" t="s">
        <v>894</v>
      </c>
      <c r="B140" s="28">
        <v>7442.9</v>
      </c>
    </row>
    <row r="141" spans="1:2" x14ac:dyDescent="0.25">
      <c r="A141" s="27" t="s">
        <v>241</v>
      </c>
      <c r="B141" s="28">
        <v>582.62</v>
      </c>
    </row>
    <row r="142" spans="1:2" x14ac:dyDescent="0.25">
      <c r="A142" s="27" t="s">
        <v>862</v>
      </c>
      <c r="B142" s="28">
        <v>1512.5</v>
      </c>
    </row>
    <row r="143" spans="1:2" x14ac:dyDescent="0.25">
      <c r="A143" s="27" t="s">
        <v>492</v>
      </c>
      <c r="B143" s="28">
        <v>2722.5</v>
      </c>
    </row>
    <row r="144" spans="1:2" x14ac:dyDescent="0.25">
      <c r="A144" s="27" t="s">
        <v>56</v>
      </c>
      <c r="B144" s="28">
        <v>5841.93</v>
      </c>
    </row>
    <row r="145" spans="1:2" x14ac:dyDescent="0.25">
      <c r="A145" s="27" t="s">
        <v>984</v>
      </c>
      <c r="B145" s="28">
        <v>1965.4099999999999</v>
      </c>
    </row>
    <row r="146" spans="1:2" x14ac:dyDescent="0.25">
      <c r="A146" s="27" t="s">
        <v>44</v>
      </c>
      <c r="B146" s="28">
        <v>33640.880000000005</v>
      </c>
    </row>
    <row r="147" spans="1:2" x14ac:dyDescent="0.25">
      <c r="A147" s="27" t="s">
        <v>807</v>
      </c>
      <c r="B147" s="28">
        <v>1815</v>
      </c>
    </row>
    <row r="148" spans="1:2" x14ac:dyDescent="0.25">
      <c r="A148" s="27" t="s">
        <v>87</v>
      </c>
      <c r="B148" s="28">
        <v>4800</v>
      </c>
    </row>
    <row r="149" spans="1:2" x14ac:dyDescent="0.25">
      <c r="A149" s="27" t="s">
        <v>461</v>
      </c>
      <c r="B149" s="28">
        <v>3000</v>
      </c>
    </row>
    <row r="150" spans="1:2" x14ac:dyDescent="0.25">
      <c r="A150" s="27" t="s">
        <v>1129</v>
      </c>
      <c r="B150" s="28">
        <v>968</v>
      </c>
    </row>
    <row r="151" spans="1:2" x14ac:dyDescent="0.25">
      <c r="A151" s="27" t="s">
        <v>81</v>
      </c>
      <c r="B151" s="28">
        <v>3960</v>
      </c>
    </row>
    <row r="152" spans="1:2" x14ac:dyDescent="0.25">
      <c r="A152" s="27" t="s">
        <v>86</v>
      </c>
      <c r="B152" s="28">
        <v>7255.16</v>
      </c>
    </row>
    <row r="153" spans="1:2" x14ac:dyDescent="0.25">
      <c r="A153" s="27" t="s">
        <v>503</v>
      </c>
      <c r="B153" s="28">
        <v>5003.96</v>
      </c>
    </row>
    <row r="154" spans="1:2" x14ac:dyDescent="0.25">
      <c r="A154" s="27" t="s">
        <v>932</v>
      </c>
      <c r="B154" s="28">
        <v>5100.2</v>
      </c>
    </row>
    <row r="155" spans="1:2" x14ac:dyDescent="0.25">
      <c r="A155" s="27" t="s">
        <v>757</v>
      </c>
      <c r="B155" s="28">
        <v>428.34</v>
      </c>
    </row>
    <row r="156" spans="1:2" x14ac:dyDescent="0.25">
      <c r="A156" s="27" t="s">
        <v>3024</v>
      </c>
      <c r="B156" s="28">
        <v>2500</v>
      </c>
    </row>
    <row r="157" spans="1:2" x14ac:dyDescent="0.25">
      <c r="A157" s="27" t="s">
        <v>1247</v>
      </c>
      <c r="B157" s="28">
        <v>7260</v>
      </c>
    </row>
    <row r="158" spans="1:2" x14ac:dyDescent="0.25">
      <c r="A158" s="27" t="s">
        <v>1165</v>
      </c>
      <c r="B158" s="28">
        <v>5000</v>
      </c>
    </row>
    <row r="159" spans="1:2" x14ac:dyDescent="0.25">
      <c r="A159" s="27" t="s">
        <v>3259</v>
      </c>
      <c r="B159" s="28">
        <v>319.44</v>
      </c>
    </row>
    <row r="160" spans="1:2" x14ac:dyDescent="0.25">
      <c r="A160" s="27" t="s">
        <v>980</v>
      </c>
      <c r="B160" s="28">
        <v>4463.75</v>
      </c>
    </row>
    <row r="161" spans="1:2" x14ac:dyDescent="0.25">
      <c r="A161" s="27" t="s">
        <v>3371</v>
      </c>
      <c r="B161" s="28">
        <v>118.58</v>
      </c>
    </row>
    <row r="162" spans="1:2" x14ac:dyDescent="0.25">
      <c r="A162" s="27" t="s">
        <v>178</v>
      </c>
      <c r="B162" s="28">
        <v>815.65</v>
      </c>
    </row>
    <row r="163" spans="1:2" x14ac:dyDescent="0.25">
      <c r="A163" s="27" t="s">
        <v>252</v>
      </c>
      <c r="B163" s="28">
        <v>600</v>
      </c>
    </row>
    <row r="164" spans="1:2" x14ac:dyDescent="0.25">
      <c r="A164" s="27" t="s">
        <v>211</v>
      </c>
      <c r="B164" s="28">
        <v>2561.31</v>
      </c>
    </row>
    <row r="165" spans="1:2" x14ac:dyDescent="0.25">
      <c r="A165" s="27" t="s">
        <v>928</v>
      </c>
      <c r="B165" s="28">
        <v>12771</v>
      </c>
    </row>
    <row r="166" spans="1:2" x14ac:dyDescent="0.25">
      <c r="A166" s="27" t="s">
        <v>97</v>
      </c>
      <c r="B166" s="28">
        <v>1411</v>
      </c>
    </row>
    <row r="167" spans="1:2" x14ac:dyDescent="0.25">
      <c r="A167" s="27" t="s">
        <v>232</v>
      </c>
      <c r="B167" s="28">
        <v>972.84</v>
      </c>
    </row>
    <row r="168" spans="1:2" x14ac:dyDescent="0.25">
      <c r="A168" s="27" t="s">
        <v>994</v>
      </c>
      <c r="B168" s="28">
        <v>2600</v>
      </c>
    </row>
    <row r="169" spans="1:2" x14ac:dyDescent="0.25">
      <c r="A169" s="27" t="s">
        <v>1352</v>
      </c>
      <c r="B169" s="28">
        <v>4200</v>
      </c>
    </row>
    <row r="170" spans="1:2" x14ac:dyDescent="0.25">
      <c r="A170" s="27" t="s">
        <v>67</v>
      </c>
      <c r="B170" s="28">
        <v>13140.6</v>
      </c>
    </row>
    <row r="171" spans="1:2" x14ac:dyDescent="0.25">
      <c r="A171" s="27" t="s">
        <v>847</v>
      </c>
      <c r="B171" s="28">
        <v>700</v>
      </c>
    </row>
    <row r="172" spans="1:2" x14ac:dyDescent="0.25">
      <c r="A172" s="27" t="s">
        <v>1135</v>
      </c>
      <c r="B172" s="28">
        <v>81.23</v>
      </c>
    </row>
    <row r="173" spans="1:2" x14ac:dyDescent="0.25">
      <c r="A173" s="27" t="s">
        <v>250</v>
      </c>
      <c r="B173" s="28">
        <v>1454.26</v>
      </c>
    </row>
    <row r="174" spans="1:2" x14ac:dyDescent="0.25">
      <c r="A174" s="27" t="s">
        <v>3213</v>
      </c>
      <c r="B174" s="28">
        <v>1038.1100000000001</v>
      </c>
    </row>
    <row r="175" spans="1:2" x14ac:dyDescent="0.25">
      <c r="A175" s="27" t="s">
        <v>1004</v>
      </c>
      <c r="B175" s="28">
        <v>3548.93</v>
      </c>
    </row>
    <row r="176" spans="1:2" x14ac:dyDescent="0.25">
      <c r="A176" s="27" t="s">
        <v>184</v>
      </c>
      <c r="B176" s="28">
        <v>17500</v>
      </c>
    </row>
    <row r="177" spans="1:2" x14ac:dyDescent="0.25">
      <c r="A177" s="27" t="s">
        <v>209</v>
      </c>
      <c r="B177" s="28">
        <v>5566</v>
      </c>
    </row>
    <row r="178" spans="1:2" x14ac:dyDescent="0.25">
      <c r="A178" s="27" t="s">
        <v>139</v>
      </c>
      <c r="B178" s="28">
        <v>21073.87</v>
      </c>
    </row>
    <row r="179" spans="1:2" x14ac:dyDescent="0.25">
      <c r="A179" s="27" t="s">
        <v>142</v>
      </c>
      <c r="B179" s="28">
        <v>350.9</v>
      </c>
    </row>
    <row r="180" spans="1:2" x14ac:dyDescent="0.25">
      <c r="A180" s="27" t="s">
        <v>3257</v>
      </c>
      <c r="B180" s="28">
        <v>321.73</v>
      </c>
    </row>
    <row r="181" spans="1:2" x14ac:dyDescent="0.25">
      <c r="A181" s="27" t="s">
        <v>31</v>
      </c>
      <c r="B181" s="28">
        <v>3200</v>
      </c>
    </row>
    <row r="182" spans="1:2" x14ac:dyDescent="0.25">
      <c r="A182" s="27" t="s">
        <v>98</v>
      </c>
      <c r="B182" s="28">
        <v>1500</v>
      </c>
    </row>
    <row r="183" spans="1:2" x14ac:dyDescent="0.25">
      <c r="A183" s="27" t="s">
        <v>1008</v>
      </c>
      <c r="B183" s="28">
        <v>1529</v>
      </c>
    </row>
    <row r="184" spans="1:2" x14ac:dyDescent="0.25">
      <c r="A184" s="27" t="s">
        <v>955</v>
      </c>
      <c r="B184" s="28">
        <v>37684.49</v>
      </c>
    </row>
    <row r="185" spans="1:2" x14ac:dyDescent="0.25">
      <c r="A185" s="27" t="s">
        <v>797</v>
      </c>
      <c r="B185" s="28">
        <v>165.87</v>
      </c>
    </row>
    <row r="186" spans="1:2" x14ac:dyDescent="0.25">
      <c r="A186" s="27" t="s">
        <v>1167</v>
      </c>
      <c r="B186" s="28">
        <v>2576.0500000000002</v>
      </c>
    </row>
    <row r="187" spans="1:2" x14ac:dyDescent="0.25">
      <c r="A187" s="27" t="s">
        <v>1014</v>
      </c>
      <c r="B187" s="28">
        <v>544.5</v>
      </c>
    </row>
    <row r="188" spans="1:2" x14ac:dyDescent="0.25">
      <c r="A188" s="27" t="s">
        <v>60</v>
      </c>
      <c r="B188" s="28">
        <v>8473.7999999999993</v>
      </c>
    </row>
    <row r="189" spans="1:2" x14ac:dyDescent="0.25">
      <c r="A189" s="27" t="s">
        <v>507</v>
      </c>
      <c r="B189" s="28">
        <v>453.75</v>
      </c>
    </row>
    <row r="190" spans="1:2" x14ac:dyDescent="0.25">
      <c r="A190" s="27" t="s">
        <v>1269</v>
      </c>
      <c r="B190" s="28">
        <v>484</v>
      </c>
    </row>
    <row r="191" spans="1:2" x14ac:dyDescent="0.25">
      <c r="A191" s="27" t="s">
        <v>88</v>
      </c>
      <c r="B191" s="28">
        <v>4000</v>
      </c>
    </row>
    <row r="192" spans="1:2" x14ac:dyDescent="0.25">
      <c r="A192" s="27" t="s">
        <v>78</v>
      </c>
      <c r="B192" s="28">
        <v>2093.3000000000002</v>
      </c>
    </row>
    <row r="193" spans="1:2" x14ac:dyDescent="0.25">
      <c r="A193" s="27" t="s">
        <v>1025</v>
      </c>
      <c r="B193" s="28">
        <v>419.14</v>
      </c>
    </row>
    <row r="194" spans="1:2" x14ac:dyDescent="0.25">
      <c r="A194" s="27" t="s">
        <v>950</v>
      </c>
      <c r="B194" s="28">
        <v>397.5</v>
      </c>
    </row>
    <row r="195" spans="1:2" x14ac:dyDescent="0.25">
      <c r="A195" s="27" t="s">
        <v>997</v>
      </c>
      <c r="B195" s="28">
        <v>3600.96</v>
      </c>
    </row>
    <row r="196" spans="1:2" x14ac:dyDescent="0.25">
      <c r="A196" s="27" t="s">
        <v>1013</v>
      </c>
      <c r="B196" s="28">
        <v>15000</v>
      </c>
    </row>
    <row r="197" spans="1:2" x14ac:dyDescent="0.25">
      <c r="A197" s="27" t="s">
        <v>224</v>
      </c>
      <c r="B197" s="28">
        <v>2980.7</v>
      </c>
    </row>
    <row r="198" spans="1:2" x14ac:dyDescent="0.25">
      <c r="A198" s="27" t="s">
        <v>3217</v>
      </c>
      <c r="B198" s="28">
        <v>500</v>
      </c>
    </row>
    <row r="199" spans="1:2" x14ac:dyDescent="0.25">
      <c r="A199" s="27" t="s">
        <v>959</v>
      </c>
      <c r="B199" s="28">
        <v>152.07</v>
      </c>
    </row>
    <row r="200" spans="1:2" x14ac:dyDescent="0.25">
      <c r="A200" s="27" t="s">
        <v>174</v>
      </c>
      <c r="B200" s="28">
        <v>179.3</v>
      </c>
    </row>
    <row r="201" spans="1:2" x14ac:dyDescent="0.25">
      <c r="A201" s="27" t="s">
        <v>255</v>
      </c>
      <c r="B201" s="28">
        <v>1172.29</v>
      </c>
    </row>
    <row r="202" spans="1:2" x14ac:dyDescent="0.25">
      <c r="A202" s="27" t="s">
        <v>504</v>
      </c>
      <c r="B202" s="28">
        <v>4950</v>
      </c>
    </row>
    <row r="203" spans="1:2" x14ac:dyDescent="0.25">
      <c r="A203" s="27" t="s">
        <v>1347</v>
      </c>
      <c r="B203" s="28">
        <v>5256.24</v>
      </c>
    </row>
    <row r="204" spans="1:2" x14ac:dyDescent="0.25">
      <c r="A204" s="27" t="s">
        <v>1143</v>
      </c>
      <c r="B204" s="28">
        <v>25185.67</v>
      </c>
    </row>
    <row r="205" spans="1:2" x14ac:dyDescent="0.25">
      <c r="A205" s="27" t="s">
        <v>832</v>
      </c>
      <c r="B205" s="28">
        <v>304</v>
      </c>
    </row>
    <row r="206" spans="1:2" x14ac:dyDescent="0.25">
      <c r="A206" s="27" t="s">
        <v>83</v>
      </c>
      <c r="B206" s="28">
        <v>481.56</v>
      </c>
    </row>
    <row r="207" spans="1:2" x14ac:dyDescent="0.25">
      <c r="A207" s="27" t="s">
        <v>863</v>
      </c>
      <c r="B207" s="28">
        <v>847</v>
      </c>
    </row>
    <row r="208" spans="1:2" x14ac:dyDescent="0.25">
      <c r="A208" s="27" t="s">
        <v>814</v>
      </c>
      <c r="B208" s="28">
        <v>300.56</v>
      </c>
    </row>
    <row r="209" spans="1:2" x14ac:dyDescent="0.25">
      <c r="A209" s="27" t="s">
        <v>96</v>
      </c>
      <c r="B209" s="28">
        <v>7000</v>
      </c>
    </row>
    <row r="210" spans="1:2" x14ac:dyDescent="0.25">
      <c r="A210" s="27" t="s">
        <v>2746</v>
      </c>
      <c r="B210" s="28">
        <v>3729.28</v>
      </c>
    </row>
    <row r="211" spans="1:2" x14ac:dyDescent="0.25">
      <c r="A211" s="27" t="s">
        <v>1026</v>
      </c>
      <c r="B211" s="28">
        <v>272.25</v>
      </c>
    </row>
    <row r="212" spans="1:2" x14ac:dyDescent="0.25">
      <c r="A212" s="27" t="s">
        <v>61</v>
      </c>
      <c r="B212" s="28">
        <v>1818</v>
      </c>
    </row>
    <row r="213" spans="1:2" x14ac:dyDescent="0.25">
      <c r="A213" s="27" t="s">
        <v>68</v>
      </c>
      <c r="B213" s="28">
        <v>6981.7</v>
      </c>
    </row>
    <row r="214" spans="1:2" x14ac:dyDescent="0.25">
      <c r="A214" s="27" t="s">
        <v>65</v>
      </c>
      <c r="B214" s="28">
        <v>1490</v>
      </c>
    </row>
    <row r="215" spans="1:2" x14ac:dyDescent="0.25">
      <c r="A215" s="27" t="s">
        <v>2730</v>
      </c>
      <c r="B215" s="28">
        <v>5899</v>
      </c>
    </row>
    <row r="216" spans="1:2" x14ac:dyDescent="0.25">
      <c r="A216" s="27" t="s">
        <v>870</v>
      </c>
      <c r="B216" s="28">
        <v>606.21</v>
      </c>
    </row>
    <row r="217" spans="1:2" x14ac:dyDescent="0.25">
      <c r="A217" s="27" t="s">
        <v>131</v>
      </c>
      <c r="B217" s="28">
        <v>20652.29</v>
      </c>
    </row>
    <row r="218" spans="1:2" x14ac:dyDescent="0.25">
      <c r="A218" s="27" t="s">
        <v>207</v>
      </c>
      <c r="B218" s="28">
        <v>2045.17</v>
      </c>
    </row>
    <row r="219" spans="1:2" x14ac:dyDescent="0.25">
      <c r="A219" s="27" t="s">
        <v>74</v>
      </c>
      <c r="B219" s="28">
        <v>18994.739999999998</v>
      </c>
    </row>
    <row r="220" spans="1:2" x14ac:dyDescent="0.25">
      <c r="A220" s="27" t="s">
        <v>48</v>
      </c>
      <c r="B220" s="28">
        <v>6682.83</v>
      </c>
    </row>
    <row r="221" spans="1:2" x14ac:dyDescent="0.25">
      <c r="A221" s="27" t="s">
        <v>1002</v>
      </c>
      <c r="B221" s="28">
        <v>1082.95</v>
      </c>
    </row>
    <row r="222" spans="1:2" x14ac:dyDescent="0.25">
      <c r="A222" s="27" t="s">
        <v>152</v>
      </c>
      <c r="B222" s="28">
        <v>4384.66</v>
      </c>
    </row>
    <row r="223" spans="1:2" x14ac:dyDescent="0.25">
      <c r="A223" s="27" t="s">
        <v>2678</v>
      </c>
      <c r="B223" s="28">
        <v>383.57</v>
      </c>
    </row>
    <row r="224" spans="1:2" x14ac:dyDescent="0.25">
      <c r="A224" s="27" t="s">
        <v>89</v>
      </c>
      <c r="B224" s="28">
        <v>7000</v>
      </c>
    </row>
    <row r="225" spans="1:2" x14ac:dyDescent="0.25">
      <c r="A225" s="27" t="s">
        <v>93</v>
      </c>
      <c r="B225" s="28">
        <v>3952</v>
      </c>
    </row>
    <row r="226" spans="1:2" x14ac:dyDescent="0.25">
      <c r="A226" s="27" t="s">
        <v>30</v>
      </c>
      <c r="B226" s="28">
        <v>3200</v>
      </c>
    </row>
    <row r="227" spans="1:2" x14ac:dyDescent="0.25">
      <c r="A227" s="27" t="s">
        <v>998</v>
      </c>
      <c r="B227" s="28">
        <v>3715.2000000000003</v>
      </c>
    </row>
    <row r="228" spans="1:2" x14ac:dyDescent="0.25">
      <c r="A228" s="27" t="s">
        <v>469</v>
      </c>
      <c r="B228" s="28">
        <v>3515.88</v>
      </c>
    </row>
    <row r="229" spans="1:2" x14ac:dyDescent="0.25">
      <c r="A229" s="27" t="s">
        <v>477</v>
      </c>
      <c r="B229" s="28">
        <v>6322.25</v>
      </c>
    </row>
    <row r="230" spans="1:2" x14ac:dyDescent="0.25">
      <c r="A230" s="27" t="s">
        <v>228</v>
      </c>
      <c r="B230" s="28">
        <v>7935.79</v>
      </c>
    </row>
    <row r="231" spans="1:2" x14ac:dyDescent="0.25">
      <c r="A231" s="27" t="s">
        <v>235</v>
      </c>
      <c r="B231" s="28">
        <v>7000</v>
      </c>
    </row>
    <row r="232" spans="1:2" x14ac:dyDescent="0.25">
      <c r="A232" s="27" t="s">
        <v>63</v>
      </c>
      <c r="B232" s="28">
        <v>14140.44</v>
      </c>
    </row>
    <row r="233" spans="1:2" x14ac:dyDescent="0.25">
      <c r="A233" s="27" t="s">
        <v>483</v>
      </c>
      <c r="B233" s="28">
        <v>1533.44</v>
      </c>
    </row>
    <row r="234" spans="1:2" x14ac:dyDescent="0.25">
      <c r="A234" s="27" t="s">
        <v>90</v>
      </c>
      <c r="B234" s="28">
        <v>3000</v>
      </c>
    </row>
    <row r="235" spans="1:2" x14ac:dyDescent="0.25">
      <c r="A235" s="27" t="s">
        <v>1284</v>
      </c>
      <c r="B235" s="28">
        <v>964.45</v>
      </c>
    </row>
    <row r="236" spans="1:2" x14ac:dyDescent="0.25">
      <c r="A236" s="27" t="s">
        <v>1336</v>
      </c>
      <c r="B236" s="28">
        <v>2000</v>
      </c>
    </row>
    <row r="237" spans="1:2" x14ac:dyDescent="0.25">
      <c r="A237" s="27" t="s">
        <v>506</v>
      </c>
      <c r="B237" s="28">
        <v>3095.18</v>
      </c>
    </row>
    <row r="238" spans="1:2" x14ac:dyDescent="0.25">
      <c r="A238" s="27" t="s">
        <v>49</v>
      </c>
      <c r="B238" s="28">
        <v>29281.200000000001</v>
      </c>
    </row>
    <row r="239" spans="1:2" x14ac:dyDescent="0.25">
      <c r="A239" s="27" t="s">
        <v>996</v>
      </c>
      <c r="B239" s="28">
        <v>1230.93</v>
      </c>
    </row>
    <row r="240" spans="1:2" x14ac:dyDescent="0.25">
      <c r="A240" s="27" t="s">
        <v>859</v>
      </c>
      <c r="B240" s="28">
        <v>902</v>
      </c>
    </row>
    <row r="241" spans="1:2" x14ac:dyDescent="0.25">
      <c r="A241" s="27" t="s">
        <v>73</v>
      </c>
      <c r="B241" s="28">
        <v>2055.2600000000002</v>
      </c>
    </row>
    <row r="242" spans="1:2" x14ac:dyDescent="0.25">
      <c r="A242" s="27" t="s">
        <v>466</v>
      </c>
      <c r="B242" s="28">
        <v>2000</v>
      </c>
    </row>
    <row r="243" spans="1:2" x14ac:dyDescent="0.25">
      <c r="A243" s="27" t="s">
        <v>99</v>
      </c>
      <c r="B243" s="28">
        <v>3604.67</v>
      </c>
    </row>
    <row r="244" spans="1:2" x14ac:dyDescent="0.25">
      <c r="A244" s="27" t="s">
        <v>803</v>
      </c>
      <c r="B244" s="28">
        <v>2843.5</v>
      </c>
    </row>
    <row r="245" spans="1:2" x14ac:dyDescent="0.25">
      <c r="A245" s="27" t="s">
        <v>95</v>
      </c>
      <c r="B245" s="28">
        <v>2500</v>
      </c>
    </row>
    <row r="246" spans="1:2" x14ac:dyDescent="0.25">
      <c r="A246" s="27" t="s">
        <v>119</v>
      </c>
      <c r="B246" s="28">
        <v>3000</v>
      </c>
    </row>
    <row r="247" spans="1:2" x14ac:dyDescent="0.25">
      <c r="A247" s="27" t="s">
        <v>481</v>
      </c>
      <c r="B247" s="28">
        <v>340.38</v>
      </c>
    </row>
    <row r="248" spans="1:2" x14ac:dyDescent="0.25">
      <c r="A248" s="27" t="s">
        <v>206</v>
      </c>
      <c r="B248" s="28">
        <v>1500</v>
      </c>
    </row>
    <row r="249" spans="1:2" x14ac:dyDescent="0.25">
      <c r="A249" s="27" t="s">
        <v>1012</v>
      </c>
      <c r="B249" s="28">
        <v>495</v>
      </c>
    </row>
    <row r="250" spans="1:2" x14ac:dyDescent="0.25">
      <c r="A250" s="27" t="s">
        <v>500</v>
      </c>
      <c r="B250" s="28">
        <v>13939.2</v>
      </c>
    </row>
    <row r="251" spans="1:2" x14ac:dyDescent="0.25">
      <c r="A251" s="27" t="s">
        <v>2554</v>
      </c>
      <c r="B251" s="28">
        <v>248.05</v>
      </c>
    </row>
    <row r="252" spans="1:2" x14ac:dyDescent="0.25">
      <c r="A252" s="27" t="s">
        <v>1006</v>
      </c>
      <c r="B252" s="28">
        <v>1324.95</v>
      </c>
    </row>
    <row r="253" spans="1:2" x14ac:dyDescent="0.25">
      <c r="A253" s="27" t="s">
        <v>821</v>
      </c>
      <c r="B253" s="28">
        <v>2100.4</v>
      </c>
    </row>
    <row r="254" spans="1:2" x14ac:dyDescent="0.25">
      <c r="A254" s="27" t="s">
        <v>849</v>
      </c>
      <c r="B254" s="28">
        <v>349</v>
      </c>
    </row>
    <row r="255" spans="1:2" x14ac:dyDescent="0.25">
      <c r="A255" s="27" t="s">
        <v>468</v>
      </c>
      <c r="B255" s="28">
        <v>818.4</v>
      </c>
    </row>
    <row r="256" spans="1:2" x14ac:dyDescent="0.25">
      <c r="A256" s="27" t="s">
        <v>217</v>
      </c>
      <c r="B256" s="28">
        <v>8352.09</v>
      </c>
    </row>
    <row r="257" spans="1:2" x14ac:dyDescent="0.25">
      <c r="A257" s="27" t="s">
        <v>885</v>
      </c>
      <c r="B257" s="28">
        <v>6479.55</v>
      </c>
    </row>
    <row r="258" spans="1:2" x14ac:dyDescent="0.25">
      <c r="A258" s="27" t="s">
        <v>475</v>
      </c>
      <c r="B258" s="28">
        <v>3000</v>
      </c>
    </row>
    <row r="259" spans="1:2" x14ac:dyDescent="0.25">
      <c r="A259" s="27" t="s">
        <v>854</v>
      </c>
      <c r="B259" s="28">
        <v>1503.37</v>
      </c>
    </row>
    <row r="260" spans="1:2" x14ac:dyDescent="0.25">
      <c r="A260" s="27" t="s">
        <v>881</v>
      </c>
      <c r="B260" s="28">
        <v>12619.34</v>
      </c>
    </row>
    <row r="261" spans="1:2" x14ac:dyDescent="0.25">
      <c r="A261" s="27" t="s">
        <v>245</v>
      </c>
      <c r="B261" s="28">
        <v>300</v>
      </c>
    </row>
    <row r="262" spans="1:2" x14ac:dyDescent="0.25">
      <c r="A262" s="27" t="s">
        <v>201</v>
      </c>
      <c r="B262" s="28">
        <v>758.72</v>
      </c>
    </row>
    <row r="263" spans="1:2" x14ac:dyDescent="0.25">
      <c r="A263" s="27" t="s">
        <v>1353</v>
      </c>
      <c r="B263" s="28">
        <v>800</v>
      </c>
    </row>
    <row r="264" spans="1:2" x14ac:dyDescent="0.25">
      <c r="A264" s="27" t="s">
        <v>1286</v>
      </c>
      <c r="B264" s="28">
        <v>484</v>
      </c>
    </row>
    <row r="265" spans="1:2" x14ac:dyDescent="0.25">
      <c r="A265" s="27" t="s">
        <v>3115</v>
      </c>
      <c r="B265" s="28">
        <v>598.95000000000005</v>
      </c>
    </row>
    <row r="266" spans="1:2" x14ac:dyDescent="0.25">
      <c r="A266" s="27" t="s">
        <v>594</v>
      </c>
      <c r="B266" s="28">
        <v>7260</v>
      </c>
    </row>
    <row r="267" spans="1:2" x14ac:dyDescent="0.25">
      <c r="A267" s="27" t="s">
        <v>933</v>
      </c>
      <c r="B267" s="28">
        <v>3539.25</v>
      </c>
    </row>
    <row r="268" spans="1:2" x14ac:dyDescent="0.25">
      <c r="A268" s="27" t="s">
        <v>570</v>
      </c>
      <c r="B268" s="28">
        <v>108.16</v>
      </c>
    </row>
    <row r="269" spans="1:2" x14ac:dyDescent="0.25">
      <c r="A269" s="27" t="s">
        <v>574</v>
      </c>
      <c r="B269" s="28">
        <v>196</v>
      </c>
    </row>
    <row r="270" spans="1:2" x14ac:dyDescent="0.25">
      <c r="A270" s="27" t="s">
        <v>965</v>
      </c>
      <c r="B270" s="28">
        <v>5631.25</v>
      </c>
    </row>
    <row r="271" spans="1:2" x14ac:dyDescent="0.25">
      <c r="A271" s="27" t="s">
        <v>589</v>
      </c>
      <c r="B271" s="28">
        <v>11.86</v>
      </c>
    </row>
    <row r="272" spans="1:2" x14ac:dyDescent="0.25">
      <c r="A272" s="27" t="s">
        <v>1260</v>
      </c>
      <c r="B272" s="28">
        <v>431.55</v>
      </c>
    </row>
    <row r="273" spans="1:2" x14ac:dyDescent="0.25">
      <c r="A273" s="27" t="s">
        <v>598</v>
      </c>
      <c r="B273" s="28">
        <v>1525.56</v>
      </c>
    </row>
    <row r="274" spans="1:2" x14ac:dyDescent="0.25">
      <c r="A274" s="27" t="s">
        <v>581</v>
      </c>
      <c r="B274" s="28">
        <v>7260</v>
      </c>
    </row>
    <row r="275" spans="1:2" x14ac:dyDescent="0.25">
      <c r="A275" s="27" t="s">
        <v>582</v>
      </c>
      <c r="B275" s="28">
        <v>2180.54</v>
      </c>
    </row>
    <row r="276" spans="1:2" x14ac:dyDescent="0.25">
      <c r="A276" s="27" t="s">
        <v>584</v>
      </c>
      <c r="B276" s="28">
        <v>7260</v>
      </c>
    </row>
    <row r="277" spans="1:2" x14ac:dyDescent="0.25">
      <c r="A277" s="27" t="s">
        <v>585</v>
      </c>
      <c r="B277" s="28">
        <v>5000</v>
      </c>
    </row>
    <row r="278" spans="1:2" x14ac:dyDescent="0.25">
      <c r="A278" s="27" t="s">
        <v>590</v>
      </c>
      <c r="B278" s="28">
        <v>4037.65</v>
      </c>
    </row>
    <row r="279" spans="1:2" x14ac:dyDescent="0.25">
      <c r="A279" s="27" t="s">
        <v>591</v>
      </c>
      <c r="B279" s="28">
        <v>1000</v>
      </c>
    </row>
    <row r="280" spans="1:2" x14ac:dyDescent="0.25">
      <c r="A280" s="27" t="s">
        <v>512</v>
      </c>
      <c r="B280" s="28">
        <v>23298.55</v>
      </c>
    </row>
    <row r="281" spans="1:2" x14ac:dyDescent="0.25">
      <c r="A281" s="27" t="s">
        <v>595</v>
      </c>
      <c r="B281" s="28">
        <v>580.79999999999995</v>
      </c>
    </row>
    <row r="282" spans="1:2" x14ac:dyDescent="0.25">
      <c r="A282" s="27" t="s">
        <v>639</v>
      </c>
      <c r="B282" s="28">
        <v>2000</v>
      </c>
    </row>
    <row r="283" spans="1:2" x14ac:dyDescent="0.25">
      <c r="A283" s="27" t="s">
        <v>641</v>
      </c>
      <c r="B283" s="28">
        <v>262.89999999999998</v>
      </c>
    </row>
    <row r="284" spans="1:2" x14ac:dyDescent="0.25">
      <c r="A284" s="27" t="s">
        <v>656</v>
      </c>
      <c r="B284" s="28">
        <v>1370</v>
      </c>
    </row>
    <row r="285" spans="1:2" x14ac:dyDescent="0.25">
      <c r="A285" s="27" t="s">
        <v>672</v>
      </c>
      <c r="B285" s="28">
        <v>7260</v>
      </c>
    </row>
    <row r="286" spans="1:2" x14ac:dyDescent="0.25">
      <c r="A286" s="27" t="s">
        <v>675</v>
      </c>
      <c r="B286" s="28">
        <v>5777.75</v>
      </c>
    </row>
    <row r="287" spans="1:2" x14ac:dyDescent="0.25">
      <c r="A287" s="27" t="s">
        <v>684</v>
      </c>
      <c r="B287" s="28">
        <v>108.9</v>
      </c>
    </row>
    <row r="288" spans="1:2" x14ac:dyDescent="0.25">
      <c r="A288" s="27" t="s">
        <v>691</v>
      </c>
      <c r="B288" s="28">
        <v>1848.88</v>
      </c>
    </row>
    <row r="289" spans="1:2" x14ac:dyDescent="0.25">
      <c r="A289" s="27" t="s">
        <v>705</v>
      </c>
      <c r="B289" s="28">
        <v>9251.08</v>
      </c>
    </row>
    <row r="290" spans="1:2" x14ac:dyDescent="0.25">
      <c r="A290" s="27" t="s">
        <v>709</v>
      </c>
      <c r="B290" s="28">
        <v>4504.3999999999996</v>
      </c>
    </row>
    <row r="291" spans="1:2" x14ac:dyDescent="0.25">
      <c r="A291" s="27" t="s">
        <v>727</v>
      </c>
      <c r="B291" s="28">
        <v>3060</v>
      </c>
    </row>
    <row r="292" spans="1:2" x14ac:dyDescent="0.25">
      <c r="A292" s="27" t="s">
        <v>736</v>
      </c>
      <c r="B292" s="28">
        <v>50</v>
      </c>
    </row>
    <row r="293" spans="1:2" x14ac:dyDescent="0.25">
      <c r="A293" s="27" t="s">
        <v>740</v>
      </c>
      <c r="B293" s="28">
        <v>1161.5999999999999</v>
      </c>
    </row>
    <row r="294" spans="1:2" x14ac:dyDescent="0.25">
      <c r="A294" s="27" t="s">
        <v>758</v>
      </c>
      <c r="B294" s="28">
        <v>4568.96</v>
      </c>
    </row>
    <row r="295" spans="1:2" x14ac:dyDescent="0.25">
      <c r="A295" s="27" t="s">
        <v>773</v>
      </c>
      <c r="B295" s="28">
        <v>89</v>
      </c>
    </row>
    <row r="296" spans="1:2" x14ac:dyDescent="0.25">
      <c r="A296" s="27" t="s">
        <v>794</v>
      </c>
      <c r="B296" s="28">
        <v>12417.05</v>
      </c>
    </row>
    <row r="297" spans="1:2" x14ac:dyDescent="0.25">
      <c r="A297" s="27" t="s">
        <v>795</v>
      </c>
      <c r="B297" s="28">
        <v>252.1</v>
      </c>
    </row>
    <row r="298" spans="1:2" x14ac:dyDescent="0.25">
      <c r="A298" s="27" t="s">
        <v>820</v>
      </c>
      <c r="B298" s="28">
        <v>484</v>
      </c>
    </row>
    <row r="299" spans="1:2" x14ac:dyDescent="0.25">
      <c r="A299" s="27" t="s">
        <v>823</v>
      </c>
      <c r="B299" s="28">
        <v>440</v>
      </c>
    </row>
    <row r="300" spans="1:2" x14ac:dyDescent="0.25">
      <c r="A300" s="27" t="s">
        <v>824</v>
      </c>
      <c r="B300" s="28">
        <v>1089</v>
      </c>
    </row>
    <row r="301" spans="1:2" x14ac:dyDescent="0.25">
      <c r="A301" s="27" t="s">
        <v>827</v>
      </c>
      <c r="B301" s="28">
        <v>484</v>
      </c>
    </row>
    <row r="302" spans="1:2" x14ac:dyDescent="0.25">
      <c r="A302" s="27" t="s">
        <v>828</v>
      </c>
      <c r="B302" s="28">
        <v>567.01</v>
      </c>
    </row>
    <row r="303" spans="1:2" x14ac:dyDescent="0.25">
      <c r="A303" s="27" t="s">
        <v>830</v>
      </c>
      <c r="B303" s="28">
        <v>596.53</v>
      </c>
    </row>
    <row r="304" spans="1:2" x14ac:dyDescent="0.25">
      <c r="A304" s="27" t="s">
        <v>844</v>
      </c>
      <c r="B304" s="28">
        <v>0.01</v>
      </c>
    </row>
    <row r="305" spans="1:2" x14ac:dyDescent="0.25">
      <c r="A305" s="27" t="s">
        <v>848</v>
      </c>
      <c r="B305" s="28">
        <v>6655</v>
      </c>
    </row>
    <row r="306" spans="1:2" x14ac:dyDescent="0.25">
      <c r="A306" s="27" t="s">
        <v>851</v>
      </c>
      <c r="B306" s="28">
        <v>1386</v>
      </c>
    </row>
    <row r="307" spans="1:2" x14ac:dyDescent="0.25">
      <c r="A307" s="27" t="s">
        <v>869</v>
      </c>
      <c r="B307" s="28">
        <v>2420</v>
      </c>
    </row>
    <row r="308" spans="1:2" x14ac:dyDescent="0.25">
      <c r="A308" s="27" t="s">
        <v>873</v>
      </c>
      <c r="B308" s="28">
        <v>3746.16</v>
      </c>
    </row>
    <row r="309" spans="1:2" x14ac:dyDescent="0.25">
      <c r="A309" s="27" t="s">
        <v>886</v>
      </c>
      <c r="B309" s="28">
        <v>1950</v>
      </c>
    </row>
    <row r="310" spans="1:2" x14ac:dyDescent="0.25">
      <c r="A310" s="27" t="s">
        <v>896</v>
      </c>
      <c r="B310" s="28">
        <v>181.5</v>
      </c>
    </row>
    <row r="311" spans="1:2" x14ac:dyDescent="0.25">
      <c r="A311" s="27" t="s">
        <v>903</v>
      </c>
      <c r="B311" s="28">
        <v>44199.23</v>
      </c>
    </row>
    <row r="312" spans="1:2" x14ac:dyDescent="0.25">
      <c r="A312" s="27" t="s">
        <v>922</v>
      </c>
      <c r="B312" s="28">
        <v>658.24</v>
      </c>
    </row>
    <row r="313" spans="1:2" x14ac:dyDescent="0.25">
      <c r="A313" s="27" t="s">
        <v>925</v>
      </c>
      <c r="B313" s="28">
        <v>2500</v>
      </c>
    </row>
    <row r="314" spans="1:2" x14ac:dyDescent="0.25">
      <c r="A314" s="27" t="s">
        <v>934</v>
      </c>
      <c r="B314" s="28">
        <v>1902.44</v>
      </c>
    </row>
    <row r="315" spans="1:2" x14ac:dyDescent="0.25">
      <c r="A315" s="27" t="s">
        <v>936</v>
      </c>
      <c r="B315" s="28">
        <v>5390.55</v>
      </c>
    </row>
    <row r="316" spans="1:2" x14ac:dyDescent="0.25">
      <c r="A316" s="27" t="s">
        <v>952</v>
      </c>
      <c r="B316" s="28">
        <v>13668.89</v>
      </c>
    </row>
    <row r="317" spans="1:2" x14ac:dyDescent="0.25">
      <c r="A317" s="27" t="s">
        <v>957</v>
      </c>
      <c r="B317" s="28">
        <v>6267.8</v>
      </c>
    </row>
    <row r="318" spans="1:2" x14ac:dyDescent="0.25">
      <c r="A318" s="27" t="s">
        <v>962</v>
      </c>
      <c r="B318" s="28">
        <v>3704</v>
      </c>
    </row>
    <row r="319" spans="1:2" x14ac:dyDescent="0.25">
      <c r="A319" s="27" t="s">
        <v>968</v>
      </c>
      <c r="B319" s="28">
        <v>1794.43</v>
      </c>
    </row>
    <row r="320" spans="1:2" x14ac:dyDescent="0.25">
      <c r="A320" s="27" t="s">
        <v>972</v>
      </c>
      <c r="B320" s="28">
        <v>626.29999999999995</v>
      </c>
    </row>
    <row r="321" spans="1:2" x14ac:dyDescent="0.25">
      <c r="A321" s="27" t="s">
        <v>973</v>
      </c>
      <c r="B321" s="28">
        <v>1732.72</v>
      </c>
    </row>
    <row r="322" spans="1:2" x14ac:dyDescent="0.25">
      <c r="A322" s="27" t="s">
        <v>975</v>
      </c>
      <c r="B322" s="28">
        <v>8417.85</v>
      </c>
    </row>
    <row r="323" spans="1:2" x14ac:dyDescent="0.25">
      <c r="A323" s="27" t="s">
        <v>981</v>
      </c>
      <c r="B323" s="28">
        <v>1000</v>
      </c>
    </row>
    <row r="324" spans="1:2" x14ac:dyDescent="0.25">
      <c r="A324" s="27" t="s">
        <v>982</v>
      </c>
      <c r="B324" s="28">
        <v>2500</v>
      </c>
    </row>
    <row r="325" spans="1:2" x14ac:dyDescent="0.25">
      <c r="A325" s="27" t="s">
        <v>985</v>
      </c>
      <c r="B325" s="28">
        <v>1355.81</v>
      </c>
    </row>
    <row r="326" spans="1:2" x14ac:dyDescent="0.25">
      <c r="A326" s="27" t="s">
        <v>988</v>
      </c>
      <c r="B326" s="28">
        <v>1149.5</v>
      </c>
    </row>
    <row r="327" spans="1:2" x14ac:dyDescent="0.25">
      <c r="A327" s="27" t="s">
        <v>989</v>
      </c>
      <c r="B327" s="28">
        <v>2930</v>
      </c>
    </row>
    <row r="328" spans="1:2" x14ac:dyDescent="0.25">
      <c r="A328" s="27" t="s">
        <v>990</v>
      </c>
      <c r="B328" s="28">
        <v>1597.2</v>
      </c>
    </row>
    <row r="329" spans="1:2" x14ac:dyDescent="0.25">
      <c r="A329" s="27" t="s">
        <v>995</v>
      </c>
      <c r="B329" s="28">
        <v>500</v>
      </c>
    </row>
    <row r="330" spans="1:2" x14ac:dyDescent="0.25">
      <c r="A330" s="27" t="s">
        <v>1000</v>
      </c>
      <c r="B330" s="28">
        <v>440</v>
      </c>
    </row>
    <row r="331" spans="1:2" x14ac:dyDescent="0.25">
      <c r="A331" s="27" t="s">
        <v>1005</v>
      </c>
      <c r="B331" s="28">
        <v>1159</v>
      </c>
    </row>
    <row r="332" spans="1:2" x14ac:dyDescent="0.25">
      <c r="A332" s="27" t="s">
        <v>1018</v>
      </c>
      <c r="B332" s="28">
        <v>1016.4</v>
      </c>
    </row>
    <row r="333" spans="1:2" x14ac:dyDescent="0.25">
      <c r="A333" s="27" t="s">
        <v>1021</v>
      </c>
      <c r="B333" s="28">
        <v>380</v>
      </c>
    </row>
    <row r="334" spans="1:2" x14ac:dyDescent="0.25">
      <c r="A334" s="27" t="s">
        <v>1027</v>
      </c>
      <c r="B334" s="28">
        <v>4180.8</v>
      </c>
    </row>
    <row r="335" spans="1:2" x14ac:dyDescent="0.25">
      <c r="A335" s="27" t="s">
        <v>1032</v>
      </c>
      <c r="B335" s="28">
        <v>209.98</v>
      </c>
    </row>
    <row r="336" spans="1:2" x14ac:dyDescent="0.25">
      <c r="A336" s="27" t="s">
        <v>1033</v>
      </c>
      <c r="B336" s="28">
        <v>459.8</v>
      </c>
    </row>
    <row r="337" spans="1:2" x14ac:dyDescent="0.25">
      <c r="A337" s="27" t="s">
        <v>1034</v>
      </c>
      <c r="B337" s="28">
        <v>508.2</v>
      </c>
    </row>
    <row r="338" spans="1:2" x14ac:dyDescent="0.25">
      <c r="A338" s="27" t="s">
        <v>1035</v>
      </c>
      <c r="B338" s="28">
        <v>399.35</v>
      </c>
    </row>
    <row r="339" spans="1:2" x14ac:dyDescent="0.25">
      <c r="A339" s="27" t="s">
        <v>1050</v>
      </c>
      <c r="B339" s="28">
        <v>3876.1200000000003</v>
      </c>
    </row>
    <row r="340" spans="1:2" x14ac:dyDescent="0.25">
      <c r="A340" s="27" t="s">
        <v>1102</v>
      </c>
      <c r="B340" s="28">
        <v>943.8</v>
      </c>
    </row>
    <row r="341" spans="1:2" x14ac:dyDescent="0.25">
      <c r="A341" s="27" t="s">
        <v>1108</v>
      </c>
      <c r="B341" s="28">
        <v>3872</v>
      </c>
    </row>
    <row r="342" spans="1:2" x14ac:dyDescent="0.25">
      <c r="A342" s="27" t="s">
        <v>1130</v>
      </c>
      <c r="B342" s="28">
        <v>8973.36</v>
      </c>
    </row>
    <row r="343" spans="1:2" x14ac:dyDescent="0.25">
      <c r="A343" s="27" t="s">
        <v>1133</v>
      </c>
      <c r="B343" s="28">
        <v>90</v>
      </c>
    </row>
    <row r="344" spans="1:2" x14ac:dyDescent="0.25">
      <c r="A344" s="27" t="s">
        <v>1140</v>
      </c>
      <c r="B344" s="28">
        <v>7199.5</v>
      </c>
    </row>
    <row r="345" spans="1:2" x14ac:dyDescent="0.25">
      <c r="A345" s="27" t="s">
        <v>1145</v>
      </c>
      <c r="B345" s="28">
        <v>1419</v>
      </c>
    </row>
    <row r="346" spans="1:2" x14ac:dyDescent="0.25">
      <c r="A346" s="27" t="s">
        <v>1146</v>
      </c>
      <c r="B346" s="28">
        <v>500</v>
      </c>
    </row>
    <row r="347" spans="1:2" x14ac:dyDescent="0.25">
      <c r="A347" s="27" t="s">
        <v>1152</v>
      </c>
      <c r="B347" s="28">
        <v>1197.9000000000001</v>
      </c>
    </row>
    <row r="348" spans="1:2" x14ac:dyDescent="0.25">
      <c r="A348" s="27" t="s">
        <v>1179</v>
      </c>
      <c r="B348" s="28">
        <v>1605.67</v>
      </c>
    </row>
    <row r="349" spans="1:2" x14ac:dyDescent="0.25">
      <c r="A349" s="27" t="s">
        <v>1184</v>
      </c>
      <c r="B349" s="28">
        <v>5390.4</v>
      </c>
    </row>
    <row r="350" spans="1:2" x14ac:dyDescent="0.25">
      <c r="A350" s="27" t="s">
        <v>1199</v>
      </c>
      <c r="B350" s="28">
        <v>726</v>
      </c>
    </row>
    <row r="351" spans="1:2" x14ac:dyDescent="0.25">
      <c r="A351" s="27" t="s">
        <v>1223</v>
      </c>
      <c r="B351" s="28">
        <v>7128.11</v>
      </c>
    </row>
    <row r="352" spans="1:2" x14ac:dyDescent="0.25">
      <c r="A352" s="27" t="s">
        <v>1225</v>
      </c>
      <c r="B352" s="28">
        <v>8470</v>
      </c>
    </row>
    <row r="353" spans="1:2" x14ac:dyDescent="0.25">
      <c r="A353" s="27" t="s">
        <v>1229</v>
      </c>
      <c r="B353" s="28">
        <v>2000</v>
      </c>
    </row>
    <row r="354" spans="1:2" x14ac:dyDescent="0.25">
      <c r="A354" s="27" t="s">
        <v>1232</v>
      </c>
      <c r="B354" s="28">
        <v>8232.84</v>
      </c>
    </row>
    <row r="355" spans="1:2" x14ac:dyDescent="0.25">
      <c r="A355" s="27" t="s">
        <v>1236</v>
      </c>
      <c r="B355" s="28">
        <v>10465.43</v>
      </c>
    </row>
    <row r="356" spans="1:2" x14ac:dyDescent="0.25">
      <c r="A356" s="27" t="s">
        <v>1242</v>
      </c>
      <c r="B356" s="28">
        <v>550.54999999999995</v>
      </c>
    </row>
    <row r="357" spans="1:2" x14ac:dyDescent="0.25">
      <c r="A357" s="27" t="s">
        <v>1255</v>
      </c>
      <c r="B357" s="28">
        <v>544.5</v>
      </c>
    </row>
    <row r="358" spans="1:2" x14ac:dyDescent="0.25">
      <c r="A358" s="27" t="s">
        <v>1256</v>
      </c>
      <c r="B358" s="28">
        <v>458</v>
      </c>
    </row>
    <row r="359" spans="1:2" x14ac:dyDescent="0.25">
      <c r="A359" s="27" t="s">
        <v>1261</v>
      </c>
      <c r="B359" s="28">
        <v>544.5</v>
      </c>
    </row>
    <row r="360" spans="1:2" x14ac:dyDescent="0.25">
      <c r="A360" s="27" t="s">
        <v>1267</v>
      </c>
      <c r="B360" s="28">
        <v>4114</v>
      </c>
    </row>
    <row r="361" spans="1:2" x14ac:dyDescent="0.25">
      <c r="A361" s="27" t="s">
        <v>1268</v>
      </c>
      <c r="B361" s="28">
        <v>260</v>
      </c>
    </row>
    <row r="362" spans="1:2" x14ac:dyDescent="0.25">
      <c r="A362" s="27" t="s">
        <v>1271</v>
      </c>
      <c r="B362" s="28">
        <v>10.82</v>
      </c>
    </row>
    <row r="363" spans="1:2" x14ac:dyDescent="0.25">
      <c r="A363" s="27" t="s">
        <v>1275</v>
      </c>
      <c r="B363" s="28">
        <v>992.2</v>
      </c>
    </row>
    <row r="364" spans="1:2" x14ac:dyDescent="0.25">
      <c r="A364" s="27" t="s">
        <v>1278</v>
      </c>
      <c r="B364" s="28">
        <v>169.4</v>
      </c>
    </row>
    <row r="365" spans="1:2" x14ac:dyDescent="0.25">
      <c r="A365" s="27" t="s">
        <v>1279</v>
      </c>
      <c r="B365" s="28">
        <v>1615.29</v>
      </c>
    </row>
    <row r="366" spans="1:2" x14ac:dyDescent="0.25">
      <c r="A366" s="27" t="s">
        <v>1280</v>
      </c>
      <c r="B366" s="28">
        <v>121</v>
      </c>
    </row>
    <row r="367" spans="1:2" x14ac:dyDescent="0.25">
      <c r="A367" s="27" t="s">
        <v>1283</v>
      </c>
      <c r="B367" s="28">
        <v>1990.45</v>
      </c>
    </row>
    <row r="368" spans="1:2" x14ac:dyDescent="0.25">
      <c r="A368" s="27" t="s">
        <v>1296</v>
      </c>
      <c r="B368" s="28">
        <v>338.8</v>
      </c>
    </row>
    <row r="369" spans="1:2" x14ac:dyDescent="0.25">
      <c r="A369" s="27" t="s">
        <v>1303</v>
      </c>
      <c r="B369" s="28">
        <v>1427.8</v>
      </c>
    </row>
    <row r="370" spans="1:2" x14ac:dyDescent="0.25">
      <c r="A370" s="27" t="s">
        <v>1304</v>
      </c>
      <c r="B370" s="28">
        <v>400</v>
      </c>
    </row>
    <row r="371" spans="1:2" x14ac:dyDescent="0.25">
      <c r="A371" s="27" t="s">
        <v>1309</v>
      </c>
      <c r="B371" s="28">
        <v>8772.5</v>
      </c>
    </row>
    <row r="372" spans="1:2" x14ac:dyDescent="0.25">
      <c r="A372" s="27" t="s">
        <v>1311</v>
      </c>
      <c r="B372" s="28">
        <v>479</v>
      </c>
    </row>
    <row r="373" spans="1:2" x14ac:dyDescent="0.25">
      <c r="A373" s="27" t="s">
        <v>1313</v>
      </c>
      <c r="B373" s="28">
        <v>107</v>
      </c>
    </row>
    <row r="374" spans="1:2" x14ac:dyDescent="0.25">
      <c r="A374" s="27" t="s">
        <v>1325</v>
      </c>
      <c r="B374" s="28">
        <v>242</v>
      </c>
    </row>
    <row r="375" spans="1:2" x14ac:dyDescent="0.25">
      <c r="A375" s="27" t="s">
        <v>1330</v>
      </c>
      <c r="B375" s="28">
        <v>440</v>
      </c>
    </row>
    <row r="376" spans="1:2" x14ac:dyDescent="0.25">
      <c r="A376" s="27" t="s">
        <v>1333</v>
      </c>
      <c r="B376" s="28">
        <v>300</v>
      </c>
    </row>
    <row r="377" spans="1:2" x14ac:dyDescent="0.25">
      <c r="A377" s="27" t="s">
        <v>1343</v>
      </c>
      <c r="B377" s="28">
        <v>48.76</v>
      </c>
    </row>
    <row r="378" spans="1:2" x14ac:dyDescent="0.25">
      <c r="A378" s="27" t="s">
        <v>1344</v>
      </c>
      <c r="B378" s="28">
        <v>11205.81</v>
      </c>
    </row>
    <row r="379" spans="1:2" x14ac:dyDescent="0.25">
      <c r="A379" s="27" t="s">
        <v>1349</v>
      </c>
      <c r="B379" s="28">
        <v>2299</v>
      </c>
    </row>
    <row r="380" spans="1:2" x14ac:dyDescent="0.25">
      <c r="A380" s="27" t="s">
        <v>1350</v>
      </c>
      <c r="B380" s="28">
        <v>800</v>
      </c>
    </row>
    <row r="381" spans="1:2" x14ac:dyDescent="0.25">
      <c r="A381" s="27" t="s">
        <v>1351</v>
      </c>
      <c r="B381" s="28">
        <v>3400</v>
      </c>
    </row>
    <row r="382" spans="1:2" x14ac:dyDescent="0.25">
      <c r="A382" s="27" t="s">
        <v>1356</v>
      </c>
      <c r="B382" s="28">
        <v>2220.35</v>
      </c>
    </row>
    <row r="383" spans="1:2" x14ac:dyDescent="0.25">
      <c r="A383" s="27" t="s">
        <v>1468</v>
      </c>
      <c r="B383" s="28">
        <v>1700</v>
      </c>
    </row>
    <row r="384" spans="1:2" x14ac:dyDescent="0.25">
      <c r="A384" s="27" t="s">
        <v>1589</v>
      </c>
      <c r="B384" s="28">
        <v>6000</v>
      </c>
    </row>
    <row r="385" spans="1:2" x14ac:dyDescent="0.25">
      <c r="A385" s="27" t="s">
        <v>1642</v>
      </c>
      <c r="B385" s="28">
        <v>2000</v>
      </c>
    </row>
    <row r="386" spans="1:2" x14ac:dyDescent="0.25">
      <c r="A386" s="27" t="s">
        <v>1660</v>
      </c>
      <c r="B386" s="28">
        <v>15609</v>
      </c>
    </row>
    <row r="387" spans="1:2" x14ac:dyDescent="0.25">
      <c r="A387" s="27" t="s">
        <v>1715</v>
      </c>
      <c r="B387" s="28">
        <v>2083.62</v>
      </c>
    </row>
    <row r="388" spans="1:2" x14ac:dyDescent="0.25">
      <c r="A388" s="27" t="s">
        <v>1723</v>
      </c>
      <c r="B388" s="28">
        <v>7018</v>
      </c>
    </row>
    <row r="389" spans="1:2" x14ac:dyDescent="0.25">
      <c r="A389" s="27" t="s">
        <v>1732</v>
      </c>
      <c r="B389" s="28">
        <v>700</v>
      </c>
    </row>
    <row r="390" spans="1:2" x14ac:dyDescent="0.25">
      <c r="A390" s="27" t="s">
        <v>1757</v>
      </c>
      <c r="B390" s="28">
        <v>135</v>
      </c>
    </row>
    <row r="391" spans="1:2" x14ac:dyDescent="0.25">
      <c r="A391" s="27" t="s">
        <v>1766</v>
      </c>
      <c r="B391" s="28">
        <v>490</v>
      </c>
    </row>
    <row r="392" spans="1:2" x14ac:dyDescent="0.25">
      <c r="A392" s="27" t="s">
        <v>1769</v>
      </c>
      <c r="B392" s="28">
        <v>3602</v>
      </c>
    </row>
    <row r="393" spans="1:2" x14ac:dyDescent="0.25">
      <c r="A393" s="27" t="s">
        <v>1877</v>
      </c>
      <c r="B393" s="28">
        <v>14400</v>
      </c>
    </row>
    <row r="394" spans="1:2" x14ac:dyDescent="0.25">
      <c r="A394" s="27" t="s">
        <v>1986</v>
      </c>
      <c r="B394" s="28">
        <v>1815</v>
      </c>
    </row>
    <row r="395" spans="1:2" x14ac:dyDescent="0.25">
      <c r="A395" s="27" t="s">
        <v>2192</v>
      </c>
      <c r="B395" s="28">
        <v>5679.93</v>
      </c>
    </row>
    <row r="396" spans="1:2" x14ac:dyDescent="0.25">
      <c r="A396" s="27" t="s">
        <v>2295</v>
      </c>
      <c r="B396" s="28">
        <v>191.99</v>
      </c>
    </row>
    <row r="397" spans="1:2" x14ac:dyDescent="0.25">
      <c r="A397" s="27" t="s">
        <v>2336</v>
      </c>
      <c r="B397" s="28">
        <v>220</v>
      </c>
    </row>
    <row r="398" spans="1:2" x14ac:dyDescent="0.25">
      <c r="A398" s="27" t="s">
        <v>2395</v>
      </c>
      <c r="B398" s="28">
        <v>2727.95</v>
      </c>
    </row>
    <row r="399" spans="1:2" x14ac:dyDescent="0.25">
      <c r="A399" s="27" t="s">
        <v>2484</v>
      </c>
      <c r="B399" s="28">
        <v>931.5</v>
      </c>
    </row>
    <row r="400" spans="1:2" x14ac:dyDescent="0.25">
      <c r="A400" s="27" t="s">
        <v>2531</v>
      </c>
      <c r="B400" s="28">
        <v>6344.33</v>
      </c>
    </row>
    <row r="401" spans="1:2" x14ac:dyDescent="0.25">
      <c r="A401" s="27" t="s">
        <v>2543</v>
      </c>
      <c r="B401" s="28">
        <v>3623.95</v>
      </c>
    </row>
    <row r="402" spans="1:2" x14ac:dyDescent="0.25">
      <c r="A402" s="27" t="s">
        <v>2563</v>
      </c>
      <c r="B402" s="28">
        <v>1185.5999999999999</v>
      </c>
    </row>
    <row r="403" spans="1:2" x14ac:dyDescent="0.25">
      <c r="A403" s="27" t="s">
        <v>2582</v>
      </c>
      <c r="B403" s="28">
        <v>5311.9</v>
      </c>
    </row>
    <row r="404" spans="1:2" x14ac:dyDescent="0.25">
      <c r="A404" s="27" t="s">
        <v>2599</v>
      </c>
      <c r="B404" s="28">
        <v>1082.95</v>
      </c>
    </row>
    <row r="405" spans="1:2" x14ac:dyDescent="0.25">
      <c r="A405" s="27" t="s">
        <v>2619</v>
      </c>
      <c r="B405" s="28">
        <v>1790.31</v>
      </c>
    </row>
    <row r="406" spans="1:2" x14ac:dyDescent="0.25">
      <c r="A406" s="27" t="s">
        <v>2689</v>
      </c>
      <c r="B406" s="28">
        <v>6763.9</v>
      </c>
    </row>
    <row r="407" spans="1:2" x14ac:dyDescent="0.25">
      <c r="A407" s="27" t="s">
        <v>2732</v>
      </c>
      <c r="B407" s="28">
        <v>4000</v>
      </c>
    </row>
    <row r="408" spans="1:2" x14ac:dyDescent="0.25">
      <c r="A408" s="27" t="s">
        <v>2791</v>
      </c>
      <c r="B408" s="28">
        <v>28746.59</v>
      </c>
    </row>
    <row r="409" spans="1:2" x14ac:dyDescent="0.25">
      <c r="A409" s="27" t="s">
        <v>2796</v>
      </c>
      <c r="B409" s="28">
        <v>25240.52</v>
      </c>
    </row>
    <row r="410" spans="1:2" x14ac:dyDescent="0.25">
      <c r="A410" s="27" t="s">
        <v>2809</v>
      </c>
      <c r="B410" s="28">
        <v>18029</v>
      </c>
    </row>
    <row r="411" spans="1:2" x14ac:dyDescent="0.25">
      <c r="A411" s="27" t="s">
        <v>2814</v>
      </c>
      <c r="B411" s="28">
        <v>16940</v>
      </c>
    </row>
    <row r="412" spans="1:2" x14ac:dyDescent="0.25">
      <c r="A412" s="27" t="s">
        <v>2823</v>
      </c>
      <c r="B412" s="28">
        <v>16185.5</v>
      </c>
    </row>
    <row r="413" spans="1:2" x14ac:dyDescent="0.25">
      <c r="A413" s="27" t="s">
        <v>2848</v>
      </c>
      <c r="B413" s="28">
        <v>13019</v>
      </c>
    </row>
    <row r="414" spans="1:2" x14ac:dyDescent="0.25">
      <c r="A414" s="27" t="s">
        <v>2860</v>
      </c>
      <c r="B414" s="28">
        <v>8621.25</v>
      </c>
    </row>
    <row r="415" spans="1:2" x14ac:dyDescent="0.25">
      <c r="A415" s="27" t="s">
        <v>2887</v>
      </c>
      <c r="B415" s="28">
        <v>375.1</v>
      </c>
    </row>
    <row r="416" spans="1:2" x14ac:dyDescent="0.25">
      <c r="A416" s="27" t="s">
        <v>2894</v>
      </c>
      <c r="B416" s="28">
        <v>7328</v>
      </c>
    </row>
    <row r="417" spans="1:2" x14ac:dyDescent="0.25">
      <c r="A417" s="27" t="s">
        <v>2897</v>
      </c>
      <c r="B417" s="28">
        <v>5679.93</v>
      </c>
    </row>
    <row r="418" spans="1:2" x14ac:dyDescent="0.25">
      <c r="A418" s="27" t="s">
        <v>2933</v>
      </c>
      <c r="B418" s="28">
        <v>5348</v>
      </c>
    </row>
    <row r="419" spans="1:2" x14ac:dyDescent="0.25">
      <c r="A419" s="27" t="s">
        <v>2977</v>
      </c>
      <c r="B419" s="28">
        <v>3194.4</v>
      </c>
    </row>
    <row r="420" spans="1:2" x14ac:dyDescent="0.25">
      <c r="A420" s="27" t="s">
        <v>2979</v>
      </c>
      <c r="B420" s="28">
        <v>4114</v>
      </c>
    </row>
    <row r="421" spans="1:2" x14ac:dyDescent="0.25">
      <c r="A421" s="27" t="s">
        <v>3003</v>
      </c>
      <c r="B421" s="28">
        <v>2500</v>
      </c>
    </row>
    <row r="422" spans="1:2" x14ac:dyDescent="0.25">
      <c r="A422" s="27" t="s">
        <v>3007</v>
      </c>
      <c r="B422" s="28">
        <v>2843.5</v>
      </c>
    </row>
    <row r="423" spans="1:2" x14ac:dyDescent="0.25">
      <c r="A423" s="27" t="s">
        <v>3018</v>
      </c>
      <c r="B423" s="28">
        <v>2565.1999999999998</v>
      </c>
    </row>
    <row r="424" spans="1:2" x14ac:dyDescent="0.25">
      <c r="A424" s="27" t="s">
        <v>3020</v>
      </c>
      <c r="B424" s="28">
        <v>3466.6499999999996</v>
      </c>
    </row>
    <row r="425" spans="1:2" x14ac:dyDescent="0.25">
      <c r="A425" s="27" t="s">
        <v>3046</v>
      </c>
      <c r="B425" s="28">
        <v>1780</v>
      </c>
    </row>
    <row r="426" spans="1:2" x14ac:dyDescent="0.25">
      <c r="A426" s="27" t="s">
        <v>3067</v>
      </c>
      <c r="B426" s="28">
        <v>3520.7799999999997</v>
      </c>
    </row>
    <row r="427" spans="1:2" x14ac:dyDescent="0.25">
      <c r="A427" s="27" t="s">
        <v>3069</v>
      </c>
      <c r="B427" s="28">
        <v>2913.12</v>
      </c>
    </row>
    <row r="428" spans="1:2" x14ac:dyDescent="0.25">
      <c r="A428" s="27" t="s">
        <v>3161</v>
      </c>
      <c r="B428" s="28">
        <v>4948.9000000000005</v>
      </c>
    </row>
    <row r="429" spans="1:2" x14ac:dyDescent="0.25">
      <c r="A429" s="27" t="s">
        <v>3170</v>
      </c>
      <c r="B429" s="28">
        <v>716.56</v>
      </c>
    </row>
    <row r="430" spans="1:2" x14ac:dyDescent="0.25">
      <c r="A430" s="27" t="s">
        <v>3241</v>
      </c>
      <c r="B430" s="28">
        <v>385</v>
      </c>
    </row>
    <row r="431" spans="1:2" x14ac:dyDescent="0.25">
      <c r="A431" s="27" t="s">
        <v>3250</v>
      </c>
      <c r="B431" s="28">
        <v>350</v>
      </c>
    </row>
    <row r="432" spans="1:2" x14ac:dyDescent="0.25">
      <c r="A432" s="27" t="s">
        <v>3255</v>
      </c>
      <c r="B432" s="28">
        <v>333.96</v>
      </c>
    </row>
    <row r="433" spans="1:2" x14ac:dyDescent="0.25">
      <c r="A433" s="27" t="s">
        <v>3267</v>
      </c>
      <c r="B433" s="28">
        <v>306.5</v>
      </c>
    </row>
    <row r="434" spans="1:2" x14ac:dyDescent="0.25">
      <c r="A434" s="27" t="s">
        <v>3276</v>
      </c>
      <c r="B434" s="28">
        <v>275</v>
      </c>
    </row>
    <row r="435" spans="1:2" x14ac:dyDescent="0.25">
      <c r="A435" s="27" t="s">
        <v>3405</v>
      </c>
      <c r="B435" s="28">
        <v>948</v>
      </c>
    </row>
    <row r="436" spans="1:2" x14ac:dyDescent="0.25">
      <c r="A436" s="27" t="s">
        <v>3425</v>
      </c>
      <c r="B436" s="28">
        <v>200</v>
      </c>
    </row>
    <row r="437" spans="1:2" x14ac:dyDescent="0.25">
      <c r="A437" s="27" t="s">
        <v>3451</v>
      </c>
      <c r="B437" s="28">
        <v>62.92</v>
      </c>
    </row>
    <row r="438" spans="1:2" x14ac:dyDescent="0.25">
      <c r="A438" s="27" t="s">
        <v>455</v>
      </c>
      <c r="B438" s="28">
        <v>1929316.97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37"/>
  <sheetViews>
    <sheetView workbookViewId="0"/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2.5703125" style="35" bestFit="1" customWidth="1"/>
    <col min="6" max="6" width="9.42578125" style="38" bestFit="1" customWidth="1"/>
    <col min="7" max="7" width="29.1406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35" customWidth="1"/>
    <col min="18" max="18" width="14.42578125" style="35" customWidth="1"/>
    <col min="19" max="19" width="6.140625" style="35" customWidth="1"/>
    <col min="20" max="20" width="10.85546875" style="35"/>
    <col min="21" max="21" width="4.42578125" style="35" customWidth="1"/>
    <col min="22" max="22" width="10.85546875" style="35"/>
    <col min="23" max="23" width="4" style="35" customWidth="1"/>
    <col min="24" max="24" width="10.5703125" style="35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28</v>
      </c>
      <c r="E1" s="32" t="s">
        <v>3</v>
      </c>
      <c r="F1" s="34" t="s">
        <v>4</v>
      </c>
      <c r="G1" s="32" t="s">
        <v>29</v>
      </c>
      <c r="H1" s="32" t="s">
        <v>5</v>
      </c>
      <c r="I1" s="32" t="s">
        <v>105</v>
      </c>
      <c r="J1" s="32" t="s">
        <v>601</v>
      </c>
      <c r="K1" s="32" t="s">
        <v>621</v>
      </c>
      <c r="L1" s="32" t="s">
        <v>6</v>
      </c>
      <c r="M1" s="32" t="s">
        <v>7</v>
      </c>
      <c r="N1" s="32" t="s">
        <v>8</v>
      </c>
      <c r="O1" s="32" t="s">
        <v>196</v>
      </c>
      <c r="P1" s="32" t="s">
        <v>452</v>
      </c>
      <c r="Q1" s="32" t="s">
        <v>448</v>
      </c>
      <c r="R1" s="32" t="s">
        <v>449</v>
      </c>
      <c r="S1" s="32" t="s">
        <v>265</v>
      </c>
      <c r="T1" s="32" t="s">
        <v>444</v>
      </c>
      <c r="U1" s="32" t="s">
        <v>445</v>
      </c>
      <c r="V1" s="32" t="s">
        <v>446</v>
      </c>
      <c r="W1" s="32" t="s">
        <v>451</v>
      </c>
      <c r="X1" s="32" t="s">
        <v>27</v>
      </c>
    </row>
    <row r="2" spans="1:24" x14ac:dyDescent="0.25">
      <c r="A2" s="49">
        <v>220209000369</v>
      </c>
      <c r="B2" s="50" t="s">
        <v>9</v>
      </c>
      <c r="C2" s="57">
        <v>44562</v>
      </c>
      <c r="D2" s="49">
        <v>22022000188</v>
      </c>
      <c r="E2" s="50" t="s">
        <v>1361</v>
      </c>
      <c r="F2" s="58">
        <v>10862800</v>
      </c>
      <c r="G2" s="50" t="s">
        <v>1096</v>
      </c>
      <c r="H2" s="50" t="s">
        <v>686</v>
      </c>
      <c r="I2" s="49" t="s">
        <v>107</v>
      </c>
      <c r="J2" s="50" t="s">
        <v>109</v>
      </c>
      <c r="K2" s="50" t="s">
        <v>109</v>
      </c>
      <c r="L2" s="50" t="s">
        <v>12</v>
      </c>
      <c r="M2" s="50" t="s">
        <v>13</v>
      </c>
      <c r="N2" s="50" t="s">
        <v>14</v>
      </c>
      <c r="O2" s="48" t="s">
        <v>620</v>
      </c>
      <c r="P2" s="45" t="s">
        <v>453</v>
      </c>
      <c r="Q2" s="35" t="str">
        <f>MID(Tabla1[[#This Row],[Aplicación]],14,1)</f>
        <v>2</v>
      </c>
      <c r="R2" s="35" t="s">
        <v>441</v>
      </c>
      <c r="S2" s="35" t="str">
        <f>MID(Tabla1[[#This Row],[Aplicación]],6,2)</f>
        <v>10</v>
      </c>
      <c r="T2" s="35" t="str">
        <f>VLOOKUP(Tabla1[[#This Row],[AREA]],Hoja1!A:B,2,FALSE)</f>
        <v>10. Servicios sociales y mediación comunitaria</v>
      </c>
      <c r="U2" s="35" t="str">
        <f>MID(Tabla1[[#This Row],[Aplicación]],9,4)</f>
        <v>2311</v>
      </c>
      <c r="V2" s="35" t="str">
        <f>VLOOKUP(Tabla1[[#This Row],[PROGRAMA]],Hoja1!A:B,2,FALSE)</f>
        <v>2311. Intervención social</v>
      </c>
      <c r="W2" s="35" t="str">
        <f>MID(Tabla1[[#This Row],[Aplicación]],14,2)</f>
        <v>22</v>
      </c>
      <c r="X2" s="35" t="str">
        <f>MID(Tabla1[[#This Row],[Aplicación]],14,6)</f>
        <v>22799</v>
      </c>
    </row>
    <row r="3" spans="1:24" x14ac:dyDescent="0.25">
      <c r="A3" s="49">
        <v>220219001261</v>
      </c>
      <c r="B3" s="50" t="s">
        <v>9</v>
      </c>
      <c r="C3" s="57">
        <v>44562</v>
      </c>
      <c r="D3" s="49">
        <v>22022001990</v>
      </c>
      <c r="E3" s="50" t="s">
        <v>1362</v>
      </c>
      <c r="F3" s="58">
        <v>4885760.24</v>
      </c>
      <c r="G3" s="50" t="s">
        <v>1363</v>
      </c>
      <c r="H3" s="50" t="s">
        <v>1364</v>
      </c>
      <c r="I3" s="49" t="s">
        <v>107</v>
      </c>
      <c r="J3" s="50" t="s">
        <v>1365</v>
      </c>
      <c r="K3" s="50" t="s">
        <v>1366</v>
      </c>
      <c r="L3" s="50" t="s">
        <v>25</v>
      </c>
      <c r="M3" s="50" t="s">
        <v>13</v>
      </c>
      <c r="N3" s="50" t="s">
        <v>14</v>
      </c>
      <c r="O3" s="48" t="s">
        <v>620</v>
      </c>
      <c r="P3" s="45" t="s">
        <v>453</v>
      </c>
      <c r="Q3" s="35" t="str">
        <f>MID(Tabla1[[#This Row],[Aplicación]],14,1)</f>
        <v>6</v>
      </c>
      <c r="R3" s="35" t="s">
        <v>442</v>
      </c>
      <c r="S3" s="35" t="str">
        <f>MID(Tabla1[[#This Row],[Aplicación]],6,2)</f>
        <v>08</v>
      </c>
      <c r="T3" s="35" t="str">
        <f>VLOOKUP(Tabla1[[#This Row],[AREA]],Hoja1!A:B,2,FALSE)</f>
        <v>08. Movilidad y espacio urbano</v>
      </c>
      <c r="U3" s="35" t="str">
        <f>MID(Tabla1[[#This Row],[Aplicación]],9,4)</f>
        <v>1341</v>
      </c>
      <c r="V3" s="35" t="str">
        <f>VLOOKUP(Tabla1[[#This Row],[PROGRAMA]],Hoja1!A:B,2,FALSE)</f>
        <v>1341. Movilidad</v>
      </c>
      <c r="W3" s="35" t="str">
        <f>MID(Tabla1[[#This Row],[Aplicación]],14,2)</f>
        <v>60</v>
      </c>
      <c r="X3" s="35" t="str">
        <f>MID(Tabla1[[#This Row],[Aplicación]],14,6)</f>
        <v>609</v>
      </c>
    </row>
    <row r="4" spans="1:24" x14ac:dyDescent="0.25">
      <c r="A4" s="49">
        <v>220219001096</v>
      </c>
      <c r="B4" s="50" t="s">
        <v>9</v>
      </c>
      <c r="C4" s="57">
        <v>44562</v>
      </c>
      <c r="D4" s="49">
        <v>22022001982</v>
      </c>
      <c r="E4" s="50" t="s">
        <v>1362</v>
      </c>
      <c r="F4" s="58">
        <v>3652071.36</v>
      </c>
      <c r="G4" s="50" t="s">
        <v>1293</v>
      </c>
      <c r="H4" s="50" t="s">
        <v>1294</v>
      </c>
      <c r="I4" s="49" t="s">
        <v>107</v>
      </c>
      <c r="J4" s="50" t="s">
        <v>1295</v>
      </c>
      <c r="K4" s="50" t="s">
        <v>136</v>
      </c>
      <c r="L4" s="50" t="s">
        <v>25</v>
      </c>
      <c r="M4" s="50" t="s">
        <v>13</v>
      </c>
      <c r="N4" s="50" t="s">
        <v>14</v>
      </c>
      <c r="O4" s="48" t="s">
        <v>620</v>
      </c>
      <c r="P4" s="45" t="s">
        <v>453</v>
      </c>
      <c r="Q4" s="35" t="str">
        <f>MID(Tabla1[[#This Row],[Aplicación]],14,1)</f>
        <v>6</v>
      </c>
      <c r="R4" s="35" t="s">
        <v>442</v>
      </c>
      <c r="S4" s="35" t="str">
        <f>MID(Tabla1[[#This Row],[Aplicación]],6,2)</f>
        <v>08</v>
      </c>
      <c r="T4" s="35" t="str">
        <f>VLOOKUP(Tabla1[[#This Row],[AREA]],Hoja1!A:B,2,FALSE)</f>
        <v>08. Movilidad y espacio urbano</v>
      </c>
      <c r="U4" s="35" t="str">
        <f>MID(Tabla1[[#This Row],[Aplicación]],9,4)</f>
        <v>1341</v>
      </c>
      <c r="V4" s="35" t="str">
        <f>VLOOKUP(Tabla1[[#This Row],[PROGRAMA]],Hoja1!A:B,2,FALSE)</f>
        <v>1341. Movilidad</v>
      </c>
      <c r="W4" s="35" t="str">
        <f>MID(Tabla1[[#This Row],[Aplicación]],14,2)</f>
        <v>60</v>
      </c>
      <c r="X4" s="35" t="str">
        <f>MID(Tabla1[[#This Row],[Aplicación]],14,6)</f>
        <v>609</v>
      </c>
    </row>
    <row r="5" spans="1:24" x14ac:dyDescent="0.25">
      <c r="A5" s="49">
        <v>220179000024</v>
      </c>
      <c r="B5" s="50" t="s">
        <v>9</v>
      </c>
      <c r="C5" s="57">
        <v>44562</v>
      </c>
      <c r="D5" s="49">
        <v>22022000145</v>
      </c>
      <c r="E5" s="50" t="s">
        <v>1367</v>
      </c>
      <c r="F5" s="58">
        <v>3087691.92</v>
      </c>
      <c r="G5" s="50" t="s">
        <v>111</v>
      </c>
      <c r="H5" s="50" t="s">
        <v>18</v>
      </c>
      <c r="I5" s="49" t="s">
        <v>107</v>
      </c>
      <c r="J5" s="50" t="s">
        <v>108</v>
      </c>
      <c r="K5" s="50" t="s">
        <v>108</v>
      </c>
      <c r="L5" s="50" t="s">
        <v>19</v>
      </c>
      <c r="M5" s="50" t="s">
        <v>13</v>
      </c>
      <c r="N5" s="50" t="s">
        <v>14</v>
      </c>
      <c r="O5" s="48" t="s">
        <v>620</v>
      </c>
      <c r="P5" s="45" t="s">
        <v>453</v>
      </c>
      <c r="Q5" s="35" t="str">
        <f>MID(Tabla1[[#This Row],[Aplicación]],14,1)</f>
        <v>2</v>
      </c>
      <c r="R5" s="35" t="s">
        <v>441</v>
      </c>
      <c r="S5" s="35" t="str">
        <f>MID(Tabla1[[#This Row],[Aplicación]],6,2)</f>
        <v>08</v>
      </c>
      <c r="T5" s="35" t="str">
        <f>VLOOKUP(Tabla1[[#This Row],[AREA]],Hoja1!A:B,2,FALSE)</f>
        <v>08. Movilidad y espacio urbano</v>
      </c>
      <c r="U5" s="35" t="str">
        <f>MID(Tabla1[[#This Row],[Aplicación]],9,4)</f>
        <v>1341</v>
      </c>
      <c r="V5" s="35" t="str">
        <f>VLOOKUP(Tabla1[[#This Row],[PROGRAMA]],Hoja1!A:B,2,FALSE)</f>
        <v>1341. Movilidad</v>
      </c>
      <c r="W5" s="35" t="str">
        <f>MID(Tabla1[[#This Row],[Aplicación]],14,2)</f>
        <v>22</v>
      </c>
      <c r="X5" s="35" t="str">
        <f>MID(Tabla1[[#This Row],[Aplicación]],14,6)</f>
        <v>22799</v>
      </c>
    </row>
    <row r="6" spans="1:24" x14ac:dyDescent="0.25">
      <c r="A6" s="49">
        <v>220219001224</v>
      </c>
      <c r="B6" s="50" t="s">
        <v>9</v>
      </c>
      <c r="C6" s="57">
        <v>44562</v>
      </c>
      <c r="D6" s="49">
        <v>22022002194</v>
      </c>
      <c r="E6" s="50" t="s">
        <v>1368</v>
      </c>
      <c r="F6" s="58">
        <v>3000000</v>
      </c>
      <c r="G6" s="50" t="s">
        <v>259</v>
      </c>
      <c r="H6" s="50" t="s">
        <v>1369</v>
      </c>
      <c r="I6" s="49" t="s">
        <v>107</v>
      </c>
      <c r="J6" s="50" t="s">
        <v>109</v>
      </c>
      <c r="K6" s="50" t="s">
        <v>109</v>
      </c>
      <c r="L6" s="50" t="s">
        <v>12</v>
      </c>
      <c r="M6" s="50" t="s">
        <v>13</v>
      </c>
      <c r="N6" s="50" t="s">
        <v>14</v>
      </c>
      <c r="O6" s="48" t="s">
        <v>620</v>
      </c>
      <c r="P6" s="45" t="s">
        <v>453</v>
      </c>
      <c r="Q6" s="35" t="str">
        <f>MID(Tabla1[[#This Row],[Aplicación]],14,1)</f>
        <v>6</v>
      </c>
      <c r="R6" s="35" t="s">
        <v>442</v>
      </c>
      <c r="S6" s="35" t="str">
        <f>MID(Tabla1[[#This Row],[Aplicación]],6,2)</f>
        <v>08</v>
      </c>
      <c r="T6" s="35" t="str">
        <f>VLOOKUP(Tabla1[[#This Row],[AREA]],Hoja1!A:B,2,FALSE)</f>
        <v>08. Movilidad y espacio urbano</v>
      </c>
      <c r="U6" s="35" t="str">
        <f>MID(Tabla1[[#This Row],[Aplicación]],9,4)</f>
        <v>1532</v>
      </c>
      <c r="V6" s="35" t="str">
        <f>VLOOKUP(Tabla1[[#This Row],[PROGRAMA]],Hoja1!A:B,2,FALSE)</f>
        <v>1532. Pavimentación vias públicas y otros servicios urbanísticos</v>
      </c>
      <c r="W6" s="35" t="str">
        <f>MID(Tabla1[[#This Row],[Aplicación]],14,2)</f>
        <v>61</v>
      </c>
      <c r="X6" s="35" t="str">
        <f>MID(Tabla1[[#This Row],[Aplicación]],14,6)</f>
        <v>619</v>
      </c>
    </row>
    <row r="7" spans="1:24" x14ac:dyDescent="0.25">
      <c r="A7" s="49">
        <v>220220013174</v>
      </c>
      <c r="B7" s="50" t="s">
        <v>9</v>
      </c>
      <c r="C7" s="57">
        <v>44649</v>
      </c>
      <c r="D7" s="49">
        <v>22022002973</v>
      </c>
      <c r="E7" s="50" t="s">
        <v>1370</v>
      </c>
      <c r="F7" s="58">
        <v>2354400</v>
      </c>
      <c r="G7" s="50" t="s">
        <v>38</v>
      </c>
      <c r="H7" s="50" t="s">
        <v>1371</v>
      </c>
      <c r="I7" s="49" t="s">
        <v>107</v>
      </c>
      <c r="J7" s="50" t="s">
        <v>129</v>
      </c>
      <c r="K7" s="50" t="s">
        <v>170</v>
      </c>
      <c r="L7" s="50" t="s">
        <v>15</v>
      </c>
      <c r="M7" s="50" t="s">
        <v>13</v>
      </c>
      <c r="N7" s="50" t="s">
        <v>14</v>
      </c>
      <c r="O7" s="48" t="s">
        <v>620</v>
      </c>
      <c r="P7" s="45" t="s">
        <v>453</v>
      </c>
      <c r="Q7" s="35" t="str">
        <f>MID(Tabla1[[#This Row],[Aplicación]],14,1)</f>
        <v>2</v>
      </c>
      <c r="R7" s="35" t="s">
        <v>441</v>
      </c>
      <c r="S7" s="35" t="str">
        <f>MID(Tabla1[[#This Row],[Aplicación]],6,2)</f>
        <v>08</v>
      </c>
      <c r="T7" s="35" t="str">
        <f>VLOOKUP(Tabla1[[#This Row],[AREA]],Hoja1!A:B,2,FALSE)</f>
        <v>08. Movilidad y espacio urbano</v>
      </c>
      <c r="U7" s="35" t="str">
        <f>MID(Tabla1[[#This Row],[Aplicación]],9,4)</f>
        <v>1651</v>
      </c>
      <c r="V7" s="35" t="str">
        <f>VLOOKUP(Tabla1[[#This Row],[PROGRAMA]],Hoja1!A:B,2,FALSE)</f>
        <v>1651. Alumbrado público</v>
      </c>
      <c r="W7" s="35" t="str">
        <f>MID(Tabla1[[#This Row],[Aplicación]],14,2)</f>
        <v>22</v>
      </c>
      <c r="X7" s="35" t="str">
        <f>MID(Tabla1[[#This Row],[Aplicación]],14,6)</f>
        <v>22100</v>
      </c>
    </row>
    <row r="8" spans="1:24" x14ac:dyDescent="0.25">
      <c r="A8" s="49">
        <v>220219000860</v>
      </c>
      <c r="B8" s="50" t="s">
        <v>9</v>
      </c>
      <c r="C8" s="57">
        <v>44562</v>
      </c>
      <c r="D8" s="49">
        <v>22022000605</v>
      </c>
      <c r="E8" s="50" t="s">
        <v>1361</v>
      </c>
      <c r="F8" s="58">
        <v>2224000</v>
      </c>
      <c r="G8" s="50" t="s">
        <v>1096</v>
      </c>
      <c r="H8" s="50" t="s">
        <v>1372</v>
      </c>
      <c r="I8" s="49" t="s">
        <v>107</v>
      </c>
      <c r="J8" s="50" t="s">
        <v>109</v>
      </c>
      <c r="K8" s="50" t="s">
        <v>109</v>
      </c>
      <c r="L8" s="50" t="s">
        <v>12</v>
      </c>
      <c r="M8" s="50" t="s">
        <v>13</v>
      </c>
      <c r="N8" s="50" t="s">
        <v>14</v>
      </c>
      <c r="O8" s="48" t="s">
        <v>620</v>
      </c>
      <c r="P8" s="45" t="s">
        <v>453</v>
      </c>
      <c r="Q8" s="35" t="str">
        <f>MID(Tabla1[[#This Row],[Aplicación]],14,1)</f>
        <v>2</v>
      </c>
      <c r="R8" s="35" t="s">
        <v>441</v>
      </c>
      <c r="S8" s="35" t="str">
        <f>MID(Tabla1[[#This Row],[Aplicación]],6,2)</f>
        <v>10</v>
      </c>
      <c r="T8" s="35" t="str">
        <f>VLOOKUP(Tabla1[[#This Row],[AREA]],Hoja1!A:B,2,FALSE)</f>
        <v>10. Servicios sociales y mediación comunitaria</v>
      </c>
      <c r="U8" s="35" t="str">
        <f>MID(Tabla1[[#This Row],[Aplicación]],9,4)</f>
        <v>2311</v>
      </c>
      <c r="V8" s="35" t="str">
        <f>VLOOKUP(Tabla1[[#This Row],[PROGRAMA]],Hoja1!A:B,2,FALSE)</f>
        <v>2311. Intervención social</v>
      </c>
      <c r="W8" s="35" t="str">
        <f>MID(Tabla1[[#This Row],[Aplicación]],14,2)</f>
        <v>22</v>
      </c>
      <c r="X8" s="35" t="str">
        <f>MID(Tabla1[[#This Row],[Aplicación]],14,6)</f>
        <v>22799</v>
      </c>
    </row>
    <row r="9" spans="1:24" x14ac:dyDescent="0.25">
      <c r="A9" s="49">
        <v>220209000730</v>
      </c>
      <c r="B9" s="50" t="s">
        <v>9</v>
      </c>
      <c r="C9" s="57">
        <v>44562</v>
      </c>
      <c r="D9" s="49">
        <v>22022000265</v>
      </c>
      <c r="E9" s="50" t="s">
        <v>1373</v>
      </c>
      <c r="F9" s="58">
        <v>1829885.98</v>
      </c>
      <c r="G9" s="50" t="s">
        <v>741</v>
      </c>
      <c r="H9" s="50" t="s">
        <v>742</v>
      </c>
      <c r="I9" s="49" t="s">
        <v>107</v>
      </c>
      <c r="J9" s="50" t="s">
        <v>108</v>
      </c>
      <c r="K9" s="50" t="s">
        <v>108</v>
      </c>
      <c r="L9" s="50" t="s">
        <v>12</v>
      </c>
      <c r="M9" s="50" t="s">
        <v>13</v>
      </c>
      <c r="N9" s="50" t="s">
        <v>14</v>
      </c>
      <c r="O9" s="48" t="s">
        <v>620</v>
      </c>
      <c r="P9" s="45" t="s">
        <v>453</v>
      </c>
      <c r="Q9" s="35" t="str">
        <f>MID(Tabla1[[#This Row],[Aplicación]],14,1)</f>
        <v>2</v>
      </c>
      <c r="R9" s="35" t="s">
        <v>441</v>
      </c>
      <c r="S9" s="35" t="str">
        <f>MID(Tabla1[[#This Row],[Aplicación]],6,2)</f>
        <v>06</v>
      </c>
      <c r="T9" s="35" t="str">
        <f>VLOOKUP(Tabla1[[#This Row],[AREA]],Hoja1!A:B,2,FALSE)</f>
        <v>06. Educación, infancia, juventud e igualdad</v>
      </c>
      <c r="U9" s="35" t="str">
        <f>MID(Tabla1[[#This Row],[Aplicación]],9,4)</f>
        <v>3232</v>
      </c>
      <c r="V9" s="35" t="str">
        <f>VLOOKUP(Tabla1[[#This Row],[PROGRAMA]],Hoja1!A:B,2,FALSE)</f>
        <v>3232. Conservación y mantenimiento centros educación infantil y primaria</v>
      </c>
      <c r="W9" s="35" t="str">
        <f>MID(Tabla1[[#This Row],[Aplicación]],14,2)</f>
        <v>22</v>
      </c>
      <c r="X9" s="35" t="str">
        <f>MID(Tabla1[[#This Row],[Aplicación]],14,6)</f>
        <v>22700</v>
      </c>
    </row>
    <row r="10" spans="1:24" x14ac:dyDescent="0.25">
      <c r="A10" s="49">
        <v>220219000592</v>
      </c>
      <c r="B10" s="50" t="s">
        <v>9</v>
      </c>
      <c r="C10" s="57">
        <v>44562</v>
      </c>
      <c r="D10" s="49">
        <v>22022002000</v>
      </c>
      <c r="E10" s="50" t="s">
        <v>1374</v>
      </c>
      <c r="F10" s="58">
        <v>1607001</v>
      </c>
      <c r="G10" s="50" t="s">
        <v>193</v>
      </c>
      <c r="H10" s="50" t="s">
        <v>1375</v>
      </c>
      <c r="I10" s="49" t="s">
        <v>107</v>
      </c>
      <c r="J10" s="50" t="s">
        <v>109</v>
      </c>
      <c r="K10" s="50" t="s">
        <v>109</v>
      </c>
      <c r="L10" s="50" t="s">
        <v>12</v>
      </c>
      <c r="M10" s="50" t="s">
        <v>13</v>
      </c>
      <c r="N10" s="50" t="s">
        <v>14</v>
      </c>
      <c r="O10" s="48" t="s">
        <v>620</v>
      </c>
      <c r="P10" s="45" t="s">
        <v>453</v>
      </c>
      <c r="Q10" s="35" t="str">
        <f>MID(Tabla1[[#This Row],[Aplicación]],14,1)</f>
        <v>6</v>
      </c>
      <c r="R10" s="35" t="s">
        <v>442</v>
      </c>
      <c r="S10" s="35" t="str">
        <f>MID(Tabla1[[#This Row],[Aplicación]],6,2)</f>
        <v>08</v>
      </c>
      <c r="T10" s="35" t="str">
        <f>VLOOKUP(Tabla1[[#This Row],[AREA]],Hoja1!A:B,2,FALSE)</f>
        <v>08. Movilidad y espacio urbano</v>
      </c>
      <c r="U10" s="35" t="str">
        <f>MID(Tabla1[[#This Row],[Aplicación]],9,4)</f>
        <v>1651</v>
      </c>
      <c r="V10" s="35" t="str">
        <f>VLOOKUP(Tabla1[[#This Row],[PROGRAMA]],Hoja1!A:B,2,FALSE)</f>
        <v>1651. Alumbrado público</v>
      </c>
      <c r="W10" s="35" t="str">
        <f>MID(Tabla1[[#This Row],[Aplicación]],14,2)</f>
        <v>61</v>
      </c>
      <c r="X10" s="35" t="str">
        <f>MID(Tabla1[[#This Row],[Aplicación]],14,6)</f>
        <v>619</v>
      </c>
    </row>
    <row r="11" spans="1:24" x14ac:dyDescent="0.25">
      <c r="A11" s="49">
        <v>220220007921</v>
      </c>
      <c r="B11" s="50" t="s">
        <v>172</v>
      </c>
      <c r="C11" s="57">
        <v>44627</v>
      </c>
      <c r="D11" s="49">
        <v>22022002051</v>
      </c>
      <c r="E11" s="50" t="s">
        <v>1376</v>
      </c>
      <c r="F11" s="58">
        <v>1559550.85</v>
      </c>
      <c r="G11" s="50" t="s">
        <v>759</v>
      </c>
      <c r="H11" s="50" t="s">
        <v>1377</v>
      </c>
      <c r="I11" s="49" t="s">
        <v>173</v>
      </c>
      <c r="J11" s="50" t="s">
        <v>760</v>
      </c>
      <c r="K11" s="50" t="s">
        <v>703</v>
      </c>
      <c r="L11" s="50" t="s">
        <v>25</v>
      </c>
      <c r="M11" s="50" t="s">
        <v>13</v>
      </c>
      <c r="N11" s="50" t="s">
        <v>14</v>
      </c>
      <c r="O11" s="48" t="s">
        <v>620</v>
      </c>
      <c r="P11" s="45" t="s">
        <v>453</v>
      </c>
      <c r="Q11" s="35" t="str">
        <f>MID(Tabla1[[#This Row],[Aplicación]],14,1)</f>
        <v>2</v>
      </c>
      <c r="R11" s="35" t="s">
        <v>441</v>
      </c>
      <c r="S11" s="35" t="str">
        <f>MID(Tabla1[[#This Row],[Aplicación]],6,2)</f>
        <v>05</v>
      </c>
      <c r="T11" s="35" t="str">
        <f>VLOOKUP(Tabla1[[#This Row],[AREA]],Hoja1!A:B,2,FALSE)</f>
        <v>05. Innovación, desarrollo económico, empleo y comercio</v>
      </c>
      <c r="U11" s="35" t="str">
        <f>MID(Tabla1[[#This Row],[Aplicación]],9,4)</f>
        <v>0 43</v>
      </c>
      <c r="V11" s="35" t="e">
        <f>VLOOKUP(Tabla1[[#This Row],[PROGRAMA]],Hoja1!A:B,2,FALSE)</f>
        <v>#N/A</v>
      </c>
      <c r="W11" s="35" t="str">
        <f>MID(Tabla1[[#This Row],[Aplicación]],14,2)</f>
        <v xml:space="preserve">2 </v>
      </c>
      <c r="X11" s="35" t="str">
        <f>MID(Tabla1[[#This Row],[Aplicación]],14,6)</f>
        <v>2 632</v>
      </c>
    </row>
    <row r="12" spans="1:24" x14ac:dyDescent="0.25">
      <c r="A12" s="49">
        <v>220219001264</v>
      </c>
      <c r="B12" s="50" t="s">
        <v>9</v>
      </c>
      <c r="C12" s="57">
        <v>44562</v>
      </c>
      <c r="D12" s="49">
        <v>22022002104</v>
      </c>
      <c r="E12" s="50" t="s">
        <v>1368</v>
      </c>
      <c r="F12" s="58">
        <v>1500000</v>
      </c>
      <c r="G12" s="50" t="s">
        <v>923</v>
      </c>
      <c r="H12" s="50" t="s">
        <v>1378</v>
      </c>
      <c r="I12" s="49" t="s">
        <v>107</v>
      </c>
      <c r="J12" s="50" t="s">
        <v>109</v>
      </c>
      <c r="K12" s="50" t="s">
        <v>109</v>
      </c>
      <c r="L12" s="50" t="s">
        <v>12</v>
      </c>
      <c r="M12" s="50" t="s">
        <v>13</v>
      </c>
      <c r="N12" s="50" t="s">
        <v>14</v>
      </c>
      <c r="O12" s="48" t="s">
        <v>620</v>
      </c>
      <c r="P12" s="45" t="s">
        <v>453</v>
      </c>
      <c r="Q12" s="35" t="str">
        <f>MID(Tabla1[[#This Row],[Aplicación]],14,1)</f>
        <v>6</v>
      </c>
      <c r="R12" s="35" t="s">
        <v>442</v>
      </c>
      <c r="S12" s="35" t="str">
        <f>MID(Tabla1[[#This Row],[Aplicación]],6,2)</f>
        <v>08</v>
      </c>
      <c r="T12" s="35" t="str">
        <f>VLOOKUP(Tabla1[[#This Row],[AREA]],Hoja1!A:B,2,FALSE)</f>
        <v>08. Movilidad y espacio urbano</v>
      </c>
      <c r="U12" s="35" t="str">
        <f>MID(Tabla1[[#This Row],[Aplicación]],9,4)</f>
        <v>1532</v>
      </c>
      <c r="V12" s="35" t="str">
        <f>VLOOKUP(Tabla1[[#This Row],[PROGRAMA]],Hoja1!A:B,2,FALSE)</f>
        <v>1532. Pavimentación vias públicas y otros servicios urbanísticos</v>
      </c>
      <c r="W12" s="35" t="str">
        <f>MID(Tabla1[[#This Row],[Aplicación]],14,2)</f>
        <v>61</v>
      </c>
      <c r="X12" s="35" t="str">
        <f>MID(Tabla1[[#This Row],[Aplicación]],14,6)</f>
        <v>619</v>
      </c>
    </row>
    <row r="13" spans="1:24" x14ac:dyDescent="0.25">
      <c r="A13" s="49">
        <v>220219000739</v>
      </c>
      <c r="B13" s="50" t="s">
        <v>9</v>
      </c>
      <c r="C13" s="57">
        <v>44562</v>
      </c>
      <c r="D13" s="49">
        <v>22022002060</v>
      </c>
      <c r="E13" s="50" t="s">
        <v>1379</v>
      </c>
      <c r="F13" s="58">
        <v>1416112.72</v>
      </c>
      <c r="G13" s="50" t="s">
        <v>490</v>
      </c>
      <c r="H13" s="50" t="s">
        <v>1380</v>
      </c>
      <c r="I13" s="49" t="s">
        <v>107</v>
      </c>
      <c r="J13" s="50" t="s">
        <v>491</v>
      </c>
      <c r="K13" s="50" t="s">
        <v>108</v>
      </c>
      <c r="L13" s="50" t="s">
        <v>12</v>
      </c>
      <c r="M13" s="50" t="s">
        <v>13</v>
      </c>
      <c r="N13" s="50" t="s">
        <v>14</v>
      </c>
      <c r="O13" s="48" t="s">
        <v>620</v>
      </c>
      <c r="P13" s="45" t="s">
        <v>453</v>
      </c>
      <c r="Q13" s="35" t="str">
        <f>MID(Tabla1[[#This Row],[Aplicación]],14,1)</f>
        <v>6</v>
      </c>
      <c r="R13" s="35" t="s">
        <v>442</v>
      </c>
      <c r="S13" s="35" t="str">
        <f>MID(Tabla1[[#This Row],[Aplicación]],6,2)</f>
        <v>07</v>
      </c>
      <c r="T13" s="35" t="str">
        <f>VLOOKUP(Tabla1[[#This Row],[AREA]],Hoja1!A:B,2,FALSE)</f>
        <v>07. Medio ambiente y desarrollo sostenible</v>
      </c>
      <c r="U13" s="35" t="str">
        <f>MID(Tabla1[[#This Row],[Aplicación]],9,4)</f>
        <v>1711</v>
      </c>
      <c r="V13" s="35" t="str">
        <f>VLOOKUP(Tabla1[[#This Row],[PROGRAMA]],Hoja1!A:B,2,FALSE)</f>
        <v>1711. Parques y jardines</v>
      </c>
      <c r="W13" s="35" t="str">
        <f>MID(Tabla1[[#This Row],[Aplicación]],14,2)</f>
        <v>61</v>
      </c>
      <c r="X13" s="35" t="str">
        <f>MID(Tabla1[[#This Row],[Aplicación]],14,6)</f>
        <v>610</v>
      </c>
    </row>
    <row r="14" spans="1:24" x14ac:dyDescent="0.25">
      <c r="A14" s="49">
        <v>220219001222</v>
      </c>
      <c r="B14" s="50" t="s">
        <v>9</v>
      </c>
      <c r="C14" s="57">
        <v>44562</v>
      </c>
      <c r="D14" s="49">
        <v>22022001986</v>
      </c>
      <c r="E14" s="50" t="s">
        <v>1381</v>
      </c>
      <c r="F14" s="58">
        <v>1347850.5</v>
      </c>
      <c r="G14" s="50" t="s">
        <v>1287</v>
      </c>
      <c r="H14" s="50" t="s">
        <v>1382</v>
      </c>
      <c r="I14" s="49" t="s">
        <v>107</v>
      </c>
      <c r="J14" s="50" t="s">
        <v>1289</v>
      </c>
      <c r="K14" s="50" t="s">
        <v>151</v>
      </c>
      <c r="L14" s="50" t="s">
        <v>25</v>
      </c>
      <c r="M14" s="50" t="s">
        <v>13</v>
      </c>
      <c r="N14" s="50" t="s">
        <v>14</v>
      </c>
      <c r="O14" s="48" t="s">
        <v>620</v>
      </c>
      <c r="P14" s="45" t="s">
        <v>453</v>
      </c>
      <c r="Q14" s="35" t="str">
        <f>MID(Tabla1[[#This Row],[Aplicación]],14,1)</f>
        <v>6</v>
      </c>
      <c r="R14" s="35" t="s">
        <v>442</v>
      </c>
      <c r="S14" s="35" t="str">
        <f>MID(Tabla1[[#This Row],[Aplicación]],6,2)</f>
        <v>08</v>
      </c>
      <c r="T14" s="35" t="str">
        <f>VLOOKUP(Tabla1[[#This Row],[AREA]],Hoja1!A:B,2,FALSE)</f>
        <v>08. Movilidad y espacio urbano</v>
      </c>
      <c r="U14" s="35" t="str">
        <f>MID(Tabla1[[#This Row],[Aplicación]],9,4)</f>
        <v>1532</v>
      </c>
      <c r="V14" s="35" t="str">
        <f>VLOOKUP(Tabla1[[#This Row],[PROGRAMA]],Hoja1!A:B,2,FALSE)</f>
        <v>1532. Pavimentación vias públicas y otros servicios urbanísticos</v>
      </c>
      <c r="W14" s="35" t="str">
        <f>MID(Tabla1[[#This Row],[Aplicación]],14,2)</f>
        <v>62</v>
      </c>
      <c r="X14" s="35" t="str">
        <f>MID(Tabla1[[#This Row],[Aplicación]],14,6)</f>
        <v>622</v>
      </c>
    </row>
    <row r="15" spans="1:24" x14ac:dyDescent="0.25">
      <c r="A15" s="49">
        <v>220219000880</v>
      </c>
      <c r="B15" s="50" t="s">
        <v>9</v>
      </c>
      <c r="C15" s="57">
        <v>44562</v>
      </c>
      <c r="D15" s="49">
        <v>22022002011</v>
      </c>
      <c r="E15" s="50" t="s">
        <v>1383</v>
      </c>
      <c r="F15" s="58">
        <v>1312449.3999999999</v>
      </c>
      <c r="G15" s="50" t="s">
        <v>185</v>
      </c>
      <c r="H15" s="50" t="s">
        <v>1384</v>
      </c>
      <c r="I15" s="49" t="s">
        <v>107</v>
      </c>
      <c r="J15" s="50" t="s">
        <v>491</v>
      </c>
      <c r="K15" s="50" t="s">
        <v>108</v>
      </c>
      <c r="L15" s="50" t="s">
        <v>12</v>
      </c>
      <c r="M15" s="50" t="s">
        <v>13</v>
      </c>
      <c r="N15" s="50" t="s">
        <v>14</v>
      </c>
      <c r="O15" s="48" t="s">
        <v>620</v>
      </c>
      <c r="P15" s="45" t="s">
        <v>453</v>
      </c>
      <c r="Q15" s="35" t="str">
        <f>MID(Tabla1[[#This Row],[Aplicación]],14,1)</f>
        <v>6</v>
      </c>
      <c r="R15" s="35" t="s">
        <v>442</v>
      </c>
      <c r="S15" s="35" t="str">
        <f>MID(Tabla1[[#This Row],[Aplicación]],6,2)</f>
        <v>08</v>
      </c>
      <c r="T15" s="35" t="str">
        <f>VLOOKUP(Tabla1[[#This Row],[AREA]],Hoja1!A:B,2,FALSE)</f>
        <v>08. Movilidad y espacio urbano</v>
      </c>
      <c r="U15" s="35" t="str">
        <f>MID(Tabla1[[#This Row],[Aplicación]],9,4)</f>
        <v>1341</v>
      </c>
      <c r="V15" s="35" t="str">
        <f>VLOOKUP(Tabla1[[#This Row],[PROGRAMA]],Hoja1!A:B,2,FALSE)</f>
        <v>1341. Movilidad</v>
      </c>
      <c r="W15" s="35" t="str">
        <f>MID(Tabla1[[#This Row],[Aplicación]],14,2)</f>
        <v>61</v>
      </c>
      <c r="X15" s="35" t="str">
        <f>MID(Tabla1[[#This Row],[Aplicación]],14,6)</f>
        <v>619</v>
      </c>
    </row>
    <row r="16" spans="1:24" x14ac:dyDescent="0.25">
      <c r="A16" s="49">
        <v>220219001262</v>
      </c>
      <c r="B16" s="50" t="s">
        <v>9</v>
      </c>
      <c r="C16" s="57">
        <v>44562</v>
      </c>
      <c r="D16" s="49">
        <v>22022002103</v>
      </c>
      <c r="E16" s="50" t="s">
        <v>1368</v>
      </c>
      <c r="F16" s="58">
        <v>1300000</v>
      </c>
      <c r="G16" s="50" t="s">
        <v>259</v>
      </c>
      <c r="H16" s="50" t="s">
        <v>1385</v>
      </c>
      <c r="I16" s="49" t="s">
        <v>107</v>
      </c>
      <c r="J16" s="50" t="s">
        <v>109</v>
      </c>
      <c r="K16" s="50" t="s">
        <v>109</v>
      </c>
      <c r="L16" s="50" t="s">
        <v>12</v>
      </c>
      <c r="M16" s="50" t="s">
        <v>13</v>
      </c>
      <c r="N16" s="50" t="s">
        <v>14</v>
      </c>
      <c r="O16" s="48" t="s">
        <v>620</v>
      </c>
      <c r="P16" s="45" t="s">
        <v>453</v>
      </c>
      <c r="Q16" s="35" t="str">
        <f>MID(Tabla1[[#This Row],[Aplicación]],14,1)</f>
        <v>6</v>
      </c>
      <c r="R16" s="35" t="s">
        <v>442</v>
      </c>
      <c r="S16" s="35" t="str">
        <f>MID(Tabla1[[#This Row],[Aplicación]],6,2)</f>
        <v>08</v>
      </c>
      <c r="T16" s="35" t="str">
        <f>VLOOKUP(Tabla1[[#This Row],[AREA]],Hoja1!A:B,2,FALSE)</f>
        <v>08. Movilidad y espacio urbano</v>
      </c>
      <c r="U16" s="35" t="str">
        <f>MID(Tabla1[[#This Row],[Aplicación]],9,4)</f>
        <v>1532</v>
      </c>
      <c r="V16" s="35" t="str">
        <f>VLOOKUP(Tabla1[[#This Row],[PROGRAMA]],Hoja1!A:B,2,FALSE)</f>
        <v>1532. Pavimentación vias públicas y otros servicios urbanísticos</v>
      </c>
      <c r="W16" s="35" t="str">
        <f>MID(Tabla1[[#This Row],[Aplicación]],14,2)</f>
        <v>61</v>
      </c>
      <c r="X16" s="35" t="str">
        <f>MID(Tabla1[[#This Row],[Aplicación]],14,6)</f>
        <v>619</v>
      </c>
    </row>
    <row r="17" spans="1:24" x14ac:dyDescent="0.25">
      <c r="A17" s="49">
        <v>220209000367</v>
      </c>
      <c r="B17" s="50" t="s">
        <v>9</v>
      </c>
      <c r="C17" s="57">
        <v>44562</v>
      </c>
      <c r="D17" s="49">
        <v>22022000187</v>
      </c>
      <c r="E17" s="50" t="s">
        <v>1361</v>
      </c>
      <c r="F17" s="58">
        <v>1258400</v>
      </c>
      <c r="G17" s="50" t="s">
        <v>133</v>
      </c>
      <c r="H17" s="50" t="s">
        <v>813</v>
      </c>
      <c r="I17" s="49" t="s">
        <v>107</v>
      </c>
      <c r="J17" s="50" t="s">
        <v>524</v>
      </c>
      <c r="K17" s="50" t="s">
        <v>134</v>
      </c>
      <c r="L17" s="50" t="s">
        <v>12</v>
      </c>
      <c r="M17" s="50" t="s">
        <v>13</v>
      </c>
      <c r="N17" s="50" t="s">
        <v>14</v>
      </c>
      <c r="O17" s="48" t="s">
        <v>620</v>
      </c>
      <c r="P17" s="45" t="s">
        <v>453</v>
      </c>
      <c r="Q17" s="35" t="str">
        <f>MID(Tabla1[[#This Row],[Aplicación]],14,1)</f>
        <v>2</v>
      </c>
      <c r="R17" s="35" t="s">
        <v>441</v>
      </c>
      <c r="S17" s="35" t="str">
        <f>MID(Tabla1[[#This Row],[Aplicación]],6,2)</f>
        <v>10</v>
      </c>
      <c r="T17" s="35" t="str">
        <f>VLOOKUP(Tabla1[[#This Row],[AREA]],Hoja1!A:B,2,FALSE)</f>
        <v>10. Servicios sociales y mediación comunitaria</v>
      </c>
      <c r="U17" s="35" t="str">
        <f>MID(Tabla1[[#This Row],[Aplicación]],9,4)</f>
        <v>2311</v>
      </c>
      <c r="V17" s="35" t="str">
        <f>VLOOKUP(Tabla1[[#This Row],[PROGRAMA]],Hoja1!A:B,2,FALSE)</f>
        <v>2311. Intervención social</v>
      </c>
      <c r="W17" s="35" t="str">
        <f>MID(Tabla1[[#This Row],[Aplicación]],14,2)</f>
        <v>22</v>
      </c>
      <c r="X17" s="35" t="str">
        <f>MID(Tabla1[[#This Row],[Aplicación]],14,6)</f>
        <v>22799</v>
      </c>
    </row>
    <row r="18" spans="1:24" x14ac:dyDescent="0.25">
      <c r="A18" s="49">
        <v>220220010300</v>
      </c>
      <c r="B18" s="50" t="s">
        <v>172</v>
      </c>
      <c r="C18" s="57">
        <v>44641</v>
      </c>
      <c r="D18" s="49">
        <v>22022000672</v>
      </c>
      <c r="E18" s="50" t="s">
        <v>1386</v>
      </c>
      <c r="F18" s="58">
        <v>1050000</v>
      </c>
      <c r="G18" s="50" t="s">
        <v>146</v>
      </c>
      <c r="H18" s="50" t="s">
        <v>1387</v>
      </c>
      <c r="I18" s="49" t="s">
        <v>173</v>
      </c>
      <c r="J18" s="50" t="s">
        <v>109</v>
      </c>
      <c r="K18" s="50" t="s">
        <v>109</v>
      </c>
      <c r="L18" s="50" t="s">
        <v>12</v>
      </c>
      <c r="M18" s="50" t="s">
        <v>13</v>
      </c>
      <c r="N18" s="50" t="s">
        <v>14</v>
      </c>
      <c r="O18" s="48" t="s">
        <v>620</v>
      </c>
      <c r="P18" s="45" t="s">
        <v>453</v>
      </c>
      <c r="Q18" s="35" t="str">
        <f>MID(Tabla1[[#This Row],[Aplicación]],14,1)</f>
        <v>2</v>
      </c>
      <c r="R18" s="35" t="s">
        <v>441</v>
      </c>
      <c r="S18" s="35" t="str">
        <f>MID(Tabla1[[#This Row],[Aplicación]],6,2)</f>
        <v>04</v>
      </c>
      <c r="T18" s="35" t="str">
        <f>VLOOKUP(Tabla1[[#This Row],[AREA]],Hoja1!A:B,2,FALSE)</f>
        <v>04. Planificación y recursos</v>
      </c>
      <c r="U18" s="35" t="str">
        <f>MID(Tabla1[[#This Row],[Aplicación]],9,4)</f>
        <v>9231</v>
      </c>
      <c r="V18" s="35" t="str">
        <f>VLOOKUP(Tabla1[[#This Row],[PROGRAMA]],Hoja1!A:B,2,FALSE)</f>
        <v>9231. Información, registro y gestión del padrón</v>
      </c>
      <c r="W18" s="35" t="str">
        <f>MID(Tabla1[[#This Row],[Aplicación]],14,2)</f>
        <v>22</v>
      </c>
      <c r="X18" s="35" t="str">
        <f>MID(Tabla1[[#This Row],[Aplicación]],14,6)</f>
        <v>22201</v>
      </c>
    </row>
    <row r="19" spans="1:24" x14ac:dyDescent="0.25">
      <c r="A19" s="49">
        <v>220219001223</v>
      </c>
      <c r="B19" s="50" t="s">
        <v>9</v>
      </c>
      <c r="C19" s="57">
        <v>44562</v>
      </c>
      <c r="D19" s="49">
        <v>22022001987</v>
      </c>
      <c r="E19" s="50" t="s">
        <v>1388</v>
      </c>
      <c r="F19" s="58">
        <v>930069.35</v>
      </c>
      <c r="G19" s="50" t="s">
        <v>259</v>
      </c>
      <c r="H19" s="50" t="s">
        <v>1389</v>
      </c>
      <c r="I19" s="49" t="s">
        <v>107</v>
      </c>
      <c r="J19" s="50" t="s">
        <v>109</v>
      </c>
      <c r="K19" s="50" t="s">
        <v>109</v>
      </c>
      <c r="L19" s="50" t="s">
        <v>25</v>
      </c>
      <c r="M19" s="50" t="s">
        <v>13</v>
      </c>
      <c r="N19" s="50" t="s">
        <v>14</v>
      </c>
      <c r="O19" s="48" t="s">
        <v>620</v>
      </c>
      <c r="P19" s="45" t="s">
        <v>453</v>
      </c>
      <c r="Q19" s="35" t="str">
        <f>MID(Tabla1[[#This Row],[Aplicación]],14,1)</f>
        <v>6</v>
      </c>
      <c r="R19" s="35" t="s">
        <v>442</v>
      </c>
      <c r="S19" s="35" t="str">
        <f>MID(Tabla1[[#This Row],[Aplicación]],6,2)</f>
        <v>08</v>
      </c>
      <c r="T19" s="35" t="str">
        <f>VLOOKUP(Tabla1[[#This Row],[AREA]],Hoja1!A:B,2,FALSE)</f>
        <v>08. Movilidad y espacio urbano</v>
      </c>
      <c r="U19" s="35" t="str">
        <f>MID(Tabla1[[#This Row],[Aplicación]],9,4)</f>
        <v>1532</v>
      </c>
      <c r="V19" s="35" t="str">
        <f>VLOOKUP(Tabla1[[#This Row],[PROGRAMA]],Hoja1!A:B,2,FALSE)</f>
        <v>1532. Pavimentación vias públicas y otros servicios urbanísticos</v>
      </c>
      <c r="W19" s="35" t="str">
        <f>MID(Tabla1[[#This Row],[Aplicación]],14,2)</f>
        <v>60</v>
      </c>
      <c r="X19" s="35" t="str">
        <f>MID(Tabla1[[#This Row],[Aplicación]],14,6)</f>
        <v>609</v>
      </c>
    </row>
    <row r="20" spans="1:24" x14ac:dyDescent="0.25">
      <c r="A20" s="49">
        <v>220220006724</v>
      </c>
      <c r="B20" s="50" t="s">
        <v>9</v>
      </c>
      <c r="C20" s="57">
        <v>44620</v>
      </c>
      <c r="D20" s="49">
        <v>22021002448</v>
      </c>
      <c r="E20" s="50" t="s">
        <v>1390</v>
      </c>
      <c r="F20" s="58">
        <v>844014.44</v>
      </c>
      <c r="G20" s="50" t="s">
        <v>697</v>
      </c>
      <c r="H20" s="50" t="s">
        <v>699</v>
      </c>
      <c r="I20" s="49" t="s">
        <v>107</v>
      </c>
      <c r="J20" s="50" t="s">
        <v>463</v>
      </c>
      <c r="K20" s="50" t="s">
        <v>463</v>
      </c>
      <c r="L20" s="50" t="s">
        <v>25</v>
      </c>
      <c r="M20" s="50" t="s">
        <v>13</v>
      </c>
      <c r="N20" s="50" t="s">
        <v>14</v>
      </c>
      <c r="O20" s="48" t="s">
        <v>620</v>
      </c>
      <c r="P20" s="45" t="s">
        <v>453</v>
      </c>
      <c r="Q20" s="35" t="str">
        <f>MID(Tabla1[[#This Row],[Aplicación]],14,1)</f>
        <v>6</v>
      </c>
      <c r="R20" s="35" t="s">
        <v>442</v>
      </c>
      <c r="S20" s="35" t="str">
        <f>MID(Tabla1[[#This Row],[Aplicación]],6,2)</f>
        <v>10</v>
      </c>
      <c r="T20" s="35" t="str">
        <f>VLOOKUP(Tabla1[[#This Row],[AREA]],Hoja1!A:B,2,FALSE)</f>
        <v>10. Servicios sociales y mediación comunitaria</v>
      </c>
      <c r="U20" s="35" t="str">
        <f>MID(Tabla1[[#This Row],[Aplicación]],9,4)</f>
        <v>2312</v>
      </c>
      <c r="V20" s="35" t="str">
        <f>VLOOKUP(Tabla1[[#This Row],[PROGRAMA]],Hoja1!A:B,2,FALSE)</f>
        <v>2312. Iniciativas sociales</v>
      </c>
      <c r="W20" s="35" t="str">
        <f>MID(Tabla1[[#This Row],[Aplicación]],14,2)</f>
        <v>62</v>
      </c>
      <c r="X20" s="35" t="str">
        <f>MID(Tabla1[[#This Row],[Aplicación]],14,6)</f>
        <v>622</v>
      </c>
    </row>
    <row r="21" spans="1:24" x14ac:dyDescent="0.25">
      <c r="A21" s="49">
        <v>220209000418</v>
      </c>
      <c r="B21" s="50" t="s">
        <v>9</v>
      </c>
      <c r="C21" s="57">
        <v>44620</v>
      </c>
      <c r="D21" s="49">
        <v>22021000736</v>
      </c>
      <c r="E21" s="50" t="s">
        <v>1390</v>
      </c>
      <c r="F21" s="58">
        <v>449654.55</v>
      </c>
      <c r="G21" s="50" t="s">
        <v>697</v>
      </c>
      <c r="H21" s="50" t="s">
        <v>701</v>
      </c>
      <c r="I21" s="49" t="s">
        <v>107</v>
      </c>
      <c r="J21" s="50" t="s">
        <v>463</v>
      </c>
      <c r="K21" s="50" t="s">
        <v>463</v>
      </c>
      <c r="L21" s="50" t="s">
        <v>25</v>
      </c>
      <c r="M21" s="50" t="s">
        <v>13</v>
      </c>
      <c r="N21" s="50" t="s">
        <v>14</v>
      </c>
      <c r="O21" s="48" t="s">
        <v>620</v>
      </c>
      <c r="P21" s="45" t="s">
        <v>453</v>
      </c>
      <c r="Q21" s="35" t="str">
        <f>MID(Tabla1[[#This Row],[Aplicación]],14,1)</f>
        <v>6</v>
      </c>
      <c r="R21" s="35" t="s">
        <v>442</v>
      </c>
      <c r="S21" s="35" t="str">
        <f>MID(Tabla1[[#This Row],[Aplicación]],6,2)</f>
        <v>10</v>
      </c>
      <c r="T21" s="35" t="str">
        <f>VLOOKUP(Tabla1[[#This Row],[AREA]],Hoja1!A:B,2,FALSE)</f>
        <v>10. Servicios sociales y mediación comunitaria</v>
      </c>
      <c r="U21" s="35" t="str">
        <f>MID(Tabla1[[#This Row],[Aplicación]],9,4)</f>
        <v>2312</v>
      </c>
      <c r="V21" s="35" t="str">
        <f>VLOOKUP(Tabla1[[#This Row],[PROGRAMA]],Hoja1!A:B,2,FALSE)</f>
        <v>2312. Iniciativas sociales</v>
      </c>
      <c r="W21" s="35" t="str">
        <f>MID(Tabla1[[#This Row],[Aplicación]],14,2)</f>
        <v>62</v>
      </c>
      <c r="X21" s="35" t="str">
        <f>MID(Tabla1[[#This Row],[Aplicación]],14,6)</f>
        <v>622</v>
      </c>
    </row>
    <row r="22" spans="1:24" x14ac:dyDescent="0.25">
      <c r="A22" s="49">
        <v>220219000190</v>
      </c>
      <c r="B22" s="50" t="s">
        <v>9</v>
      </c>
      <c r="C22" s="57">
        <v>44562</v>
      </c>
      <c r="D22" s="49">
        <v>22022002059</v>
      </c>
      <c r="E22" s="50" t="s">
        <v>1379</v>
      </c>
      <c r="F22" s="58">
        <v>430415.49</v>
      </c>
      <c r="G22" s="50" t="s">
        <v>101</v>
      </c>
      <c r="H22" s="50" t="s">
        <v>1391</v>
      </c>
      <c r="I22" s="49" t="s">
        <v>107</v>
      </c>
      <c r="J22" s="50" t="s">
        <v>109</v>
      </c>
      <c r="K22" s="50" t="s">
        <v>109</v>
      </c>
      <c r="L22" s="50" t="s">
        <v>12</v>
      </c>
      <c r="M22" s="50" t="s">
        <v>13</v>
      </c>
      <c r="N22" s="50" t="s">
        <v>14</v>
      </c>
      <c r="O22" s="48" t="s">
        <v>620</v>
      </c>
      <c r="P22" s="45" t="s">
        <v>453</v>
      </c>
      <c r="Q22" s="35" t="str">
        <f>MID(Tabla1[[#This Row],[Aplicación]],14,1)</f>
        <v>6</v>
      </c>
      <c r="R22" s="35" t="s">
        <v>442</v>
      </c>
      <c r="S22" s="35" t="str">
        <f>MID(Tabla1[[#This Row],[Aplicación]],6,2)</f>
        <v>07</v>
      </c>
      <c r="T22" s="35" t="str">
        <f>VLOOKUP(Tabla1[[#This Row],[AREA]],Hoja1!A:B,2,FALSE)</f>
        <v>07. Medio ambiente y desarrollo sostenible</v>
      </c>
      <c r="U22" s="35" t="str">
        <f>MID(Tabla1[[#This Row],[Aplicación]],9,4)</f>
        <v>1711</v>
      </c>
      <c r="V22" s="35" t="str">
        <f>VLOOKUP(Tabla1[[#This Row],[PROGRAMA]],Hoja1!A:B,2,FALSE)</f>
        <v>1711. Parques y jardines</v>
      </c>
      <c r="W22" s="35" t="str">
        <f>MID(Tabla1[[#This Row],[Aplicación]],14,2)</f>
        <v>61</v>
      </c>
      <c r="X22" s="35" t="str">
        <f>MID(Tabla1[[#This Row],[Aplicación]],14,6)</f>
        <v>610</v>
      </c>
    </row>
    <row r="23" spans="1:24" x14ac:dyDescent="0.25">
      <c r="A23" s="49">
        <v>220209000531</v>
      </c>
      <c r="B23" s="50" t="s">
        <v>9</v>
      </c>
      <c r="C23" s="57">
        <v>44562</v>
      </c>
      <c r="D23" s="49">
        <v>22022000208</v>
      </c>
      <c r="E23" s="50" t="s">
        <v>1392</v>
      </c>
      <c r="F23" s="58">
        <v>800000</v>
      </c>
      <c r="G23" s="50" t="s">
        <v>62</v>
      </c>
      <c r="H23" s="50" t="s">
        <v>716</v>
      </c>
      <c r="I23" s="49" t="s">
        <v>107</v>
      </c>
      <c r="J23" s="50" t="s">
        <v>109</v>
      </c>
      <c r="K23" s="50" t="s">
        <v>109</v>
      </c>
      <c r="L23" s="50" t="s">
        <v>15</v>
      </c>
      <c r="M23" s="50" t="s">
        <v>13</v>
      </c>
      <c r="N23" s="50" t="s">
        <v>14</v>
      </c>
      <c r="O23" s="48" t="s">
        <v>620</v>
      </c>
      <c r="P23" s="45" t="s">
        <v>453</v>
      </c>
      <c r="Q23" s="35" t="str">
        <f>MID(Tabla1[[#This Row],[Aplicación]],14,1)</f>
        <v>2</v>
      </c>
      <c r="R23" s="35" t="s">
        <v>441</v>
      </c>
      <c r="S23" s="35" t="str">
        <f>MID(Tabla1[[#This Row],[Aplicación]],6,2)</f>
        <v>11</v>
      </c>
      <c r="T23" s="35" t="str">
        <f>VLOOKUP(Tabla1[[#This Row],[AREA]],Hoja1!A:B,2,FALSE)</f>
        <v>11. Salud pública y seguridad ciudadana</v>
      </c>
      <c r="U23" s="35" t="str">
        <f>MID(Tabla1[[#This Row],[Aplicación]],9,4)</f>
        <v>1621</v>
      </c>
      <c r="V23" s="35" t="str">
        <f>VLOOKUP(Tabla1[[#This Row],[PROGRAMA]],Hoja1!A:B,2,FALSE)</f>
        <v>1621. Servicio de limpieza</v>
      </c>
      <c r="W23" s="35" t="str">
        <f>MID(Tabla1[[#This Row],[Aplicación]],14,2)</f>
        <v>22</v>
      </c>
      <c r="X23" s="35" t="str">
        <f>MID(Tabla1[[#This Row],[Aplicación]],14,6)</f>
        <v>22103</v>
      </c>
    </row>
    <row r="24" spans="1:24" x14ac:dyDescent="0.25">
      <c r="A24" s="49">
        <v>220219000871</v>
      </c>
      <c r="B24" s="50" t="s">
        <v>9</v>
      </c>
      <c r="C24" s="57">
        <v>44562</v>
      </c>
      <c r="D24" s="49">
        <v>22022000609</v>
      </c>
      <c r="E24" s="50" t="s">
        <v>1393</v>
      </c>
      <c r="F24" s="58">
        <v>770000</v>
      </c>
      <c r="G24" s="50" t="s">
        <v>514</v>
      </c>
      <c r="H24" s="50" t="s">
        <v>1394</v>
      </c>
      <c r="I24" s="49" t="s">
        <v>107</v>
      </c>
      <c r="J24" s="50" t="s">
        <v>515</v>
      </c>
      <c r="K24" s="50" t="s">
        <v>108</v>
      </c>
      <c r="L24" s="50" t="s">
        <v>12</v>
      </c>
      <c r="M24" s="50" t="s">
        <v>13</v>
      </c>
      <c r="N24" s="50" t="s">
        <v>14</v>
      </c>
      <c r="O24" s="48" t="s">
        <v>620</v>
      </c>
      <c r="P24" s="45" t="s">
        <v>453</v>
      </c>
      <c r="Q24" s="35" t="str">
        <f>MID(Tabla1[[#This Row],[Aplicación]],14,1)</f>
        <v>2</v>
      </c>
      <c r="R24" s="35" t="s">
        <v>441</v>
      </c>
      <c r="S24" s="35" t="str">
        <f>MID(Tabla1[[#This Row],[Aplicación]],6,2)</f>
        <v>11</v>
      </c>
      <c r="T24" s="35" t="str">
        <f>VLOOKUP(Tabla1[[#This Row],[AREA]],Hoja1!A:B,2,FALSE)</f>
        <v>11. Salud pública y seguridad ciudadana</v>
      </c>
      <c r="U24" s="35" t="str">
        <f>MID(Tabla1[[#This Row],[Aplicación]],9,4)</f>
        <v>1321</v>
      </c>
      <c r="V24" s="35" t="str">
        <f>VLOOKUP(Tabla1[[#This Row],[PROGRAMA]],Hoja1!A:B,2,FALSE)</f>
        <v>1321. Policía municipal</v>
      </c>
      <c r="W24" s="35" t="str">
        <f>MID(Tabla1[[#This Row],[Aplicación]],14,2)</f>
        <v>22</v>
      </c>
      <c r="X24" s="35" t="str">
        <f>MID(Tabla1[[#This Row],[Aplicación]],14,6)</f>
        <v>22701</v>
      </c>
    </row>
    <row r="25" spans="1:24" x14ac:dyDescent="0.25">
      <c r="A25" s="49">
        <v>220219000623</v>
      </c>
      <c r="B25" s="50" t="s">
        <v>9</v>
      </c>
      <c r="C25" s="57">
        <v>44562</v>
      </c>
      <c r="D25" s="49">
        <v>22022002003</v>
      </c>
      <c r="E25" s="50" t="s">
        <v>1395</v>
      </c>
      <c r="F25" s="58">
        <v>767499.09</v>
      </c>
      <c r="G25" s="50" t="s">
        <v>1044</v>
      </c>
      <c r="H25" s="50" t="s">
        <v>1396</v>
      </c>
      <c r="I25" s="49" t="s">
        <v>107</v>
      </c>
      <c r="J25" s="50" t="s">
        <v>108</v>
      </c>
      <c r="K25" s="50" t="s">
        <v>108</v>
      </c>
      <c r="L25" s="50" t="s">
        <v>25</v>
      </c>
      <c r="M25" s="50" t="s">
        <v>13</v>
      </c>
      <c r="N25" s="50" t="s">
        <v>14</v>
      </c>
      <c r="O25" s="48" t="s">
        <v>620</v>
      </c>
      <c r="P25" s="45" t="s">
        <v>453</v>
      </c>
      <c r="Q25" s="35" t="str">
        <f>MID(Tabla1[[#This Row],[Aplicación]],14,1)</f>
        <v>6</v>
      </c>
      <c r="R25" s="35" t="s">
        <v>442</v>
      </c>
      <c r="S25" s="35" t="str">
        <f>MID(Tabla1[[#This Row],[Aplicación]],6,2)</f>
        <v>06</v>
      </c>
      <c r="T25" s="35" t="str">
        <f>VLOOKUP(Tabla1[[#This Row],[AREA]],Hoja1!A:B,2,FALSE)</f>
        <v>06. Educación, infancia, juventud e igualdad</v>
      </c>
      <c r="U25" s="35" t="str">
        <f>MID(Tabla1[[#This Row],[Aplicación]],9,4)</f>
        <v>3231</v>
      </c>
      <c r="V25" s="35" t="str">
        <f>VLOOKUP(Tabla1[[#This Row],[PROGRAMA]],Hoja1!A:B,2,FALSE)</f>
        <v>3231. Escuelas infantiles</v>
      </c>
      <c r="W25" s="35" t="str">
        <f>MID(Tabla1[[#This Row],[Aplicación]],14,2)</f>
        <v>62</v>
      </c>
      <c r="X25" s="35" t="str">
        <f>MID(Tabla1[[#This Row],[Aplicación]],14,6)</f>
        <v>622</v>
      </c>
    </row>
    <row r="26" spans="1:24" x14ac:dyDescent="0.25">
      <c r="A26" s="49">
        <v>220199000764</v>
      </c>
      <c r="B26" s="50" t="s">
        <v>9</v>
      </c>
      <c r="C26" s="57">
        <v>44562</v>
      </c>
      <c r="D26" s="49">
        <v>22022000163</v>
      </c>
      <c r="E26" s="50" t="s">
        <v>1397</v>
      </c>
      <c r="F26" s="58">
        <v>710749.31</v>
      </c>
      <c r="G26" s="50" t="s">
        <v>508</v>
      </c>
      <c r="H26" s="50" t="s">
        <v>516</v>
      </c>
      <c r="I26" s="49" t="s">
        <v>107</v>
      </c>
      <c r="J26" s="50" t="s">
        <v>108</v>
      </c>
      <c r="K26" s="50" t="s">
        <v>108</v>
      </c>
      <c r="L26" s="50" t="s">
        <v>12</v>
      </c>
      <c r="M26" s="50" t="s">
        <v>13</v>
      </c>
      <c r="N26" s="50" t="s">
        <v>14</v>
      </c>
      <c r="O26" s="48" t="s">
        <v>620</v>
      </c>
      <c r="P26" s="45" t="s">
        <v>453</v>
      </c>
      <c r="Q26" s="35" t="str">
        <f>MID(Tabla1[[#This Row],[Aplicación]],14,1)</f>
        <v>2</v>
      </c>
      <c r="R26" s="35" t="s">
        <v>441</v>
      </c>
      <c r="S26" s="35" t="str">
        <f>MID(Tabla1[[#This Row],[Aplicación]],6,2)</f>
        <v>10</v>
      </c>
      <c r="T26" s="35" t="str">
        <f>VLOOKUP(Tabla1[[#This Row],[AREA]],Hoja1!A:B,2,FALSE)</f>
        <v>10. Servicios sociales y mediación comunitaria</v>
      </c>
      <c r="U26" s="35" t="str">
        <f>MID(Tabla1[[#This Row],[Aplicación]],9,4)</f>
        <v>2312</v>
      </c>
      <c r="V26" s="35" t="str">
        <f>VLOOKUP(Tabla1[[#This Row],[PROGRAMA]],Hoja1!A:B,2,FALSE)</f>
        <v>2312. Iniciativas sociales</v>
      </c>
      <c r="W26" s="35" t="str">
        <f>MID(Tabla1[[#This Row],[Aplicación]],14,2)</f>
        <v>22</v>
      </c>
      <c r="X26" s="35" t="str">
        <f>MID(Tabla1[[#This Row],[Aplicación]],14,6)</f>
        <v>22799</v>
      </c>
    </row>
    <row r="27" spans="1:24" x14ac:dyDescent="0.25">
      <c r="A27" s="49">
        <v>220219000122</v>
      </c>
      <c r="B27" s="50" t="s">
        <v>9</v>
      </c>
      <c r="C27" s="57">
        <v>44562</v>
      </c>
      <c r="D27" s="49">
        <v>22022000036</v>
      </c>
      <c r="E27" s="50" t="s">
        <v>1361</v>
      </c>
      <c r="F27" s="58">
        <v>655780.19999999995</v>
      </c>
      <c r="G27" s="50" t="s">
        <v>462</v>
      </c>
      <c r="H27" s="50" t="s">
        <v>1398</v>
      </c>
      <c r="I27" s="49" t="s">
        <v>107</v>
      </c>
      <c r="J27" s="50" t="s">
        <v>109</v>
      </c>
      <c r="K27" s="50" t="s">
        <v>109</v>
      </c>
      <c r="L27" s="50" t="s">
        <v>12</v>
      </c>
      <c r="M27" s="50" t="s">
        <v>13</v>
      </c>
      <c r="N27" s="50" t="s">
        <v>14</v>
      </c>
      <c r="O27" s="48" t="s">
        <v>620</v>
      </c>
      <c r="P27" s="45" t="s">
        <v>453</v>
      </c>
      <c r="Q27" s="35" t="str">
        <f>MID(Tabla1[[#This Row],[Aplicación]],14,1)</f>
        <v>2</v>
      </c>
      <c r="R27" s="35" t="s">
        <v>441</v>
      </c>
      <c r="S27" s="35" t="str">
        <f>MID(Tabla1[[#This Row],[Aplicación]],6,2)</f>
        <v>10</v>
      </c>
      <c r="T27" s="35" t="str">
        <f>VLOOKUP(Tabla1[[#This Row],[AREA]],Hoja1!A:B,2,FALSE)</f>
        <v>10. Servicios sociales y mediación comunitaria</v>
      </c>
      <c r="U27" s="35" t="str">
        <f>MID(Tabla1[[#This Row],[Aplicación]],9,4)</f>
        <v>2311</v>
      </c>
      <c r="V27" s="35" t="str">
        <f>VLOOKUP(Tabla1[[#This Row],[PROGRAMA]],Hoja1!A:B,2,FALSE)</f>
        <v>2311. Intervención social</v>
      </c>
      <c r="W27" s="35" t="str">
        <f>MID(Tabla1[[#This Row],[Aplicación]],14,2)</f>
        <v>22</v>
      </c>
      <c r="X27" s="35" t="str">
        <f>MID(Tabla1[[#This Row],[Aplicación]],14,6)</f>
        <v>22799</v>
      </c>
    </row>
    <row r="28" spans="1:24" x14ac:dyDescent="0.25">
      <c r="A28" s="49">
        <v>220210028593</v>
      </c>
      <c r="B28" s="50" t="s">
        <v>9</v>
      </c>
      <c r="C28" s="57">
        <v>44620</v>
      </c>
      <c r="D28" s="49">
        <v>22021001304</v>
      </c>
      <c r="E28" s="50" t="s">
        <v>1399</v>
      </c>
      <c r="F28" s="58">
        <v>587352.04</v>
      </c>
      <c r="G28" s="50" t="s">
        <v>764</v>
      </c>
      <c r="H28" s="50" t="s">
        <v>937</v>
      </c>
      <c r="I28" s="49" t="s">
        <v>107</v>
      </c>
      <c r="J28" s="50" t="s">
        <v>533</v>
      </c>
      <c r="K28" s="50" t="s">
        <v>109</v>
      </c>
      <c r="L28" s="50" t="s">
        <v>25</v>
      </c>
      <c r="M28" s="50" t="s">
        <v>13</v>
      </c>
      <c r="N28" s="50" t="s">
        <v>14</v>
      </c>
      <c r="O28" s="48" t="s">
        <v>620</v>
      </c>
      <c r="P28" s="45" t="s">
        <v>453</v>
      </c>
      <c r="Q28" s="35" t="str">
        <f>MID(Tabla1[[#This Row],[Aplicación]],14,1)</f>
        <v>6</v>
      </c>
      <c r="R28" s="35" t="s">
        <v>442</v>
      </c>
      <c r="S28" s="35" t="str">
        <f>MID(Tabla1[[#This Row],[Aplicación]],6,2)</f>
        <v>02</v>
      </c>
      <c r="T28" s="35" t="str">
        <f>VLOOKUP(Tabla1[[#This Row],[AREA]],Hoja1!A:B,2,FALSE)</f>
        <v>02. Planeamiento urbanístico y vivienda</v>
      </c>
      <c r="U28" s="35" t="str">
        <f>MID(Tabla1[[#This Row],[Aplicación]],9,4)</f>
        <v>1511</v>
      </c>
      <c r="V28" s="35" t="str">
        <f>VLOOKUP(Tabla1[[#This Row],[PROGRAMA]],Hoja1!A:B,2,FALSE)</f>
        <v>1511. Planficación y gestión del urbanismo</v>
      </c>
      <c r="W28" s="35" t="str">
        <f>MID(Tabla1[[#This Row],[Aplicación]],14,2)</f>
        <v>60</v>
      </c>
      <c r="X28" s="35" t="str">
        <f>MID(Tabla1[[#This Row],[Aplicación]],14,6)</f>
        <v>609</v>
      </c>
    </row>
    <row r="29" spans="1:24" x14ac:dyDescent="0.25">
      <c r="A29" s="49">
        <v>220210054967</v>
      </c>
      <c r="B29" s="50" t="s">
        <v>9</v>
      </c>
      <c r="C29" s="57">
        <v>44620</v>
      </c>
      <c r="D29" s="49">
        <v>22021005135</v>
      </c>
      <c r="E29" s="50" t="s">
        <v>1368</v>
      </c>
      <c r="F29" s="58">
        <v>578785.22</v>
      </c>
      <c r="G29" s="50" t="s">
        <v>259</v>
      </c>
      <c r="H29" s="50" t="s">
        <v>1043</v>
      </c>
      <c r="I29" s="49" t="s">
        <v>107</v>
      </c>
      <c r="J29" s="50" t="s">
        <v>109</v>
      </c>
      <c r="K29" s="50" t="s">
        <v>109</v>
      </c>
      <c r="L29" s="50" t="s">
        <v>25</v>
      </c>
      <c r="M29" s="50" t="s">
        <v>13</v>
      </c>
      <c r="N29" s="50" t="s">
        <v>14</v>
      </c>
      <c r="O29" s="48" t="s">
        <v>620</v>
      </c>
      <c r="P29" s="45" t="s">
        <v>453</v>
      </c>
      <c r="Q29" s="35" t="str">
        <f>MID(Tabla1[[#This Row],[Aplicación]],14,1)</f>
        <v>6</v>
      </c>
      <c r="R29" s="35" t="s">
        <v>442</v>
      </c>
      <c r="S29" s="35" t="str">
        <f>MID(Tabla1[[#This Row],[Aplicación]],6,2)</f>
        <v>08</v>
      </c>
      <c r="T29" s="35" t="str">
        <f>VLOOKUP(Tabla1[[#This Row],[AREA]],Hoja1!A:B,2,FALSE)</f>
        <v>08. Movilidad y espacio urbano</v>
      </c>
      <c r="U29" s="35" t="str">
        <f>MID(Tabla1[[#This Row],[Aplicación]],9,4)</f>
        <v>1532</v>
      </c>
      <c r="V29" s="35" t="str">
        <f>VLOOKUP(Tabla1[[#This Row],[PROGRAMA]],Hoja1!A:B,2,FALSE)</f>
        <v>1532. Pavimentación vias públicas y otros servicios urbanísticos</v>
      </c>
      <c r="W29" s="35" t="str">
        <f>MID(Tabla1[[#This Row],[Aplicación]],14,2)</f>
        <v>61</v>
      </c>
      <c r="X29" s="35" t="str">
        <f>MID(Tabla1[[#This Row],[Aplicación]],14,6)</f>
        <v>619</v>
      </c>
    </row>
    <row r="30" spans="1:24" x14ac:dyDescent="0.25">
      <c r="A30" s="49">
        <v>220219000199</v>
      </c>
      <c r="B30" s="50" t="s">
        <v>9</v>
      </c>
      <c r="C30" s="57">
        <v>44562</v>
      </c>
      <c r="D30" s="49">
        <v>22022000400</v>
      </c>
      <c r="E30" s="50" t="s">
        <v>1400</v>
      </c>
      <c r="F30" s="58">
        <v>524800</v>
      </c>
      <c r="G30" s="50" t="s">
        <v>35</v>
      </c>
      <c r="H30" s="50" t="s">
        <v>1401</v>
      </c>
      <c r="I30" s="49" t="s">
        <v>107</v>
      </c>
      <c r="J30" s="50" t="s">
        <v>128</v>
      </c>
      <c r="K30" s="50" t="s">
        <v>128</v>
      </c>
      <c r="L30" s="50" t="s">
        <v>15</v>
      </c>
      <c r="M30" s="50" t="s">
        <v>13</v>
      </c>
      <c r="N30" s="50" t="s">
        <v>16</v>
      </c>
      <c r="O30" s="48" t="s">
        <v>620</v>
      </c>
      <c r="P30" s="45" t="s">
        <v>453</v>
      </c>
      <c r="Q30" s="35" t="str">
        <f>MID(Tabla1[[#This Row],[Aplicación]],14,1)</f>
        <v>2</v>
      </c>
      <c r="R30" s="35" t="s">
        <v>441</v>
      </c>
      <c r="S30" s="35" t="str">
        <f>MID(Tabla1[[#This Row],[Aplicación]],6,2)</f>
        <v>06</v>
      </c>
      <c r="T30" s="35" t="str">
        <f>VLOOKUP(Tabla1[[#This Row],[AREA]],Hoja1!A:B,2,FALSE)</f>
        <v>06. Educación, infancia, juventud e igualdad</v>
      </c>
      <c r="U30" s="35" t="str">
        <f>MID(Tabla1[[#This Row],[Aplicación]],9,4)</f>
        <v>3232</v>
      </c>
      <c r="V30" s="35" t="str">
        <f>VLOOKUP(Tabla1[[#This Row],[PROGRAMA]],Hoja1!A:B,2,FALSE)</f>
        <v>3232. Conservación y mantenimiento centros educación infantil y primaria</v>
      </c>
      <c r="W30" s="35" t="str">
        <f>MID(Tabla1[[#This Row],[Aplicación]],14,2)</f>
        <v>22</v>
      </c>
      <c r="X30" s="35" t="str">
        <f>MID(Tabla1[[#This Row],[Aplicación]],14,6)</f>
        <v>22102</v>
      </c>
    </row>
    <row r="31" spans="1:24" x14ac:dyDescent="0.25">
      <c r="A31" s="49">
        <v>220219000188</v>
      </c>
      <c r="B31" s="50" t="s">
        <v>9</v>
      </c>
      <c r="C31" s="57">
        <v>44562</v>
      </c>
      <c r="D31" s="49">
        <v>22022002058</v>
      </c>
      <c r="E31" s="50" t="s">
        <v>1379</v>
      </c>
      <c r="F31" s="58">
        <v>507708.96</v>
      </c>
      <c r="G31" s="50" t="s">
        <v>147</v>
      </c>
      <c r="H31" s="50" t="s">
        <v>1402</v>
      </c>
      <c r="I31" s="49" t="s">
        <v>107</v>
      </c>
      <c r="J31" s="50" t="s">
        <v>108</v>
      </c>
      <c r="K31" s="50" t="s">
        <v>108</v>
      </c>
      <c r="L31" s="50" t="s">
        <v>12</v>
      </c>
      <c r="M31" s="50" t="s">
        <v>13</v>
      </c>
      <c r="N31" s="50" t="s">
        <v>14</v>
      </c>
      <c r="O31" s="48" t="s">
        <v>620</v>
      </c>
      <c r="P31" s="45" t="s">
        <v>453</v>
      </c>
      <c r="Q31" s="35" t="str">
        <f>MID(Tabla1[[#This Row],[Aplicación]],14,1)</f>
        <v>6</v>
      </c>
      <c r="R31" s="35" t="s">
        <v>442</v>
      </c>
      <c r="S31" s="35" t="str">
        <f>MID(Tabla1[[#This Row],[Aplicación]],6,2)</f>
        <v>07</v>
      </c>
      <c r="T31" s="35" t="str">
        <f>VLOOKUP(Tabla1[[#This Row],[AREA]],Hoja1!A:B,2,FALSE)</f>
        <v>07. Medio ambiente y desarrollo sostenible</v>
      </c>
      <c r="U31" s="35" t="str">
        <f>MID(Tabla1[[#This Row],[Aplicación]],9,4)</f>
        <v>1711</v>
      </c>
      <c r="V31" s="35" t="str">
        <f>VLOOKUP(Tabla1[[#This Row],[PROGRAMA]],Hoja1!A:B,2,FALSE)</f>
        <v>1711. Parques y jardines</v>
      </c>
      <c r="W31" s="35" t="str">
        <f>MID(Tabla1[[#This Row],[Aplicación]],14,2)</f>
        <v>61</v>
      </c>
      <c r="X31" s="35" t="str">
        <f>MID(Tabla1[[#This Row],[Aplicación]],14,6)</f>
        <v>610</v>
      </c>
    </row>
    <row r="32" spans="1:24" x14ac:dyDescent="0.25">
      <c r="A32" s="49">
        <v>220209000646</v>
      </c>
      <c r="B32" s="50" t="s">
        <v>9</v>
      </c>
      <c r="C32" s="57">
        <v>44562</v>
      </c>
      <c r="D32" s="49">
        <v>22022000222</v>
      </c>
      <c r="E32" s="50" t="s">
        <v>1361</v>
      </c>
      <c r="F32" s="58">
        <v>483240</v>
      </c>
      <c r="G32" s="50" t="s">
        <v>75</v>
      </c>
      <c r="H32" s="50" t="s">
        <v>692</v>
      </c>
      <c r="I32" s="49" t="s">
        <v>107</v>
      </c>
      <c r="J32" s="50" t="s">
        <v>109</v>
      </c>
      <c r="K32" s="50" t="s">
        <v>109</v>
      </c>
      <c r="L32" s="50" t="s">
        <v>12</v>
      </c>
      <c r="M32" s="50" t="s">
        <v>13</v>
      </c>
      <c r="N32" s="50" t="s">
        <v>14</v>
      </c>
      <c r="O32" s="48" t="s">
        <v>620</v>
      </c>
      <c r="P32" s="45" t="s">
        <v>453</v>
      </c>
      <c r="Q32" s="35" t="str">
        <f>MID(Tabla1[[#This Row],[Aplicación]],14,1)</f>
        <v>2</v>
      </c>
      <c r="R32" s="35" t="s">
        <v>441</v>
      </c>
      <c r="S32" s="35" t="str">
        <f>MID(Tabla1[[#This Row],[Aplicación]],6,2)</f>
        <v>10</v>
      </c>
      <c r="T32" s="35" t="str">
        <f>VLOOKUP(Tabla1[[#This Row],[AREA]],Hoja1!A:B,2,FALSE)</f>
        <v>10. Servicios sociales y mediación comunitaria</v>
      </c>
      <c r="U32" s="35" t="str">
        <f>MID(Tabla1[[#This Row],[Aplicación]],9,4)</f>
        <v>2311</v>
      </c>
      <c r="V32" s="35" t="str">
        <f>VLOOKUP(Tabla1[[#This Row],[PROGRAMA]],Hoja1!A:B,2,FALSE)</f>
        <v>2311. Intervención social</v>
      </c>
      <c r="W32" s="35" t="str">
        <f>MID(Tabla1[[#This Row],[Aplicación]],14,2)</f>
        <v>22</v>
      </c>
      <c r="X32" s="35" t="str">
        <f>MID(Tabla1[[#This Row],[Aplicación]],14,6)</f>
        <v>22799</v>
      </c>
    </row>
    <row r="33" spans="1:24" x14ac:dyDescent="0.25">
      <c r="A33" s="49">
        <v>220220010185</v>
      </c>
      <c r="B33" s="50" t="s">
        <v>9</v>
      </c>
      <c r="C33" s="57">
        <v>44638</v>
      </c>
      <c r="D33" s="49">
        <v>22022002862</v>
      </c>
      <c r="E33" s="50" t="s">
        <v>1376</v>
      </c>
      <c r="F33" s="58">
        <v>407.94</v>
      </c>
      <c r="G33" s="50" t="s">
        <v>1010</v>
      </c>
      <c r="H33" s="50" t="s">
        <v>1403</v>
      </c>
      <c r="I33" s="49" t="s">
        <v>107</v>
      </c>
      <c r="J33" s="50" t="s">
        <v>1011</v>
      </c>
      <c r="K33" s="50" t="s">
        <v>128</v>
      </c>
      <c r="L33" s="50" t="s">
        <v>12</v>
      </c>
      <c r="M33" s="50" t="s">
        <v>13</v>
      </c>
      <c r="N33" s="50" t="s">
        <v>14</v>
      </c>
      <c r="O33" s="48" t="s">
        <v>631</v>
      </c>
      <c r="P33" s="45" t="s">
        <v>453</v>
      </c>
      <c r="Q33" s="35" t="str">
        <f>MID(Tabla1[[#This Row],[Aplicación]],14,1)</f>
        <v>2</v>
      </c>
      <c r="R33" s="35" t="s">
        <v>441</v>
      </c>
      <c r="S33" s="35" t="str">
        <f>MID(Tabla1[[#This Row],[Aplicación]],6,2)</f>
        <v>05</v>
      </c>
      <c r="T33" s="35" t="str">
        <f>VLOOKUP(Tabla1[[#This Row],[AREA]],Hoja1!A:B,2,FALSE)</f>
        <v>05. Innovación, desarrollo económico, empleo y comercio</v>
      </c>
      <c r="U33" s="35" t="str">
        <f>MID(Tabla1[[#This Row],[Aplicación]],9,4)</f>
        <v>0 43</v>
      </c>
      <c r="V33" s="35" t="e">
        <f>VLOOKUP(Tabla1[[#This Row],[PROGRAMA]],Hoja1!A:B,2,FALSE)</f>
        <v>#N/A</v>
      </c>
      <c r="W33" s="35" t="str">
        <f>MID(Tabla1[[#This Row],[Aplicación]],14,2)</f>
        <v xml:space="preserve">2 </v>
      </c>
      <c r="X33" s="35" t="str">
        <f>MID(Tabla1[[#This Row],[Aplicación]],14,6)</f>
        <v>2 632</v>
      </c>
    </row>
    <row r="34" spans="1:24" x14ac:dyDescent="0.25">
      <c r="A34" s="49">
        <v>220219000924</v>
      </c>
      <c r="B34" s="50" t="s">
        <v>9</v>
      </c>
      <c r="C34" s="57">
        <v>44562</v>
      </c>
      <c r="D34" s="49">
        <v>22022000120</v>
      </c>
      <c r="E34" s="50" t="s">
        <v>1404</v>
      </c>
      <c r="F34" s="58">
        <v>480000</v>
      </c>
      <c r="G34" s="50" t="s">
        <v>38</v>
      </c>
      <c r="H34" s="50" t="s">
        <v>1405</v>
      </c>
      <c r="I34" s="49" t="s">
        <v>107</v>
      </c>
      <c r="J34" s="50" t="s">
        <v>129</v>
      </c>
      <c r="K34" s="50" t="s">
        <v>170</v>
      </c>
      <c r="L34" s="50" t="s">
        <v>15</v>
      </c>
      <c r="M34" s="50" t="s">
        <v>13</v>
      </c>
      <c r="N34" s="50" t="s">
        <v>14</v>
      </c>
      <c r="O34" s="48" t="s">
        <v>620</v>
      </c>
      <c r="P34" s="45" t="s">
        <v>453</v>
      </c>
      <c r="Q34" s="35" t="str">
        <f>MID(Tabla1[[#This Row],[Aplicación]],14,1)</f>
        <v>2</v>
      </c>
      <c r="R34" s="35" t="s">
        <v>441</v>
      </c>
      <c r="S34" s="35" t="str">
        <f>MID(Tabla1[[#This Row],[Aplicación]],6,2)</f>
        <v>03</v>
      </c>
      <c r="T34" s="35" t="str">
        <f>VLOOKUP(Tabla1[[#This Row],[AREA]],Hoja1!A:B,2,FALSE)</f>
        <v>03. Participación ciudadana y deportes</v>
      </c>
      <c r="U34" s="35" t="str">
        <f>MID(Tabla1[[#This Row],[Aplicación]],9,4)</f>
        <v>9241</v>
      </c>
      <c r="V34" s="35" t="str">
        <f>VLOOKUP(Tabla1[[#This Row],[PROGRAMA]],Hoja1!A:B,2,FALSE)</f>
        <v>9241. Participación ciudadana</v>
      </c>
      <c r="W34" s="35" t="str">
        <f>MID(Tabla1[[#This Row],[Aplicación]],14,2)</f>
        <v>22</v>
      </c>
      <c r="X34" s="35" t="str">
        <f>MID(Tabla1[[#This Row],[Aplicación]],14,6)</f>
        <v>22100</v>
      </c>
    </row>
    <row r="35" spans="1:24" x14ac:dyDescent="0.25">
      <c r="A35" s="49">
        <v>220219000916</v>
      </c>
      <c r="B35" s="50" t="s">
        <v>9</v>
      </c>
      <c r="C35" s="57">
        <v>44562</v>
      </c>
      <c r="D35" s="49">
        <v>22022000112</v>
      </c>
      <c r="E35" s="50" t="s">
        <v>1406</v>
      </c>
      <c r="F35" s="58">
        <v>460000</v>
      </c>
      <c r="G35" s="50" t="s">
        <v>38</v>
      </c>
      <c r="H35" s="50" t="s">
        <v>1407</v>
      </c>
      <c r="I35" s="49" t="s">
        <v>107</v>
      </c>
      <c r="J35" s="50" t="s">
        <v>129</v>
      </c>
      <c r="K35" s="50" t="s">
        <v>170</v>
      </c>
      <c r="L35" s="50" t="s">
        <v>15</v>
      </c>
      <c r="M35" s="50" t="s">
        <v>13</v>
      </c>
      <c r="N35" s="50" t="s">
        <v>16</v>
      </c>
      <c r="O35" s="48" t="s">
        <v>620</v>
      </c>
      <c r="P35" s="45" t="s">
        <v>453</v>
      </c>
      <c r="Q35" s="35" t="str">
        <f>MID(Tabla1[[#This Row],[Aplicación]],14,1)</f>
        <v>2</v>
      </c>
      <c r="R35" s="35" t="s">
        <v>441</v>
      </c>
      <c r="S35" s="35" t="str">
        <f>MID(Tabla1[[#This Row],[Aplicación]],6,2)</f>
        <v>06</v>
      </c>
      <c r="T35" s="35" t="str">
        <f>VLOOKUP(Tabla1[[#This Row],[AREA]],Hoja1!A:B,2,FALSE)</f>
        <v>06. Educación, infancia, juventud e igualdad</v>
      </c>
      <c r="U35" s="35" t="str">
        <f>MID(Tabla1[[#This Row],[Aplicación]],9,4)</f>
        <v>3232</v>
      </c>
      <c r="V35" s="35" t="str">
        <f>VLOOKUP(Tabla1[[#This Row],[PROGRAMA]],Hoja1!A:B,2,FALSE)</f>
        <v>3232. Conservación y mantenimiento centros educación infantil y primaria</v>
      </c>
      <c r="W35" s="35" t="str">
        <f>MID(Tabla1[[#This Row],[Aplicación]],14,2)</f>
        <v>22</v>
      </c>
      <c r="X35" s="35" t="str">
        <f>MID(Tabla1[[#This Row],[Aplicación]],14,6)</f>
        <v>22100</v>
      </c>
    </row>
    <row r="36" spans="1:24" x14ac:dyDescent="0.25">
      <c r="A36" s="49">
        <v>220219001204</v>
      </c>
      <c r="B36" s="50" t="s">
        <v>9</v>
      </c>
      <c r="C36" s="57">
        <v>44562</v>
      </c>
      <c r="D36" s="49">
        <v>22022001832</v>
      </c>
      <c r="E36" s="50" t="s">
        <v>1408</v>
      </c>
      <c r="F36" s="58">
        <v>459792.96</v>
      </c>
      <c r="G36" s="50" t="s">
        <v>168</v>
      </c>
      <c r="H36" s="50" t="s">
        <v>1409</v>
      </c>
      <c r="I36" s="49" t="s">
        <v>107</v>
      </c>
      <c r="J36" s="50" t="s">
        <v>109</v>
      </c>
      <c r="K36" s="50" t="s">
        <v>109</v>
      </c>
      <c r="L36" s="50" t="s">
        <v>12</v>
      </c>
      <c r="M36" s="50" t="s">
        <v>13</v>
      </c>
      <c r="N36" s="50" t="s">
        <v>14</v>
      </c>
      <c r="O36" s="48" t="s">
        <v>620</v>
      </c>
      <c r="P36" s="45" t="s">
        <v>453</v>
      </c>
      <c r="Q36" s="35" t="str">
        <f>MID(Tabla1[[#This Row],[Aplicación]],14,1)</f>
        <v>2</v>
      </c>
      <c r="R36" s="35" t="s">
        <v>441</v>
      </c>
      <c r="S36" s="35" t="str">
        <f>MID(Tabla1[[#This Row],[Aplicación]],6,2)</f>
        <v>04</v>
      </c>
      <c r="T36" s="35" t="str">
        <f>VLOOKUP(Tabla1[[#This Row],[AREA]],Hoja1!A:B,2,FALSE)</f>
        <v>04. Planificación y recursos</v>
      </c>
      <c r="U36" s="35" t="str">
        <f>MID(Tabla1[[#This Row],[Aplicación]],9,4)</f>
        <v>9204</v>
      </c>
      <c r="V36" s="35" t="str">
        <f>VLOOKUP(Tabla1[[#This Row],[PROGRAMA]],Hoja1!A:B,2,FALSE)</f>
        <v>9204. Tecnologías de la información y comunicación</v>
      </c>
      <c r="W36" s="35" t="str">
        <f>MID(Tabla1[[#This Row],[Aplicación]],14,2)</f>
        <v>21</v>
      </c>
      <c r="X36" s="35" t="str">
        <f>MID(Tabla1[[#This Row],[Aplicación]],14,6)</f>
        <v>216</v>
      </c>
    </row>
    <row r="37" spans="1:24" x14ac:dyDescent="0.25">
      <c r="A37" s="49">
        <v>220219001202</v>
      </c>
      <c r="B37" s="50" t="s">
        <v>9</v>
      </c>
      <c r="C37" s="57">
        <v>44562</v>
      </c>
      <c r="D37" s="49">
        <v>22022001985</v>
      </c>
      <c r="E37" s="50" t="s">
        <v>1410</v>
      </c>
      <c r="F37" s="58">
        <v>426730.78</v>
      </c>
      <c r="G37" s="50" t="s">
        <v>759</v>
      </c>
      <c r="H37" s="50" t="s">
        <v>1169</v>
      </c>
      <c r="I37" s="49" t="s">
        <v>107</v>
      </c>
      <c r="J37" s="50" t="s">
        <v>760</v>
      </c>
      <c r="K37" s="50" t="s">
        <v>703</v>
      </c>
      <c r="L37" s="50" t="s">
        <v>25</v>
      </c>
      <c r="M37" s="50" t="s">
        <v>13</v>
      </c>
      <c r="N37" s="50" t="s">
        <v>14</v>
      </c>
      <c r="O37" s="48" t="s">
        <v>620</v>
      </c>
      <c r="P37" s="45" t="s">
        <v>453</v>
      </c>
      <c r="Q37" s="35" t="str">
        <f>MID(Tabla1[[#This Row],[Aplicación]],14,1)</f>
        <v>6</v>
      </c>
      <c r="R37" s="35" t="s">
        <v>442</v>
      </c>
      <c r="S37" s="35" t="str">
        <f>MID(Tabla1[[#This Row],[Aplicación]],6,2)</f>
        <v>03</v>
      </c>
      <c r="T37" s="35" t="str">
        <f>VLOOKUP(Tabla1[[#This Row],[AREA]],Hoja1!A:B,2,FALSE)</f>
        <v>03. Participación ciudadana y deportes</v>
      </c>
      <c r="U37" s="35" t="str">
        <f>MID(Tabla1[[#This Row],[Aplicación]],9,4)</f>
        <v>9241</v>
      </c>
      <c r="V37" s="35" t="str">
        <f>VLOOKUP(Tabla1[[#This Row],[PROGRAMA]],Hoja1!A:B,2,FALSE)</f>
        <v>9241. Participación ciudadana</v>
      </c>
      <c r="W37" s="35" t="str">
        <f>MID(Tabla1[[#This Row],[Aplicación]],14,2)</f>
        <v>63</v>
      </c>
      <c r="X37" s="35" t="str">
        <f>MID(Tabla1[[#This Row],[Aplicación]],14,6)</f>
        <v>632</v>
      </c>
    </row>
    <row r="38" spans="1:24" x14ac:dyDescent="0.25">
      <c r="A38" s="49">
        <v>220220012380</v>
      </c>
      <c r="B38" s="50" t="s">
        <v>9</v>
      </c>
      <c r="C38" s="57">
        <v>44643</v>
      </c>
      <c r="D38" s="49">
        <v>22022002453</v>
      </c>
      <c r="E38" s="50" t="s">
        <v>1376</v>
      </c>
      <c r="F38" s="58">
        <v>1587.13</v>
      </c>
      <c r="G38" s="50" t="s">
        <v>1313</v>
      </c>
      <c r="H38" s="50" t="s">
        <v>1411</v>
      </c>
      <c r="I38" s="49" t="s">
        <v>107</v>
      </c>
      <c r="J38" s="50" t="s">
        <v>171</v>
      </c>
      <c r="K38" s="50" t="s">
        <v>171</v>
      </c>
      <c r="L38" s="50" t="s">
        <v>12</v>
      </c>
      <c r="M38" s="50" t="s">
        <v>13</v>
      </c>
      <c r="N38" s="50" t="s">
        <v>14</v>
      </c>
      <c r="O38" s="48" t="s">
        <v>631</v>
      </c>
      <c r="P38" s="45" t="s">
        <v>453</v>
      </c>
      <c r="Q38" s="35" t="str">
        <f>MID(Tabla1[[#This Row],[Aplicación]],14,1)</f>
        <v>2</v>
      </c>
      <c r="R38" s="35" t="s">
        <v>441</v>
      </c>
      <c r="S38" s="35" t="str">
        <f>MID(Tabla1[[#This Row],[Aplicación]],6,2)</f>
        <v>05</v>
      </c>
      <c r="T38" s="35" t="str">
        <f>VLOOKUP(Tabla1[[#This Row],[AREA]],Hoja1!A:B,2,FALSE)</f>
        <v>05. Innovación, desarrollo económico, empleo y comercio</v>
      </c>
      <c r="U38" s="35" t="str">
        <f>MID(Tabla1[[#This Row],[Aplicación]],9,4)</f>
        <v>0 43</v>
      </c>
      <c r="V38" s="35" t="e">
        <f>VLOOKUP(Tabla1[[#This Row],[PROGRAMA]],Hoja1!A:B,2,FALSE)</f>
        <v>#N/A</v>
      </c>
      <c r="W38" s="35" t="str">
        <f>MID(Tabla1[[#This Row],[Aplicación]],14,2)</f>
        <v xml:space="preserve">2 </v>
      </c>
      <c r="X38" s="35" t="str">
        <f>MID(Tabla1[[#This Row],[Aplicación]],14,6)</f>
        <v>2 632</v>
      </c>
    </row>
    <row r="39" spans="1:24" x14ac:dyDescent="0.25">
      <c r="A39" s="49">
        <v>220219000256</v>
      </c>
      <c r="B39" s="50" t="s">
        <v>9</v>
      </c>
      <c r="C39" s="57">
        <v>44562</v>
      </c>
      <c r="D39" s="49">
        <v>22022000059</v>
      </c>
      <c r="E39" s="50" t="s">
        <v>1412</v>
      </c>
      <c r="F39" s="58">
        <v>423742</v>
      </c>
      <c r="G39" s="50" t="s">
        <v>32</v>
      </c>
      <c r="H39" s="50" t="s">
        <v>1413</v>
      </c>
      <c r="I39" s="49" t="s">
        <v>107</v>
      </c>
      <c r="J39" s="50" t="s">
        <v>128</v>
      </c>
      <c r="K39" s="50" t="s">
        <v>128</v>
      </c>
      <c r="L39" s="50" t="s">
        <v>12</v>
      </c>
      <c r="M39" s="50" t="s">
        <v>13</v>
      </c>
      <c r="N39" s="50" t="s">
        <v>14</v>
      </c>
      <c r="O39" s="48" t="s">
        <v>620</v>
      </c>
      <c r="P39" s="45" t="s">
        <v>453</v>
      </c>
      <c r="Q39" s="35" t="str">
        <f>MID(Tabla1[[#This Row],[Aplicación]],14,1)</f>
        <v>2</v>
      </c>
      <c r="R39" s="35" t="s">
        <v>441</v>
      </c>
      <c r="S39" s="35" t="str">
        <f>MID(Tabla1[[#This Row],[Aplicación]],6,2)</f>
        <v>11</v>
      </c>
      <c r="T39" s="35" t="str">
        <f>VLOOKUP(Tabla1[[#This Row],[AREA]],Hoja1!A:B,2,FALSE)</f>
        <v>11. Salud pública y seguridad ciudadana</v>
      </c>
      <c r="U39" s="35" t="str">
        <f>MID(Tabla1[[#This Row],[Aplicación]],9,4)</f>
        <v>1321</v>
      </c>
      <c r="V39" s="35" t="str">
        <f>VLOOKUP(Tabla1[[#This Row],[PROGRAMA]],Hoja1!A:B,2,FALSE)</f>
        <v>1321. Policía municipal</v>
      </c>
      <c r="W39" s="35" t="str">
        <f>MID(Tabla1[[#This Row],[Aplicación]],14,2)</f>
        <v>22</v>
      </c>
      <c r="X39" s="35" t="str">
        <f>MID(Tabla1[[#This Row],[Aplicación]],14,6)</f>
        <v>22799</v>
      </c>
    </row>
    <row r="40" spans="1:24" x14ac:dyDescent="0.25">
      <c r="A40" s="49">
        <v>220220012381</v>
      </c>
      <c r="B40" s="50" t="s">
        <v>9</v>
      </c>
      <c r="C40" s="57">
        <v>44643</v>
      </c>
      <c r="D40" s="49">
        <v>22022002454</v>
      </c>
      <c r="E40" s="50" t="s">
        <v>1376</v>
      </c>
      <c r="F40" s="58">
        <v>10794.24</v>
      </c>
      <c r="G40" s="50" t="s">
        <v>103</v>
      </c>
      <c r="H40" s="50" t="s">
        <v>1414</v>
      </c>
      <c r="I40" s="49" t="s">
        <v>107</v>
      </c>
      <c r="J40" s="50" t="s">
        <v>547</v>
      </c>
      <c r="K40" s="50" t="s">
        <v>109</v>
      </c>
      <c r="L40" s="50" t="s">
        <v>12</v>
      </c>
      <c r="M40" s="50" t="s">
        <v>13</v>
      </c>
      <c r="N40" s="50" t="s">
        <v>14</v>
      </c>
      <c r="O40" s="48" t="s">
        <v>631</v>
      </c>
      <c r="P40" s="45" t="s">
        <v>453</v>
      </c>
      <c r="Q40" s="35" t="str">
        <f>MID(Tabla1[[#This Row],[Aplicación]],14,1)</f>
        <v>2</v>
      </c>
      <c r="R40" s="35" t="s">
        <v>441</v>
      </c>
      <c r="S40" s="35" t="str">
        <f>MID(Tabla1[[#This Row],[Aplicación]],6,2)</f>
        <v>05</v>
      </c>
      <c r="T40" s="35" t="str">
        <f>VLOOKUP(Tabla1[[#This Row],[AREA]],Hoja1!A:B,2,FALSE)</f>
        <v>05. Innovación, desarrollo económico, empleo y comercio</v>
      </c>
      <c r="U40" s="35" t="str">
        <f>MID(Tabla1[[#This Row],[Aplicación]],9,4)</f>
        <v>0 43</v>
      </c>
      <c r="V40" s="35" t="e">
        <f>VLOOKUP(Tabla1[[#This Row],[PROGRAMA]],Hoja1!A:B,2,FALSE)</f>
        <v>#N/A</v>
      </c>
      <c r="W40" s="35" t="str">
        <f>MID(Tabla1[[#This Row],[Aplicación]],14,2)</f>
        <v xml:space="preserve">2 </v>
      </c>
      <c r="X40" s="35" t="str">
        <f>MID(Tabla1[[#This Row],[Aplicación]],14,6)</f>
        <v>2 632</v>
      </c>
    </row>
    <row r="41" spans="1:24" x14ac:dyDescent="0.25">
      <c r="A41" s="49">
        <v>220219000907</v>
      </c>
      <c r="B41" s="50" t="s">
        <v>9</v>
      </c>
      <c r="C41" s="57">
        <v>44562</v>
      </c>
      <c r="D41" s="49">
        <v>22022000617</v>
      </c>
      <c r="E41" s="50" t="s">
        <v>1415</v>
      </c>
      <c r="F41" s="58">
        <v>417000</v>
      </c>
      <c r="G41" s="50" t="s">
        <v>120</v>
      </c>
      <c r="H41" s="50" t="s">
        <v>1416</v>
      </c>
      <c r="I41" s="49" t="s">
        <v>107</v>
      </c>
      <c r="J41" s="50" t="s">
        <v>109</v>
      </c>
      <c r="K41" s="50" t="s">
        <v>109</v>
      </c>
      <c r="L41" s="50" t="s">
        <v>12</v>
      </c>
      <c r="M41" s="50" t="s">
        <v>13</v>
      </c>
      <c r="N41" s="50" t="s">
        <v>14</v>
      </c>
      <c r="O41" s="48" t="s">
        <v>620</v>
      </c>
      <c r="P41" s="45" t="s">
        <v>453</v>
      </c>
      <c r="Q41" s="35" t="str">
        <f>MID(Tabla1[[#This Row],[Aplicación]],14,1)</f>
        <v>2</v>
      </c>
      <c r="R41" s="35" t="s">
        <v>441</v>
      </c>
      <c r="S41" s="35" t="str">
        <f>MID(Tabla1[[#This Row],[Aplicación]],6,2)</f>
        <v>06</v>
      </c>
      <c r="T41" s="35" t="str">
        <f>VLOOKUP(Tabla1[[#This Row],[AREA]],Hoja1!A:B,2,FALSE)</f>
        <v>06. Educación, infancia, juventud e igualdad</v>
      </c>
      <c r="U41" s="35" t="str">
        <f>MID(Tabla1[[#This Row],[Aplicación]],9,4)</f>
        <v>3261</v>
      </c>
      <c r="V41" s="35" t="str">
        <f>VLOOKUP(Tabla1[[#This Row],[PROGRAMA]],Hoja1!A:B,2,FALSE)</f>
        <v>3261. Servicios complementarios de educación</v>
      </c>
      <c r="W41" s="35" t="str">
        <f>MID(Tabla1[[#This Row],[Aplicación]],14,2)</f>
        <v>22</v>
      </c>
      <c r="X41" s="35" t="str">
        <f>MID(Tabla1[[#This Row],[Aplicación]],14,6)</f>
        <v>22799</v>
      </c>
    </row>
    <row r="42" spans="1:24" x14ac:dyDescent="0.25">
      <c r="A42" s="49">
        <v>220219000548</v>
      </c>
      <c r="B42" s="50" t="s">
        <v>9</v>
      </c>
      <c r="C42" s="57">
        <v>44562</v>
      </c>
      <c r="D42" s="49">
        <v>22022000564</v>
      </c>
      <c r="E42" s="50" t="s">
        <v>1417</v>
      </c>
      <c r="F42" s="58">
        <v>414800.93</v>
      </c>
      <c r="G42" s="50" t="s">
        <v>162</v>
      </c>
      <c r="H42" s="50" t="s">
        <v>1418</v>
      </c>
      <c r="I42" s="49" t="s">
        <v>107</v>
      </c>
      <c r="J42" s="50" t="s">
        <v>108</v>
      </c>
      <c r="K42" s="50" t="s">
        <v>108</v>
      </c>
      <c r="L42" s="50" t="s">
        <v>12</v>
      </c>
      <c r="M42" s="50" t="s">
        <v>13</v>
      </c>
      <c r="N42" s="50" t="s">
        <v>14</v>
      </c>
      <c r="O42" s="48" t="s">
        <v>620</v>
      </c>
      <c r="P42" s="45" t="s">
        <v>453</v>
      </c>
      <c r="Q42" s="35" t="str">
        <f>MID(Tabla1[[#This Row],[Aplicación]],14,1)</f>
        <v>2</v>
      </c>
      <c r="R42" s="35" t="s">
        <v>441</v>
      </c>
      <c r="S42" s="35" t="str">
        <f>MID(Tabla1[[#This Row],[Aplicación]],6,2)</f>
        <v>11</v>
      </c>
      <c r="T42" s="35" t="str">
        <f>VLOOKUP(Tabla1[[#This Row],[AREA]],Hoja1!A:B,2,FALSE)</f>
        <v>11. Salud pública y seguridad ciudadana</v>
      </c>
      <c r="U42" s="35" t="str">
        <f>MID(Tabla1[[#This Row],[Aplicación]],9,4)</f>
        <v>1621</v>
      </c>
      <c r="V42" s="35" t="str">
        <f>VLOOKUP(Tabla1[[#This Row],[PROGRAMA]],Hoja1!A:B,2,FALSE)</f>
        <v>1621. Servicio de limpieza</v>
      </c>
      <c r="W42" s="35" t="str">
        <f>MID(Tabla1[[#This Row],[Aplicación]],14,2)</f>
        <v>22</v>
      </c>
      <c r="X42" s="35" t="str">
        <f>MID(Tabla1[[#This Row],[Aplicación]],14,6)</f>
        <v>22700</v>
      </c>
    </row>
    <row r="43" spans="1:24" x14ac:dyDescent="0.25">
      <c r="A43" s="49">
        <v>220219000407</v>
      </c>
      <c r="B43" s="50" t="s">
        <v>9</v>
      </c>
      <c r="C43" s="57">
        <v>44562</v>
      </c>
      <c r="D43" s="49">
        <v>22022002013</v>
      </c>
      <c r="E43" s="50" t="s">
        <v>1368</v>
      </c>
      <c r="F43" s="58">
        <v>409008.71</v>
      </c>
      <c r="G43" s="50" t="s">
        <v>259</v>
      </c>
      <c r="H43" s="50" t="s">
        <v>1419</v>
      </c>
      <c r="I43" s="49" t="s">
        <v>107</v>
      </c>
      <c r="J43" s="50" t="s">
        <v>109</v>
      </c>
      <c r="K43" s="50" t="s">
        <v>109</v>
      </c>
      <c r="L43" s="50" t="s">
        <v>25</v>
      </c>
      <c r="M43" s="50" t="s">
        <v>13</v>
      </c>
      <c r="N43" s="50" t="s">
        <v>14</v>
      </c>
      <c r="O43" s="48" t="s">
        <v>620</v>
      </c>
      <c r="P43" s="45" t="s">
        <v>453</v>
      </c>
      <c r="Q43" s="35" t="str">
        <f>MID(Tabla1[[#This Row],[Aplicación]],14,1)</f>
        <v>6</v>
      </c>
      <c r="R43" s="35" t="s">
        <v>442</v>
      </c>
      <c r="S43" s="35" t="str">
        <f>MID(Tabla1[[#This Row],[Aplicación]],6,2)</f>
        <v>08</v>
      </c>
      <c r="T43" s="35" t="str">
        <f>VLOOKUP(Tabla1[[#This Row],[AREA]],Hoja1!A:B,2,FALSE)</f>
        <v>08. Movilidad y espacio urbano</v>
      </c>
      <c r="U43" s="35" t="str">
        <f>MID(Tabla1[[#This Row],[Aplicación]],9,4)</f>
        <v>1532</v>
      </c>
      <c r="V43" s="35" t="str">
        <f>VLOOKUP(Tabla1[[#This Row],[PROGRAMA]],Hoja1!A:B,2,FALSE)</f>
        <v>1532. Pavimentación vias públicas y otros servicios urbanísticos</v>
      </c>
      <c r="W43" s="35" t="str">
        <f>MID(Tabla1[[#This Row],[Aplicación]],14,2)</f>
        <v>61</v>
      </c>
      <c r="X43" s="35" t="str">
        <f>MID(Tabla1[[#This Row],[Aplicación]],14,6)</f>
        <v>619</v>
      </c>
    </row>
    <row r="44" spans="1:24" x14ac:dyDescent="0.25">
      <c r="A44" s="49">
        <v>220210026136</v>
      </c>
      <c r="B44" s="50" t="s">
        <v>9</v>
      </c>
      <c r="C44" s="57">
        <v>44631</v>
      </c>
      <c r="D44" s="49">
        <v>22021002514</v>
      </c>
      <c r="E44" s="50" t="s">
        <v>1420</v>
      </c>
      <c r="F44" s="58">
        <v>824957.43</v>
      </c>
      <c r="G44" s="50" t="s">
        <v>943</v>
      </c>
      <c r="H44" s="50" t="s">
        <v>944</v>
      </c>
      <c r="I44" s="49" t="s">
        <v>107</v>
      </c>
      <c r="J44" s="50" t="s">
        <v>108</v>
      </c>
      <c r="K44" s="50" t="s">
        <v>108</v>
      </c>
      <c r="L44" s="50" t="s">
        <v>15</v>
      </c>
      <c r="M44" s="50" t="s">
        <v>13</v>
      </c>
      <c r="N44" s="50" t="s">
        <v>14</v>
      </c>
      <c r="O44" s="48" t="s">
        <v>620</v>
      </c>
      <c r="P44" s="45" t="s">
        <v>453</v>
      </c>
      <c r="Q44" s="35" t="str">
        <f>MID(Tabla1[[#This Row],[Aplicación]],14,1)</f>
        <v>6</v>
      </c>
      <c r="R44" s="35" t="s">
        <v>442</v>
      </c>
      <c r="S44" s="35" t="str">
        <f>MID(Tabla1[[#This Row],[Aplicación]],6,2)</f>
        <v>11</v>
      </c>
      <c r="T44" s="35" t="str">
        <f>VLOOKUP(Tabla1[[#This Row],[AREA]],Hoja1!A:B,2,FALSE)</f>
        <v>11. Salud pública y seguridad ciudadana</v>
      </c>
      <c r="U44" s="35" t="str">
        <f>MID(Tabla1[[#This Row],[Aplicación]],9,4)</f>
        <v>1621</v>
      </c>
      <c r="V44" s="35" t="str">
        <f>VLOOKUP(Tabla1[[#This Row],[PROGRAMA]],Hoja1!A:B,2,FALSE)</f>
        <v>1621. Servicio de limpieza</v>
      </c>
      <c r="W44" s="35" t="str">
        <f>MID(Tabla1[[#This Row],[Aplicación]],14,2)</f>
        <v>63</v>
      </c>
      <c r="X44" s="35" t="str">
        <f>MID(Tabla1[[#This Row],[Aplicación]],14,6)</f>
        <v>634</v>
      </c>
    </row>
    <row r="45" spans="1:24" x14ac:dyDescent="0.25">
      <c r="A45" s="49">
        <v>220199000334</v>
      </c>
      <c r="B45" s="50" t="s">
        <v>9</v>
      </c>
      <c r="C45" s="57">
        <v>44562</v>
      </c>
      <c r="D45" s="49">
        <v>22022000156</v>
      </c>
      <c r="E45" s="50" t="s">
        <v>1367</v>
      </c>
      <c r="F45" s="58">
        <v>406016.97</v>
      </c>
      <c r="G45" s="50" t="s">
        <v>111</v>
      </c>
      <c r="H45" s="50" t="s">
        <v>521</v>
      </c>
      <c r="I45" s="49" t="s">
        <v>107</v>
      </c>
      <c r="J45" s="50" t="s">
        <v>108</v>
      </c>
      <c r="K45" s="50" t="s">
        <v>108</v>
      </c>
      <c r="L45" s="50" t="s">
        <v>19</v>
      </c>
      <c r="M45" s="50" t="s">
        <v>13</v>
      </c>
      <c r="N45" s="50" t="s">
        <v>14</v>
      </c>
      <c r="O45" s="48" t="s">
        <v>620</v>
      </c>
      <c r="P45" s="45" t="s">
        <v>453</v>
      </c>
      <c r="Q45" s="35" t="str">
        <f>MID(Tabla1[[#This Row],[Aplicación]],14,1)</f>
        <v>2</v>
      </c>
      <c r="R45" s="35" t="s">
        <v>441</v>
      </c>
      <c r="S45" s="35" t="str">
        <f>MID(Tabla1[[#This Row],[Aplicación]],6,2)</f>
        <v>08</v>
      </c>
      <c r="T45" s="35" t="str">
        <f>VLOOKUP(Tabla1[[#This Row],[AREA]],Hoja1!A:B,2,FALSE)</f>
        <v>08. Movilidad y espacio urbano</v>
      </c>
      <c r="U45" s="35" t="str">
        <f>MID(Tabla1[[#This Row],[Aplicación]],9,4)</f>
        <v>1341</v>
      </c>
      <c r="V45" s="35" t="str">
        <f>VLOOKUP(Tabla1[[#This Row],[PROGRAMA]],Hoja1!A:B,2,FALSE)</f>
        <v>1341. Movilidad</v>
      </c>
      <c r="W45" s="35" t="str">
        <f>MID(Tabla1[[#This Row],[Aplicación]],14,2)</f>
        <v>22</v>
      </c>
      <c r="X45" s="35" t="str">
        <f>MID(Tabla1[[#This Row],[Aplicación]],14,6)</f>
        <v>22799</v>
      </c>
    </row>
    <row r="46" spans="1:24" x14ac:dyDescent="0.25">
      <c r="A46" s="49">
        <v>220210026137</v>
      </c>
      <c r="B46" s="50" t="s">
        <v>9</v>
      </c>
      <c r="C46" s="57">
        <v>44631</v>
      </c>
      <c r="D46" s="49">
        <v>22021003782</v>
      </c>
      <c r="E46" s="50" t="s">
        <v>1420</v>
      </c>
      <c r="F46" s="58">
        <v>824957.43</v>
      </c>
      <c r="G46" s="50" t="s">
        <v>943</v>
      </c>
      <c r="H46" s="50" t="s">
        <v>945</v>
      </c>
      <c r="I46" s="49" t="s">
        <v>107</v>
      </c>
      <c r="J46" s="50" t="s">
        <v>108</v>
      </c>
      <c r="K46" s="50" t="s">
        <v>108</v>
      </c>
      <c r="L46" s="50" t="s">
        <v>15</v>
      </c>
      <c r="M46" s="50" t="s">
        <v>13</v>
      </c>
      <c r="N46" s="50" t="s">
        <v>14</v>
      </c>
      <c r="O46" s="48" t="s">
        <v>620</v>
      </c>
      <c r="P46" s="45" t="s">
        <v>453</v>
      </c>
      <c r="Q46" s="35" t="str">
        <f>MID(Tabla1[[#This Row],[Aplicación]],14,1)</f>
        <v>6</v>
      </c>
      <c r="R46" s="35" t="s">
        <v>442</v>
      </c>
      <c r="S46" s="35" t="str">
        <f>MID(Tabla1[[#This Row],[Aplicación]],6,2)</f>
        <v>11</v>
      </c>
      <c r="T46" s="35" t="str">
        <f>VLOOKUP(Tabla1[[#This Row],[AREA]],Hoja1!A:B,2,FALSE)</f>
        <v>11. Salud pública y seguridad ciudadana</v>
      </c>
      <c r="U46" s="35" t="str">
        <f>MID(Tabla1[[#This Row],[Aplicación]],9,4)</f>
        <v>1621</v>
      </c>
      <c r="V46" s="35" t="str">
        <f>VLOOKUP(Tabla1[[#This Row],[PROGRAMA]],Hoja1!A:B,2,FALSE)</f>
        <v>1621. Servicio de limpieza</v>
      </c>
      <c r="W46" s="35" t="str">
        <f>MID(Tabla1[[#This Row],[Aplicación]],14,2)</f>
        <v>63</v>
      </c>
      <c r="X46" s="35" t="str">
        <f>MID(Tabla1[[#This Row],[Aplicación]],14,6)</f>
        <v>634</v>
      </c>
    </row>
    <row r="47" spans="1:24" x14ac:dyDescent="0.25">
      <c r="A47" s="49">
        <v>220210087660</v>
      </c>
      <c r="B47" s="50" t="s">
        <v>9</v>
      </c>
      <c r="C47" s="57">
        <v>44620</v>
      </c>
      <c r="D47" s="49">
        <v>22021007258</v>
      </c>
      <c r="E47" s="50" t="s">
        <v>1410</v>
      </c>
      <c r="F47" s="58">
        <v>480279.17</v>
      </c>
      <c r="G47" s="50" t="s">
        <v>759</v>
      </c>
      <c r="H47" s="50" t="s">
        <v>1169</v>
      </c>
      <c r="I47" s="49" t="s">
        <v>107</v>
      </c>
      <c r="J47" s="50" t="s">
        <v>760</v>
      </c>
      <c r="K47" s="50" t="s">
        <v>703</v>
      </c>
      <c r="L47" s="50" t="s">
        <v>25</v>
      </c>
      <c r="M47" s="50" t="s">
        <v>13</v>
      </c>
      <c r="N47" s="50" t="s">
        <v>14</v>
      </c>
      <c r="O47" s="48" t="s">
        <v>620</v>
      </c>
      <c r="P47" s="45" t="s">
        <v>453</v>
      </c>
      <c r="Q47" s="35" t="str">
        <f>MID(Tabla1[[#This Row],[Aplicación]],14,1)</f>
        <v>6</v>
      </c>
      <c r="R47" s="35" t="s">
        <v>442</v>
      </c>
      <c r="S47" s="35" t="str">
        <f>MID(Tabla1[[#This Row],[Aplicación]],6,2)</f>
        <v>03</v>
      </c>
      <c r="T47" s="35" t="str">
        <f>VLOOKUP(Tabla1[[#This Row],[AREA]],Hoja1!A:B,2,FALSE)</f>
        <v>03. Participación ciudadana y deportes</v>
      </c>
      <c r="U47" s="35" t="str">
        <f>MID(Tabla1[[#This Row],[Aplicación]],9,4)</f>
        <v>9241</v>
      </c>
      <c r="V47" s="35" t="str">
        <f>VLOOKUP(Tabla1[[#This Row],[PROGRAMA]],Hoja1!A:B,2,FALSE)</f>
        <v>9241. Participación ciudadana</v>
      </c>
      <c r="W47" s="35" t="str">
        <f>MID(Tabla1[[#This Row],[Aplicación]],14,2)</f>
        <v>63</v>
      </c>
      <c r="X47" s="35" t="str">
        <f>MID(Tabla1[[#This Row],[Aplicación]],14,6)</f>
        <v>632</v>
      </c>
    </row>
    <row r="48" spans="1:24" x14ac:dyDescent="0.25">
      <c r="A48" s="49">
        <v>220209000561</v>
      </c>
      <c r="B48" s="50" t="s">
        <v>9</v>
      </c>
      <c r="C48" s="57">
        <v>44562</v>
      </c>
      <c r="D48" s="49">
        <v>22022000218</v>
      </c>
      <c r="E48" s="50" t="s">
        <v>1421</v>
      </c>
      <c r="F48" s="58">
        <v>405540.64</v>
      </c>
      <c r="G48" s="50" t="s">
        <v>84</v>
      </c>
      <c r="H48" s="50" t="s">
        <v>762</v>
      </c>
      <c r="I48" s="49" t="s">
        <v>107</v>
      </c>
      <c r="J48" s="50" t="s">
        <v>109</v>
      </c>
      <c r="K48" s="50" t="s">
        <v>109</v>
      </c>
      <c r="L48" s="50" t="s">
        <v>12</v>
      </c>
      <c r="M48" s="50" t="s">
        <v>13</v>
      </c>
      <c r="N48" s="50" t="s">
        <v>14</v>
      </c>
      <c r="O48" s="48" t="s">
        <v>620</v>
      </c>
      <c r="P48" s="45" t="s">
        <v>453</v>
      </c>
      <c r="Q48" s="35" t="str">
        <f>MID(Tabla1[[#This Row],[Aplicación]],14,1)</f>
        <v>2</v>
      </c>
      <c r="R48" s="35" t="s">
        <v>441</v>
      </c>
      <c r="S48" s="35" t="str">
        <f>MID(Tabla1[[#This Row],[Aplicación]],6,2)</f>
        <v>03</v>
      </c>
      <c r="T48" s="35" t="str">
        <f>VLOOKUP(Tabla1[[#This Row],[AREA]],Hoja1!A:B,2,FALSE)</f>
        <v>03. Participación ciudadana y deportes</v>
      </c>
      <c r="U48" s="35" t="str">
        <f>MID(Tabla1[[#This Row],[Aplicación]],9,4)</f>
        <v>9241</v>
      </c>
      <c r="V48" s="35" t="str">
        <f>VLOOKUP(Tabla1[[#This Row],[PROGRAMA]],Hoja1!A:B,2,FALSE)</f>
        <v>9241. Participación ciudadana</v>
      </c>
      <c r="W48" s="35" t="str">
        <f>MID(Tabla1[[#This Row],[Aplicación]],14,2)</f>
        <v>22</v>
      </c>
      <c r="X48" s="35" t="str">
        <f>MID(Tabla1[[#This Row],[Aplicación]],14,6)</f>
        <v>22700</v>
      </c>
    </row>
    <row r="49" spans="1:24" x14ac:dyDescent="0.25">
      <c r="A49" s="49">
        <v>220210050354</v>
      </c>
      <c r="B49" s="50" t="s">
        <v>9</v>
      </c>
      <c r="C49" s="57">
        <v>44620</v>
      </c>
      <c r="D49" s="49">
        <v>22021004191</v>
      </c>
      <c r="E49" s="50" t="s">
        <v>1395</v>
      </c>
      <c r="F49" s="58">
        <v>383845.68</v>
      </c>
      <c r="G49" s="50" t="s">
        <v>1044</v>
      </c>
      <c r="H49" s="50" t="s">
        <v>1045</v>
      </c>
      <c r="I49" s="49" t="s">
        <v>107</v>
      </c>
      <c r="J49" s="50" t="s">
        <v>108</v>
      </c>
      <c r="K49" s="50" t="s">
        <v>108</v>
      </c>
      <c r="L49" s="50" t="s">
        <v>25</v>
      </c>
      <c r="M49" s="50" t="s">
        <v>13</v>
      </c>
      <c r="N49" s="50" t="s">
        <v>14</v>
      </c>
      <c r="O49" s="48" t="s">
        <v>620</v>
      </c>
      <c r="P49" s="45" t="s">
        <v>453</v>
      </c>
      <c r="Q49" s="35" t="str">
        <f>MID(Tabla1[[#This Row],[Aplicación]],14,1)</f>
        <v>6</v>
      </c>
      <c r="R49" s="35" t="s">
        <v>442</v>
      </c>
      <c r="S49" s="35" t="str">
        <f>MID(Tabla1[[#This Row],[Aplicación]],6,2)</f>
        <v>06</v>
      </c>
      <c r="T49" s="35" t="str">
        <f>VLOOKUP(Tabla1[[#This Row],[AREA]],Hoja1!A:B,2,FALSE)</f>
        <v>06. Educación, infancia, juventud e igualdad</v>
      </c>
      <c r="U49" s="35" t="str">
        <f>MID(Tabla1[[#This Row],[Aplicación]],9,4)</f>
        <v>3231</v>
      </c>
      <c r="V49" s="35" t="str">
        <f>VLOOKUP(Tabla1[[#This Row],[PROGRAMA]],Hoja1!A:B,2,FALSE)</f>
        <v>3231. Escuelas infantiles</v>
      </c>
      <c r="W49" s="35" t="str">
        <f>MID(Tabla1[[#This Row],[Aplicación]],14,2)</f>
        <v>62</v>
      </c>
      <c r="X49" s="35" t="str">
        <f>MID(Tabla1[[#This Row],[Aplicación]],14,6)</f>
        <v>622</v>
      </c>
    </row>
    <row r="50" spans="1:24" x14ac:dyDescent="0.25">
      <c r="A50" s="49">
        <v>220219000117</v>
      </c>
      <c r="B50" s="50" t="s">
        <v>9</v>
      </c>
      <c r="C50" s="57">
        <v>44562</v>
      </c>
      <c r="D50" s="49">
        <v>22022002182</v>
      </c>
      <c r="E50" s="50" t="s">
        <v>1422</v>
      </c>
      <c r="F50" s="58">
        <v>45374.99</v>
      </c>
      <c r="G50" s="50" t="s">
        <v>589</v>
      </c>
      <c r="H50" s="50" t="s">
        <v>1423</v>
      </c>
      <c r="I50" s="49" t="s">
        <v>107</v>
      </c>
      <c r="J50" s="50" t="s">
        <v>109</v>
      </c>
      <c r="K50" s="50" t="s">
        <v>109</v>
      </c>
      <c r="L50" s="50" t="s">
        <v>12</v>
      </c>
      <c r="M50" s="50" t="s">
        <v>13</v>
      </c>
      <c r="N50" s="50" t="s">
        <v>14</v>
      </c>
      <c r="O50" s="48" t="s">
        <v>620</v>
      </c>
      <c r="P50" s="45" t="s">
        <v>453</v>
      </c>
      <c r="Q50" s="35" t="str">
        <f>MID(Tabla1[[#This Row],[Aplicación]],14,1)</f>
        <v>6</v>
      </c>
      <c r="R50" s="35" t="s">
        <v>442</v>
      </c>
      <c r="S50" s="35" t="str">
        <f>MID(Tabla1[[#This Row],[Aplicación]],6,2)</f>
        <v>02</v>
      </c>
      <c r="T50" s="35" t="str">
        <f>VLOOKUP(Tabla1[[#This Row],[AREA]],Hoja1!A:B,2,FALSE)</f>
        <v>02. Planeamiento urbanístico y vivienda</v>
      </c>
      <c r="U50" s="35" t="str">
        <f>MID(Tabla1[[#This Row],[Aplicación]],9,4)</f>
        <v>1501</v>
      </c>
      <c r="V50" s="35" t="str">
        <f>VLOOKUP(Tabla1[[#This Row],[PROGRAMA]],Hoja1!A:B,2,FALSE)</f>
        <v>1501. Dirección del área de urbanismo</v>
      </c>
      <c r="W50" s="35" t="str">
        <f>MID(Tabla1[[#This Row],[Aplicación]],14,2)</f>
        <v>61</v>
      </c>
      <c r="X50" s="35" t="str">
        <f>MID(Tabla1[[#This Row],[Aplicación]],14,6)</f>
        <v>619</v>
      </c>
    </row>
    <row r="51" spans="1:24" x14ac:dyDescent="0.25">
      <c r="A51" s="49">
        <v>220209000360</v>
      </c>
      <c r="B51" s="50" t="s">
        <v>9</v>
      </c>
      <c r="C51" s="57">
        <v>44620</v>
      </c>
      <c r="D51" s="49">
        <v>22021000734</v>
      </c>
      <c r="E51" s="50" t="s">
        <v>1424</v>
      </c>
      <c r="F51" s="58">
        <v>375092.98</v>
      </c>
      <c r="G51" s="50" t="s">
        <v>697</v>
      </c>
      <c r="H51" s="50" t="s">
        <v>700</v>
      </c>
      <c r="I51" s="49" t="s">
        <v>107</v>
      </c>
      <c r="J51" s="50" t="s">
        <v>463</v>
      </c>
      <c r="K51" s="50" t="s">
        <v>463</v>
      </c>
      <c r="L51" s="50" t="s">
        <v>25</v>
      </c>
      <c r="M51" s="50" t="s">
        <v>13</v>
      </c>
      <c r="N51" s="50" t="s">
        <v>14</v>
      </c>
      <c r="O51" s="48" t="s">
        <v>620</v>
      </c>
      <c r="P51" s="45" t="s">
        <v>453</v>
      </c>
      <c r="Q51" s="35" t="str">
        <f>MID(Tabla1[[#This Row],[Aplicación]],14,1)</f>
        <v>6</v>
      </c>
      <c r="R51" s="35" t="s">
        <v>442</v>
      </c>
      <c r="S51" s="35" t="str">
        <f>MID(Tabla1[[#This Row],[Aplicación]],6,2)</f>
        <v>06</v>
      </c>
      <c r="T51" s="35" t="str">
        <f>VLOOKUP(Tabla1[[#This Row],[AREA]],Hoja1!A:B,2,FALSE)</f>
        <v>06. Educación, infancia, juventud e igualdad</v>
      </c>
      <c r="U51" s="35" t="str">
        <f>MID(Tabla1[[#This Row],[Aplicación]],9,4)</f>
        <v>3321</v>
      </c>
      <c r="V51" s="35" t="str">
        <f>VLOOKUP(Tabla1[[#This Row],[PROGRAMA]],Hoja1!A:B,2,FALSE)</f>
        <v>3321. Bibliotecas públicas</v>
      </c>
      <c r="W51" s="35" t="str">
        <f>MID(Tabla1[[#This Row],[Aplicación]],14,2)</f>
        <v>62</v>
      </c>
      <c r="X51" s="35" t="str">
        <f>MID(Tabla1[[#This Row],[Aplicación]],14,6)</f>
        <v>622</v>
      </c>
    </row>
    <row r="52" spans="1:24" x14ac:dyDescent="0.25">
      <c r="A52" s="49">
        <v>220219001098</v>
      </c>
      <c r="B52" s="50" t="s">
        <v>9</v>
      </c>
      <c r="C52" s="57">
        <v>44562</v>
      </c>
      <c r="D52" s="49">
        <v>22022002160</v>
      </c>
      <c r="E52" s="50" t="s">
        <v>1425</v>
      </c>
      <c r="F52" s="58">
        <v>374383.08</v>
      </c>
      <c r="G52" s="50" t="s">
        <v>593</v>
      </c>
      <c r="H52" s="50" t="s">
        <v>1426</v>
      </c>
      <c r="I52" s="49" t="s">
        <v>107</v>
      </c>
      <c r="J52" s="50" t="s">
        <v>108</v>
      </c>
      <c r="K52" s="50" t="s">
        <v>108</v>
      </c>
      <c r="L52" s="50" t="s">
        <v>12</v>
      </c>
      <c r="M52" s="50" t="s">
        <v>13</v>
      </c>
      <c r="N52" s="50" t="s">
        <v>14</v>
      </c>
      <c r="O52" s="48" t="s">
        <v>620</v>
      </c>
      <c r="P52" s="45" t="s">
        <v>453</v>
      </c>
      <c r="Q52" s="35" t="str">
        <f>MID(Tabla1[[#This Row],[Aplicación]],14,1)</f>
        <v>2</v>
      </c>
      <c r="R52" s="35" t="s">
        <v>441</v>
      </c>
      <c r="S52" s="35" t="str">
        <f>MID(Tabla1[[#This Row],[Aplicación]],6,2)</f>
        <v>04</v>
      </c>
      <c r="T52" s="35" t="str">
        <f>VLOOKUP(Tabla1[[#This Row],[AREA]],Hoja1!A:B,2,FALSE)</f>
        <v>04. Planificación y recursos</v>
      </c>
      <c r="U52" s="35" t="str">
        <f>MID(Tabla1[[#This Row],[Aplicación]],9,4)</f>
        <v>9204</v>
      </c>
      <c r="V52" s="35" t="str">
        <f>VLOOKUP(Tabla1[[#This Row],[PROGRAMA]],Hoja1!A:B,2,FALSE)</f>
        <v>9204. Tecnologías de la información y comunicación</v>
      </c>
      <c r="W52" s="35" t="str">
        <f>MID(Tabla1[[#This Row],[Aplicación]],14,2)</f>
        <v>22</v>
      </c>
      <c r="X52" s="35" t="str">
        <f>MID(Tabla1[[#This Row],[Aplicación]],14,6)</f>
        <v>22200</v>
      </c>
    </row>
    <row r="53" spans="1:24" x14ac:dyDescent="0.25">
      <c r="A53" s="49">
        <v>220219000932</v>
      </c>
      <c r="B53" s="50" t="s">
        <v>9</v>
      </c>
      <c r="C53" s="57">
        <v>44562</v>
      </c>
      <c r="D53" s="49">
        <v>22022000128</v>
      </c>
      <c r="E53" s="50" t="s">
        <v>1427</v>
      </c>
      <c r="F53" s="58">
        <v>340000</v>
      </c>
      <c r="G53" s="50" t="s">
        <v>38</v>
      </c>
      <c r="H53" s="50" t="s">
        <v>1428</v>
      </c>
      <c r="I53" s="49" t="s">
        <v>107</v>
      </c>
      <c r="J53" s="50" t="s">
        <v>129</v>
      </c>
      <c r="K53" s="50" t="s">
        <v>170</v>
      </c>
      <c r="L53" s="50" t="s">
        <v>15</v>
      </c>
      <c r="M53" s="50" t="s">
        <v>13</v>
      </c>
      <c r="N53" s="50" t="s">
        <v>14</v>
      </c>
      <c r="O53" s="48" t="s">
        <v>620</v>
      </c>
      <c r="P53" s="45" t="s">
        <v>453</v>
      </c>
      <c r="Q53" s="35" t="str">
        <f>MID(Tabla1[[#This Row],[Aplicación]],14,1)</f>
        <v>2</v>
      </c>
      <c r="R53" s="35" t="s">
        <v>441</v>
      </c>
      <c r="S53" s="35" t="str">
        <f>MID(Tabla1[[#This Row],[Aplicación]],6,2)</f>
        <v>07</v>
      </c>
      <c r="T53" s="35" t="str">
        <f>VLOOKUP(Tabla1[[#This Row],[AREA]],Hoja1!A:B,2,FALSE)</f>
        <v>07. Medio ambiente y desarrollo sostenible</v>
      </c>
      <c r="U53" s="35" t="str">
        <f>MID(Tabla1[[#This Row],[Aplicación]],9,4)</f>
        <v>1711</v>
      </c>
      <c r="V53" s="35" t="str">
        <f>VLOOKUP(Tabla1[[#This Row],[PROGRAMA]],Hoja1!A:B,2,FALSE)</f>
        <v>1711. Parques y jardines</v>
      </c>
      <c r="W53" s="35" t="str">
        <f>MID(Tabla1[[#This Row],[Aplicación]],14,2)</f>
        <v>22</v>
      </c>
      <c r="X53" s="35" t="str">
        <f>MID(Tabla1[[#This Row],[Aplicación]],14,6)</f>
        <v>22100</v>
      </c>
    </row>
    <row r="54" spans="1:24" x14ac:dyDescent="0.25">
      <c r="A54" s="49">
        <v>220209000460</v>
      </c>
      <c r="B54" s="50" t="s">
        <v>9</v>
      </c>
      <c r="C54" s="57">
        <v>44562</v>
      </c>
      <c r="D54" s="49">
        <v>22022000192</v>
      </c>
      <c r="E54" s="50" t="s">
        <v>1429</v>
      </c>
      <c r="F54" s="58">
        <v>357080</v>
      </c>
      <c r="G54" s="50" t="s">
        <v>121</v>
      </c>
      <c r="H54" s="50" t="s">
        <v>663</v>
      </c>
      <c r="I54" s="49" t="s">
        <v>107</v>
      </c>
      <c r="J54" s="50" t="s">
        <v>109</v>
      </c>
      <c r="K54" s="50" t="s">
        <v>109</v>
      </c>
      <c r="L54" s="50" t="s">
        <v>12</v>
      </c>
      <c r="M54" s="50" t="s">
        <v>13</v>
      </c>
      <c r="N54" s="50" t="s">
        <v>14</v>
      </c>
      <c r="O54" s="48" t="s">
        <v>620</v>
      </c>
      <c r="P54" s="45" t="s">
        <v>453</v>
      </c>
      <c r="Q54" s="35" t="str">
        <f>MID(Tabla1[[#This Row],[Aplicación]],14,1)</f>
        <v>2</v>
      </c>
      <c r="R54" s="35" t="s">
        <v>441</v>
      </c>
      <c r="S54" s="35" t="str">
        <f>MID(Tabla1[[#This Row],[Aplicación]],6,2)</f>
        <v>06</v>
      </c>
      <c r="T54" s="35" t="str">
        <f>VLOOKUP(Tabla1[[#This Row],[AREA]],Hoja1!A:B,2,FALSE)</f>
        <v>06. Educación, infancia, juventud e igualdad</v>
      </c>
      <c r="U54" s="35" t="str">
        <f>MID(Tabla1[[#This Row],[Aplicación]],9,4)</f>
        <v>3231</v>
      </c>
      <c r="V54" s="35" t="str">
        <f>VLOOKUP(Tabla1[[#This Row],[PROGRAMA]],Hoja1!A:B,2,FALSE)</f>
        <v>3231. Escuelas infantiles</v>
      </c>
      <c r="W54" s="35" t="str">
        <f>MID(Tabla1[[#This Row],[Aplicación]],14,2)</f>
        <v>22</v>
      </c>
      <c r="X54" s="35" t="str">
        <f>MID(Tabla1[[#This Row],[Aplicación]],14,6)</f>
        <v>22799</v>
      </c>
    </row>
    <row r="55" spans="1:24" x14ac:dyDescent="0.25">
      <c r="A55" s="49">
        <v>220209000464</v>
      </c>
      <c r="B55" s="50" t="s">
        <v>9</v>
      </c>
      <c r="C55" s="57">
        <v>44562</v>
      </c>
      <c r="D55" s="49">
        <v>22022000196</v>
      </c>
      <c r="E55" s="50" t="s">
        <v>1429</v>
      </c>
      <c r="F55" s="58">
        <v>348080</v>
      </c>
      <c r="G55" s="50" t="s">
        <v>770</v>
      </c>
      <c r="H55" s="50" t="s">
        <v>772</v>
      </c>
      <c r="I55" s="49" t="s">
        <v>107</v>
      </c>
      <c r="J55" s="50" t="s">
        <v>109</v>
      </c>
      <c r="K55" s="50" t="s">
        <v>109</v>
      </c>
      <c r="L55" s="50" t="s">
        <v>12</v>
      </c>
      <c r="M55" s="50" t="s">
        <v>13</v>
      </c>
      <c r="N55" s="50" t="s">
        <v>14</v>
      </c>
      <c r="O55" s="48" t="s">
        <v>620</v>
      </c>
      <c r="P55" s="45" t="s">
        <v>453</v>
      </c>
      <c r="Q55" s="35" t="str">
        <f>MID(Tabla1[[#This Row],[Aplicación]],14,1)</f>
        <v>2</v>
      </c>
      <c r="R55" s="35" t="s">
        <v>441</v>
      </c>
      <c r="S55" s="35" t="str">
        <f>MID(Tabla1[[#This Row],[Aplicación]],6,2)</f>
        <v>06</v>
      </c>
      <c r="T55" s="35" t="str">
        <f>VLOOKUP(Tabla1[[#This Row],[AREA]],Hoja1!A:B,2,FALSE)</f>
        <v>06. Educación, infancia, juventud e igualdad</v>
      </c>
      <c r="U55" s="35" t="str">
        <f>MID(Tabla1[[#This Row],[Aplicación]],9,4)</f>
        <v>3231</v>
      </c>
      <c r="V55" s="35" t="str">
        <f>VLOOKUP(Tabla1[[#This Row],[PROGRAMA]],Hoja1!A:B,2,FALSE)</f>
        <v>3231. Escuelas infantiles</v>
      </c>
      <c r="W55" s="35" t="str">
        <f>MID(Tabla1[[#This Row],[Aplicación]],14,2)</f>
        <v>22</v>
      </c>
      <c r="X55" s="35" t="str">
        <f>MID(Tabla1[[#This Row],[Aplicación]],14,6)</f>
        <v>22799</v>
      </c>
    </row>
    <row r="56" spans="1:24" x14ac:dyDescent="0.25">
      <c r="A56" s="49">
        <v>220220012379</v>
      </c>
      <c r="B56" s="50" t="s">
        <v>9</v>
      </c>
      <c r="C56" s="57">
        <v>44643</v>
      </c>
      <c r="D56" s="49">
        <v>22022002144</v>
      </c>
      <c r="E56" s="50" t="s">
        <v>1376</v>
      </c>
      <c r="F56" s="58">
        <v>5677.81</v>
      </c>
      <c r="G56" s="50" t="s">
        <v>589</v>
      </c>
      <c r="H56" s="50" t="s">
        <v>1430</v>
      </c>
      <c r="I56" s="49" t="s">
        <v>107</v>
      </c>
      <c r="J56" s="50" t="s">
        <v>109</v>
      </c>
      <c r="K56" s="50" t="s">
        <v>109</v>
      </c>
      <c r="L56" s="50" t="s">
        <v>25</v>
      </c>
      <c r="M56" s="50" t="s">
        <v>13</v>
      </c>
      <c r="N56" s="50" t="s">
        <v>14</v>
      </c>
      <c r="O56" s="48" t="s">
        <v>620</v>
      </c>
      <c r="P56" s="45" t="s">
        <v>453</v>
      </c>
      <c r="Q56" s="35" t="str">
        <f>MID(Tabla1[[#This Row],[Aplicación]],14,1)</f>
        <v>2</v>
      </c>
      <c r="R56" s="35" t="s">
        <v>441</v>
      </c>
      <c r="S56" s="35" t="str">
        <f>MID(Tabla1[[#This Row],[Aplicación]],6,2)</f>
        <v>05</v>
      </c>
      <c r="T56" s="35" t="str">
        <f>VLOOKUP(Tabla1[[#This Row],[AREA]],Hoja1!A:B,2,FALSE)</f>
        <v>05. Innovación, desarrollo económico, empleo y comercio</v>
      </c>
      <c r="U56" s="35" t="str">
        <f>MID(Tabla1[[#This Row],[Aplicación]],9,4)</f>
        <v>0 43</v>
      </c>
      <c r="V56" s="35" t="e">
        <f>VLOOKUP(Tabla1[[#This Row],[PROGRAMA]],Hoja1!A:B,2,FALSE)</f>
        <v>#N/A</v>
      </c>
      <c r="W56" s="35" t="str">
        <f>MID(Tabla1[[#This Row],[Aplicación]],14,2)</f>
        <v xml:space="preserve">2 </v>
      </c>
      <c r="X56" s="35" t="str">
        <f>MID(Tabla1[[#This Row],[Aplicación]],14,6)</f>
        <v>2 632</v>
      </c>
    </row>
    <row r="57" spans="1:24" x14ac:dyDescent="0.25">
      <c r="A57" s="49">
        <v>220219001191</v>
      </c>
      <c r="B57" s="50" t="s">
        <v>9</v>
      </c>
      <c r="C57" s="57">
        <v>44562</v>
      </c>
      <c r="D57" s="49">
        <v>22022002196</v>
      </c>
      <c r="E57" s="50" t="s">
        <v>1431</v>
      </c>
      <c r="F57" s="58">
        <v>343283.85</v>
      </c>
      <c r="G57" s="50" t="s">
        <v>192</v>
      </c>
      <c r="H57" s="50" t="s">
        <v>1432</v>
      </c>
      <c r="I57" s="49" t="s">
        <v>107</v>
      </c>
      <c r="J57" s="50" t="s">
        <v>519</v>
      </c>
      <c r="K57" s="50" t="s">
        <v>165</v>
      </c>
      <c r="L57" s="50" t="s">
        <v>12</v>
      </c>
      <c r="M57" s="50" t="s">
        <v>13</v>
      </c>
      <c r="N57" s="50" t="s">
        <v>14</v>
      </c>
      <c r="O57" s="48" t="s">
        <v>620</v>
      </c>
      <c r="P57" s="45" t="s">
        <v>453</v>
      </c>
      <c r="Q57" s="35" t="str">
        <f>MID(Tabla1[[#This Row],[Aplicación]],14,1)</f>
        <v>6</v>
      </c>
      <c r="R57" s="35" t="s">
        <v>442</v>
      </c>
      <c r="S57" s="35" t="str">
        <f>MID(Tabla1[[#This Row],[Aplicación]],6,2)</f>
        <v>07</v>
      </c>
      <c r="T57" s="35" t="str">
        <f>VLOOKUP(Tabla1[[#This Row],[AREA]],Hoja1!A:B,2,FALSE)</f>
        <v>07. Medio ambiente y desarrollo sostenible</v>
      </c>
      <c r="U57" s="35" t="str">
        <f>MID(Tabla1[[#This Row],[Aplicación]],9,4)</f>
        <v>1721</v>
      </c>
      <c r="V57" s="35" t="str">
        <f>VLOOKUP(Tabla1[[#This Row],[PROGRAMA]],Hoja1!A:B,2,FALSE)</f>
        <v>1721. Protección del medio ambiente</v>
      </c>
      <c r="W57" s="35" t="str">
        <f>MID(Tabla1[[#This Row],[Aplicación]],14,2)</f>
        <v>63</v>
      </c>
      <c r="X57" s="35" t="str">
        <f>MID(Tabla1[[#This Row],[Aplicación]],14,6)</f>
        <v>633</v>
      </c>
    </row>
    <row r="58" spans="1:24" x14ac:dyDescent="0.25">
      <c r="A58" s="49">
        <v>220220006723</v>
      </c>
      <c r="B58" s="50" t="s">
        <v>9</v>
      </c>
      <c r="C58" s="57">
        <v>44620</v>
      </c>
      <c r="D58" s="49">
        <v>22021002447</v>
      </c>
      <c r="E58" s="50" t="s">
        <v>1424</v>
      </c>
      <c r="F58" s="58">
        <v>322440.57</v>
      </c>
      <c r="G58" s="50" t="s">
        <v>697</v>
      </c>
      <c r="H58" s="50" t="s">
        <v>698</v>
      </c>
      <c r="I58" s="49" t="s">
        <v>107</v>
      </c>
      <c r="J58" s="50" t="s">
        <v>463</v>
      </c>
      <c r="K58" s="50" t="s">
        <v>463</v>
      </c>
      <c r="L58" s="50" t="s">
        <v>25</v>
      </c>
      <c r="M58" s="50" t="s">
        <v>13</v>
      </c>
      <c r="N58" s="50" t="s">
        <v>14</v>
      </c>
      <c r="O58" s="48" t="s">
        <v>620</v>
      </c>
      <c r="P58" s="45" t="s">
        <v>453</v>
      </c>
      <c r="Q58" s="35" t="str">
        <f>MID(Tabla1[[#This Row],[Aplicación]],14,1)</f>
        <v>6</v>
      </c>
      <c r="R58" s="35" t="s">
        <v>442</v>
      </c>
      <c r="S58" s="35" t="str">
        <f>MID(Tabla1[[#This Row],[Aplicación]],6,2)</f>
        <v>06</v>
      </c>
      <c r="T58" s="35" t="str">
        <f>VLOOKUP(Tabla1[[#This Row],[AREA]],Hoja1!A:B,2,FALSE)</f>
        <v>06. Educación, infancia, juventud e igualdad</v>
      </c>
      <c r="U58" s="35" t="str">
        <f>MID(Tabla1[[#This Row],[Aplicación]],9,4)</f>
        <v>3321</v>
      </c>
      <c r="V58" s="35" t="str">
        <f>VLOOKUP(Tabla1[[#This Row],[PROGRAMA]],Hoja1!A:B,2,FALSE)</f>
        <v>3321. Bibliotecas públicas</v>
      </c>
      <c r="W58" s="35" t="str">
        <f>MID(Tabla1[[#This Row],[Aplicación]],14,2)</f>
        <v>62</v>
      </c>
      <c r="X58" s="35" t="str">
        <f>MID(Tabla1[[#This Row],[Aplicación]],14,6)</f>
        <v>622</v>
      </c>
    </row>
    <row r="59" spans="1:24" x14ac:dyDescent="0.25">
      <c r="A59" s="49">
        <v>220219000416</v>
      </c>
      <c r="B59" s="50" t="s">
        <v>9</v>
      </c>
      <c r="C59" s="57">
        <v>44562</v>
      </c>
      <c r="D59" s="49">
        <v>22022000552</v>
      </c>
      <c r="E59" s="50" t="s">
        <v>1417</v>
      </c>
      <c r="F59" s="58">
        <v>142375.84</v>
      </c>
      <c r="G59" s="50" t="s">
        <v>234</v>
      </c>
      <c r="H59" s="50" t="s">
        <v>1433</v>
      </c>
      <c r="I59" s="49" t="s">
        <v>107</v>
      </c>
      <c r="J59" s="50" t="s">
        <v>109</v>
      </c>
      <c r="K59" s="50" t="s">
        <v>109</v>
      </c>
      <c r="L59" s="50" t="s">
        <v>12</v>
      </c>
      <c r="M59" s="50" t="s">
        <v>13</v>
      </c>
      <c r="N59" s="50" t="s">
        <v>14</v>
      </c>
      <c r="O59" s="48" t="s">
        <v>620</v>
      </c>
      <c r="P59" s="45" t="s">
        <v>453</v>
      </c>
      <c r="Q59" s="35" t="str">
        <f>MID(Tabla1[[#This Row],[Aplicación]],14,1)</f>
        <v>2</v>
      </c>
      <c r="R59" s="35" t="s">
        <v>441</v>
      </c>
      <c r="S59" s="35" t="str">
        <f>MID(Tabla1[[#This Row],[Aplicación]],6,2)</f>
        <v>11</v>
      </c>
      <c r="T59" s="35" t="str">
        <f>VLOOKUP(Tabla1[[#This Row],[AREA]],Hoja1!A:B,2,FALSE)</f>
        <v>11. Salud pública y seguridad ciudadana</v>
      </c>
      <c r="U59" s="35" t="str">
        <f>MID(Tabla1[[#This Row],[Aplicación]],9,4)</f>
        <v>1621</v>
      </c>
      <c r="V59" s="35" t="str">
        <f>VLOOKUP(Tabla1[[#This Row],[PROGRAMA]],Hoja1!A:B,2,FALSE)</f>
        <v>1621. Servicio de limpieza</v>
      </c>
      <c r="W59" s="35" t="str">
        <f>MID(Tabla1[[#This Row],[Aplicación]],14,2)</f>
        <v>22</v>
      </c>
      <c r="X59" s="35" t="str">
        <f>MID(Tabla1[[#This Row],[Aplicación]],14,6)</f>
        <v>22700</v>
      </c>
    </row>
    <row r="60" spans="1:24" x14ac:dyDescent="0.25">
      <c r="A60" s="49">
        <v>220220004089</v>
      </c>
      <c r="B60" s="50" t="s">
        <v>172</v>
      </c>
      <c r="C60" s="57">
        <v>44610</v>
      </c>
      <c r="D60" s="49">
        <v>22022000902</v>
      </c>
      <c r="E60" s="50" t="s">
        <v>1434</v>
      </c>
      <c r="F60" s="58">
        <v>1649.05</v>
      </c>
      <c r="G60" s="50" t="s">
        <v>234</v>
      </c>
      <c r="H60" s="50" t="s">
        <v>1435</v>
      </c>
      <c r="I60" s="49" t="s">
        <v>173</v>
      </c>
      <c r="J60" s="50" t="s">
        <v>109</v>
      </c>
      <c r="K60" s="50" t="s">
        <v>109</v>
      </c>
      <c r="L60" s="50" t="s">
        <v>12</v>
      </c>
      <c r="M60" s="50" t="s">
        <v>13</v>
      </c>
      <c r="N60" s="50" t="s">
        <v>14</v>
      </c>
      <c r="O60" s="48" t="s">
        <v>631</v>
      </c>
      <c r="P60" s="45" t="s">
        <v>453</v>
      </c>
      <c r="Q60" s="35" t="str">
        <f>MID(Tabla1[[#This Row],[Aplicación]],14,1)</f>
        <v>2</v>
      </c>
      <c r="R60" s="35" t="s">
        <v>441</v>
      </c>
      <c r="S60" s="35" t="str">
        <f>MID(Tabla1[[#This Row],[Aplicación]],6,2)</f>
        <v>11</v>
      </c>
      <c r="T60" s="35" t="str">
        <f>VLOOKUP(Tabla1[[#This Row],[AREA]],Hoja1!A:B,2,FALSE)</f>
        <v>11. Salud pública y seguridad ciudadana</v>
      </c>
      <c r="U60" s="35" t="str">
        <f>MID(Tabla1[[#This Row],[Aplicación]],9,4)</f>
        <v>1631</v>
      </c>
      <c r="V60" s="35" t="str">
        <f>VLOOKUP(Tabla1[[#This Row],[PROGRAMA]],Hoja1!A:B,2,FALSE)</f>
        <v>1631. Limpieza viaria</v>
      </c>
      <c r="W60" s="35" t="str">
        <f>MID(Tabla1[[#This Row],[Aplicación]],14,2)</f>
        <v>21</v>
      </c>
      <c r="X60" s="35" t="str">
        <f>MID(Tabla1[[#This Row],[Aplicación]],14,6)</f>
        <v>214</v>
      </c>
    </row>
    <row r="61" spans="1:24" x14ac:dyDescent="0.25">
      <c r="A61" s="49">
        <v>220220010334</v>
      </c>
      <c r="B61" s="50" t="s">
        <v>9</v>
      </c>
      <c r="C61" s="57">
        <v>44641</v>
      </c>
      <c r="D61" s="49">
        <v>22022002911</v>
      </c>
      <c r="E61" s="50" t="s">
        <v>1436</v>
      </c>
      <c r="F61" s="58">
        <v>400</v>
      </c>
      <c r="G61" s="50" t="s">
        <v>634</v>
      </c>
      <c r="H61" s="50" t="s">
        <v>1437</v>
      </c>
      <c r="I61" s="49" t="s">
        <v>107</v>
      </c>
      <c r="J61" s="50" t="s">
        <v>635</v>
      </c>
      <c r="K61" s="50" t="s">
        <v>109</v>
      </c>
      <c r="L61" s="50" t="s">
        <v>12</v>
      </c>
      <c r="M61" s="50" t="s">
        <v>10</v>
      </c>
      <c r="N61" s="50" t="s">
        <v>11</v>
      </c>
      <c r="O61" s="48" t="s">
        <v>632</v>
      </c>
      <c r="P61" s="45" t="s">
        <v>453</v>
      </c>
      <c r="Q61" s="35" t="str">
        <f>MID(Tabla1[[#This Row],[Aplicación]],14,1)</f>
        <v>2</v>
      </c>
      <c r="R61" s="35" t="s">
        <v>441</v>
      </c>
      <c r="S61" s="35" t="str">
        <f>MID(Tabla1[[#This Row],[Aplicación]],6,2)</f>
        <v>03</v>
      </c>
      <c r="T61" s="35" t="str">
        <f>VLOOKUP(Tabla1[[#This Row],[AREA]],Hoja1!A:B,2,FALSE)</f>
        <v>03. Participación ciudadana y deportes</v>
      </c>
      <c r="U61" s="35" t="str">
        <f>MID(Tabla1[[#This Row],[Aplicación]],9,4)</f>
        <v>9241</v>
      </c>
      <c r="V61" s="35" t="str">
        <f>VLOOKUP(Tabla1[[#This Row],[PROGRAMA]],Hoja1!A:B,2,FALSE)</f>
        <v>9241. Participación ciudadana</v>
      </c>
      <c r="W61" s="35" t="str">
        <f>MID(Tabla1[[#This Row],[Aplicación]],14,2)</f>
        <v>22</v>
      </c>
      <c r="X61" s="35" t="str">
        <f>MID(Tabla1[[#This Row],[Aplicación]],14,6)</f>
        <v>22609</v>
      </c>
    </row>
    <row r="62" spans="1:24" x14ac:dyDescent="0.25">
      <c r="A62" s="49">
        <v>220219000662</v>
      </c>
      <c r="B62" s="50" t="s">
        <v>9</v>
      </c>
      <c r="C62" s="57">
        <v>44562</v>
      </c>
      <c r="D62" s="49">
        <v>22022002215</v>
      </c>
      <c r="E62" s="50" t="s">
        <v>1383</v>
      </c>
      <c r="F62" s="58">
        <v>320833.32</v>
      </c>
      <c r="G62" s="50" t="s">
        <v>186</v>
      </c>
      <c r="H62" s="50" t="s">
        <v>1438</v>
      </c>
      <c r="I62" s="49" t="s">
        <v>107</v>
      </c>
      <c r="J62" s="50" t="s">
        <v>109</v>
      </c>
      <c r="K62" s="50" t="s">
        <v>109</v>
      </c>
      <c r="L62" s="50" t="s">
        <v>12</v>
      </c>
      <c r="M62" s="50" t="s">
        <v>13</v>
      </c>
      <c r="N62" s="50" t="s">
        <v>14</v>
      </c>
      <c r="O62" s="48" t="s">
        <v>620</v>
      </c>
      <c r="P62" s="45" t="s">
        <v>453</v>
      </c>
      <c r="Q62" s="35" t="str">
        <f>MID(Tabla1[[#This Row],[Aplicación]],14,1)</f>
        <v>6</v>
      </c>
      <c r="R62" s="35" t="s">
        <v>442</v>
      </c>
      <c r="S62" s="35" t="str">
        <f>MID(Tabla1[[#This Row],[Aplicación]],6,2)</f>
        <v>08</v>
      </c>
      <c r="T62" s="35" t="str">
        <f>VLOOKUP(Tabla1[[#This Row],[AREA]],Hoja1!A:B,2,FALSE)</f>
        <v>08. Movilidad y espacio urbano</v>
      </c>
      <c r="U62" s="35" t="str">
        <f>MID(Tabla1[[#This Row],[Aplicación]],9,4)</f>
        <v>1341</v>
      </c>
      <c r="V62" s="35" t="str">
        <f>VLOOKUP(Tabla1[[#This Row],[PROGRAMA]],Hoja1!A:B,2,FALSE)</f>
        <v>1341. Movilidad</v>
      </c>
      <c r="W62" s="35" t="str">
        <f>MID(Tabla1[[#This Row],[Aplicación]],14,2)</f>
        <v>61</v>
      </c>
      <c r="X62" s="35" t="str">
        <f>MID(Tabla1[[#This Row],[Aplicación]],14,6)</f>
        <v>619</v>
      </c>
    </row>
    <row r="63" spans="1:24" x14ac:dyDescent="0.25">
      <c r="A63" s="49">
        <v>220219000007</v>
      </c>
      <c r="B63" s="50" t="s">
        <v>9</v>
      </c>
      <c r="C63" s="57">
        <v>44562</v>
      </c>
      <c r="D63" s="49">
        <v>22022000320</v>
      </c>
      <c r="E63" s="50" t="s">
        <v>1439</v>
      </c>
      <c r="F63" s="58">
        <v>1000</v>
      </c>
      <c r="G63" s="50" t="s">
        <v>58</v>
      </c>
      <c r="H63" s="50" t="s">
        <v>643</v>
      </c>
      <c r="I63" s="49" t="s">
        <v>107</v>
      </c>
      <c r="J63" s="50" t="s">
        <v>109</v>
      </c>
      <c r="K63" s="50" t="s">
        <v>109</v>
      </c>
      <c r="L63" s="50" t="s">
        <v>12</v>
      </c>
      <c r="M63" s="50" t="s">
        <v>13</v>
      </c>
      <c r="N63" s="50" t="s">
        <v>16</v>
      </c>
      <c r="O63" s="48" t="s">
        <v>620</v>
      </c>
      <c r="P63" s="45" t="s">
        <v>453</v>
      </c>
      <c r="Q63" s="35" t="str">
        <f>MID(Tabla1[[#This Row],[Aplicación]],14,1)</f>
        <v>2</v>
      </c>
      <c r="R63" s="35" t="s">
        <v>441</v>
      </c>
      <c r="S63" s="35" t="str">
        <f>MID(Tabla1[[#This Row],[Aplicación]],6,2)</f>
        <v>03</v>
      </c>
      <c r="T63" s="35" t="str">
        <f>VLOOKUP(Tabla1[[#This Row],[AREA]],Hoja1!A:B,2,FALSE)</f>
        <v>03. Participación ciudadana y deportes</v>
      </c>
      <c r="U63" s="35" t="str">
        <f>MID(Tabla1[[#This Row],[Aplicación]],9,4)</f>
        <v>9241</v>
      </c>
      <c r="V63" s="35" t="str">
        <f>VLOOKUP(Tabla1[[#This Row],[PROGRAMA]],Hoja1!A:B,2,FALSE)</f>
        <v>9241. Participación ciudadana</v>
      </c>
      <c r="W63" s="35" t="str">
        <f>MID(Tabla1[[#This Row],[Aplicación]],14,2)</f>
        <v>20</v>
      </c>
      <c r="X63" s="35" t="str">
        <f>MID(Tabla1[[#This Row],[Aplicación]],14,6)</f>
        <v>203</v>
      </c>
    </row>
    <row r="64" spans="1:24" x14ac:dyDescent="0.25">
      <c r="A64" s="49">
        <v>220219000008</v>
      </c>
      <c r="B64" s="50" t="s">
        <v>9</v>
      </c>
      <c r="C64" s="57">
        <v>44562</v>
      </c>
      <c r="D64" s="49">
        <v>22022000321</v>
      </c>
      <c r="E64" s="50" t="s">
        <v>1440</v>
      </c>
      <c r="F64" s="58">
        <v>60</v>
      </c>
      <c r="G64" s="50" t="s">
        <v>58</v>
      </c>
      <c r="H64" s="50" t="s">
        <v>1441</v>
      </c>
      <c r="I64" s="49" t="s">
        <v>107</v>
      </c>
      <c r="J64" s="50" t="s">
        <v>109</v>
      </c>
      <c r="K64" s="50" t="s">
        <v>109</v>
      </c>
      <c r="L64" s="50" t="s">
        <v>12</v>
      </c>
      <c r="M64" s="50" t="s">
        <v>13</v>
      </c>
      <c r="N64" s="50" t="s">
        <v>14</v>
      </c>
      <c r="O64" s="48" t="s">
        <v>620</v>
      </c>
      <c r="P64" s="45" t="s">
        <v>453</v>
      </c>
      <c r="Q64" s="35" t="str">
        <f>MID(Tabla1[[#This Row],[Aplicación]],14,1)</f>
        <v>2</v>
      </c>
      <c r="R64" s="35" t="s">
        <v>441</v>
      </c>
      <c r="S64" s="35" t="str">
        <f>MID(Tabla1[[#This Row],[Aplicación]],6,2)</f>
        <v>01</v>
      </c>
      <c r="T64" s="35" t="str">
        <f>VLOOKUP(Tabla1[[#This Row],[AREA]],Hoja1!A:B,2,FALSE)</f>
        <v>01. Alcaldía</v>
      </c>
      <c r="U64" s="35" t="str">
        <f>MID(Tabla1[[#This Row],[Aplicación]],9,4)</f>
        <v>9312</v>
      </c>
      <c r="V64" s="35" t="str">
        <f>VLOOKUP(Tabla1[[#This Row],[PROGRAMA]],Hoja1!A:B,2,FALSE)</f>
        <v>9312. Intervención general</v>
      </c>
      <c r="W64" s="35" t="str">
        <f>MID(Tabla1[[#This Row],[Aplicación]],14,2)</f>
        <v>21</v>
      </c>
      <c r="X64" s="35" t="str">
        <f>MID(Tabla1[[#This Row],[Aplicación]],14,6)</f>
        <v>213</v>
      </c>
    </row>
    <row r="65" spans="1:24" x14ac:dyDescent="0.25">
      <c r="A65" s="49">
        <v>220219000009</v>
      </c>
      <c r="B65" s="50" t="s">
        <v>9</v>
      </c>
      <c r="C65" s="57">
        <v>44562</v>
      </c>
      <c r="D65" s="49">
        <v>22022000323</v>
      </c>
      <c r="E65" s="50" t="s">
        <v>1442</v>
      </c>
      <c r="F65" s="58">
        <v>70</v>
      </c>
      <c r="G65" s="50" t="s">
        <v>58</v>
      </c>
      <c r="H65" s="50" t="s">
        <v>1443</v>
      </c>
      <c r="I65" s="49" t="s">
        <v>107</v>
      </c>
      <c r="J65" s="50" t="s">
        <v>109</v>
      </c>
      <c r="K65" s="50" t="s">
        <v>109</v>
      </c>
      <c r="L65" s="50" t="s">
        <v>12</v>
      </c>
      <c r="M65" s="50" t="s">
        <v>13</v>
      </c>
      <c r="N65" s="50" t="s">
        <v>14</v>
      </c>
      <c r="O65" s="48" t="s">
        <v>620</v>
      </c>
      <c r="P65" s="45" t="s">
        <v>453</v>
      </c>
      <c r="Q65" s="35" t="str">
        <f>MID(Tabla1[[#This Row],[Aplicación]],14,1)</f>
        <v>2</v>
      </c>
      <c r="R65" s="35" t="s">
        <v>441</v>
      </c>
      <c r="S65" s="35" t="str">
        <f>MID(Tabla1[[#This Row],[Aplicación]],6,2)</f>
        <v>01</v>
      </c>
      <c r="T65" s="35" t="str">
        <f>VLOOKUP(Tabla1[[#This Row],[AREA]],Hoja1!A:B,2,FALSE)</f>
        <v>01. Alcaldía</v>
      </c>
      <c r="U65" s="35" t="str">
        <f>MID(Tabla1[[#This Row],[Aplicación]],9,4)</f>
        <v>9312</v>
      </c>
      <c r="V65" s="35" t="str">
        <f>VLOOKUP(Tabla1[[#This Row],[PROGRAMA]],Hoja1!A:B,2,FALSE)</f>
        <v>9312. Intervención general</v>
      </c>
      <c r="W65" s="35" t="str">
        <f>MID(Tabla1[[#This Row],[Aplicación]],14,2)</f>
        <v>20</v>
      </c>
      <c r="X65" s="35" t="str">
        <f>MID(Tabla1[[#This Row],[Aplicación]],14,6)</f>
        <v>203</v>
      </c>
    </row>
    <row r="66" spans="1:24" x14ac:dyDescent="0.25">
      <c r="A66" s="49">
        <v>220219000010</v>
      </c>
      <c r="B66" s="50" t="s">
        <v>9</v>
      </c>
      <c r="C66" s="57">
        <v>44562</v>
      </c>
      <c r="D66" s="49">
        <v>22022000324</v>
      </c>
      <c r="E66" s="50" t="s">
        <v>1444</v>
      </c>
      <c r="F66" s="58">
        <v>850</v>
      </c>
      <c r="G66" s="50" t="s">
        <v>58</v>
      </c>
      <c r="H66" s="50" t="s">
        <v>644</v>
      </c>
      <c r="I66" s="49" t="s">
        <v>107</v>
      </c>
      <c r="J66" s="50" t="s">
        <v>109</v>
      </c>
      <c r="K66" s="50" t="s">
        <v>109</v>
      </c>
      <c r="L66" s="50" t="s">
        <v>12</v>
      </c>
      <c r="M66" s="50" t="s">
        <v>13</v>
      </c>
      <c r="N66" s="50" t="s">
        <v>16</v>
      </c>
      <c r="O66" s="48" t="s">
        <v>620</v>
      </c>
      <c r="P66" s="45" t="s">
        <v>453</v>
      </c>
      <c r="Q66" s="35" t="str">
        <f>MID(Tabla1[[#This Row],[Aplicación]],14,1)</f>
        <v>2</v>
      </c>
      <c r="R66" s="35" t="s">
        <v>441</v>
      </c>
      <c r="S66" s="35" t="str">
        <f>MID(Tabla1[[#This Row],[Aplicación]],6,2)</f>
        <v>08</v>
      </c>
      <c r="T66" s="35" t="str">
        <f>VLOOKUP(Tabla1[[#This Row],[AREA]],Hoja1!A:B,2,FALSE)</f>
        <v>08. Movilidad y espacio urbano</v>
      </c>
      <c r="U66" s="35" t="str">
        <f>MID(Tabla1[[#This Row],[Aplicación]],9,4)</f>
        <v>1301</v>
      </c>
      <c r="V66" s="35" t="str">
        <f>VLOOKUP(Tabla1[[#This Row],[PROGRAMA]],Hoja1!A:B,2,FALSE)</f>
        <v>1301. Dirección del área de seguridad</v>
      </c>
      <c r="W66" s="35" t="str">
        <f>MID(Tabla1[[#This Row],[Aplicación]],14,2)</f>
        <v>20</v>
      </c>
      <c r="X66" s="35" t="str">
        <f>MID(Tabla1[[#This Row],[Aplicación]],14,6)</f>
        <v>203</v>
      </c>
    </row>
    <row r="67" spans="1:24" x14ac:dyDescent="0.25">
      <c r="A67" s="49">
        <v>220219000011</v>
      </c>
      <c r="B67" s="50" t="s">
        <v>9</v>
      </c>
      <c r="C67" s="57">
        <v>44562</v>
      </c>
      <c r="D67" s="49">
        <v>22022000325</v>
      </c>
      <c r="E67" s="50" t="s">
        <v>1445</v>
      </c>
      <c r="F67" s="58">
        <v>1250</v>
      </c>
      <c r="G67" s="50" t="s">
        <v>58</v>
      </c>
      <c r="H67" s="50" t="s">
        <v>646</v>
      </c>
      <c r="I67" s="49" t="s">
        <v>107</v>
      </c>
      <c r="J67" s="50" t="s">
        <v>109</v>
      </c>
      <c r="K67" s="50" t="s">
        <v>109</v>
      </c>
      <c r="L67" s="50" t="s">
        <v>12</v>
      </c>
      <c r="M67" s="50" t="s">
        <v>13</v>
      </c>
      <c r="N67" s="50" t="s">
        <v>16</v>
      </c>
      <c r="O67" s="48" t="s">
        <v>620</v>
      </c>
      <c r="P67" s="45" t="s">
        <v>453</v>
      </c>
      <c r="Q67" s="35" t="str">
        <f>MID(Tabla1[[#This Row],[Aplicación]],14,1)</f>
        <v>2</v>
      </c>
      <c r="R67" s="35" t="s">
        <v>441</v>
      </c>
      <c r="S67" s="35" t="str">
        <f>MID(Tabla1[[#This Row],[Aplicación]],6,2)</f>
        <v>08</v>
      </c>
      <c r="T67" s="35" t="str">
        <f>VLOOKUP(Tabla1[[#This Row],[AREA]],Hoja1!A:B,2,FALSE)</f>
        <v>08. Movilidad y espacio urbano</v>
      </c>
      <c r="U67" s="35" t="str">
        <f>MID(Tabla1[[#This Row],[Aplicación]],9,4)</f>
        <v>1301</v>
      </c>
      <c r="V67" s="35" t="str">
        <f>VLOOKUP(Tabla1[[#This Row],[PROGRAMA]],Hoja1!A:B,2,FALSE)</f>
        <v>1301. Dirección del área de seguridad</v>
      </c>
      <c r="W67" s="35" t="str">
        <f>MID(Tabla1[[#This Row],[Aplicación]],14,2)</f>
        <v>21</v>
      </c>
      <c r="X67" s="35" t="str">
        <f>MID(Tabla1[[#This Row],[Aplicación]],14,6)</f>
        <v>213</v>
      </c>
    </row>
    <row r="68" spans="1:24" x14ac:dyDescent="0.25">
      <c r="A68" s="49">
        <v>220219000012</v>
      </c>
      <c r="B68" s="50" t="s">
        <v>9</v>
      </c>
      <c r="C68" s="57">
        <v>44562</v>
      </c>
      <c r="D68" s="49">
        <v>22022000326</v>
      </c>
      <c r="E68" s="50" t="s">
        <v>1446</v>
      </c>
      <c r="F68" s="58">
        <v>600</v>
      </c>
      <c r="G68" s="50" t="s">
        <v>58</v>
      </c>
      <c r="H68" s="50" t="s">
        <v>645</v>
      </c>
      <c r="I68" s="49" t="s">
        <v>107</v>
      </c>
      <c r="J68" s="50" t="s">
        <v>109</v>
      </c>
      <c r="K68" s="50" t="s">
        <v>109</v>
      </c>
      <c r="L68" s="50" t="s">
        <v>15</v>
      </c>
      <c r="M68" s="50" t="s">
        <v>13</v>
      </c>
      <c r="N68" s="50" t="s">
        <v>14</v>
      </c>
      <c r="O68" s="48" t="s">
        <v>620</v>
      </c>
      <c r="P68" s="45" t="s">
        <v>453</v>
      </c>
      <c r="Q68" s="35" t="str">
        <f>MID(Tabla1[[#This Row],[Aplicación]],14,1)</f>
        <v>2</v>
      </c>
      <c r="R68" s="35" t="s">
        <v>441</v>
      </c>
      <c r="S68" s="35" t="str">
        <f>MID(Tabla1[[#This Row],[Aplicación]],6,2)</f>
        <v>04</v>
      </c>
      <c r="T68" s="35" t="str">
        <f>VLOOKUP(Tabla1[[#This Row],[AREA]],Hoja1!A:B,2,FALSE)</f>
        <v>04. Planificación y recursos</v>
      </c>
      <c r="U68" s="35" t="str">
        <f>MID(Tabla1[[#This Row],[Aplicación]],9,4)</f>
        <v>9341</v>
      </c>
      <c r="V68" s="35" t="str">
        <f>VLOOKUP(Tabla1[[#This Row],[PROGRAMA]],Hoja1!A:B,2,FALSE)</f>
        <v>9341. Tesorería y recaudación</v>
      </c>
      <c r="W68" s="35" t="str">
        <f>MID(Tabla1[[#This Row],[Aplicación]],14,2)</f>
        <v>21</v>
      </c>
      <c r="X68" s="35" t="str">
        <f>MID(Tabla1[[#This Row],[Aplicación]],14,6)</f>
        <v>213</v>
      </c>
    </row>
    <row r="69" spans="1:24" x14ac:dyDescent="0.25">
      <c r="A69" s="49">
        <v>220219000013</v>
      </c>
      <c r="B69" s="50" t="s">
        <v>9</v>
      </c>
      <c r="C69" s="57">
        <v>44562</v>
      </c>
      <c r="D69" s="49">
        <v>22022000327</v>
      </c>
      <c r="E69" s="50" t="s">
        <v>1442</v>
      </c>
      <c r="F69" s="58">
        <v>70</v>
      </c>
      <c r="G69" s="50" t="s">
        <v>58</v>
      </c>
      <c r="H69" s="50" t="s">
        <v>1447</v>
      </c>
      <c r="I69" s="49" t="s">
        <v>107</v>
      </c>
      <c r="J69" s="50" t="s">
        <v>109</v>
      </c>
      <c r="K69" s="50" t="s">
        <v>109</v>
      </c>
      <c r="L69" s="50" t="s">
        <v>12</v>
      </c>
      <c r="M69" s="50" t="s">
        <v>13</v>
      </c>
      <c r="N69" s="50" t="s">
        <v>14</v>
      </c>
      <c r="O69" s="48" t="s">
        <v>620</v>
      </c>
      <c r="P69" s="45" t="s">
        <v>453</v>
      </c>
      <c r="Q69" s="35" t="str">
        <f>MID(Tabla1[[#This Row],[Aplicación]],14,1)</f>
        <v>2</v>
      </c>
      <c r="R69" s="35" t="s">
        <v>441</v>
      </c>
      <c r="S69" s="35" t="str">
        <f>MID(Tabla1[[#This Row],[Aplicación]],6,2)</f>
        <v>01</v>
      </c>
      <c r="T69" s="35" t="str">
        <f>VLOOKUP(Tabla1[[#This Row],[AREA]],Hoja1!A:B,2,FALSE)</f>
        <v>01. Alcaldía</v>
      </c>
      <c r="U69" s="35" t="str">
        <f>MID(Tabla1[[#This Row],[Aplicación]],9,4)</f>
        <v>9312</v>
      </c>
      <c r="V69" s="35" t="str">
        <f>VLOOKUP(Tabla1[[#This Row],[PROGRAMA]],Hoja1!A:B,2,FALSE)</f>
        <v>9312. Intervención general</v>
      </c>
      <c r="W69" s="35" t="str">
        <f>MID(Tabla1[[#This Row],[Aplicación]],14,2)</f>
        <v>20</v>
      </c>
      <c r="X69" s="35" t="str">
        <f>MID(Tabla1[[#This Row],[Aplicación]],14,6)</f>
        <v>203</v>
      </c>
    </row>
    <row r="70" spans="1:24" x14ac:dyDescent="0.25">
      <c r="A70" s="49">
        <v>220219000014</v>
      </c>
      <c r="B70" s="50" t="s">
        <v>9</v>
      </c>
      <c r="C70" s="57">
        <v>44562</v>
      </c>
      <c r="D70" s="49">
        <v>22022000328</v>
      </c>
      <c r="E70" s="50" t="s">
        <v>1440</v>
      </c>
      <c r="F70" s="58">
        <v>70</v>
      </c>
      <c r="G70" s="50" t="s">
        <v>58</v>
      </c>
      <c r="H70" s="50" t="s">
        <v>1448</v>
      </c>
      <c r="I70" s="49" t="s">
        <v>107</v>
      </c>
      <c r="J70" s="50" t="s">
        <v>109</v>
      </c>
      <c r="K70" s="50" t="s">
        <v>109</v>
      </c>
      <c r="L70" s="50" t="s">
        <v>12</v>
      </c>
      <c r="M70" s="50" t="s">
        <v>13</v>
      </c>
      <c r="N70" s="50" t="s">
        <v>14</v>
      </c>
      <c r="O70" s="48" t="s">
        <v>620</v>
      </c>
      <c r="P70" s="45" t="s">
        <v>453</v>
      </c>
      <c r="Q70" s="35" t="str">
        <f>MID(Tabla1[[#This Row],[Aplicación]],14,1)</f>
        <v>2</v>
      </c>
      <c r="R70" s="35" t="s">
        <v>441</v>
      </c>
      <c r="S70" s="35" t="str">
        <f>MID(Tabla1[[#This Row],[Aplicación]],6,2)</f>
        <v>01</v>
      </c>
      <c r="T70" s="35" t="str">
        <f>VLOOKUP(Tabla1[[#This Row],[AREA]],Hoja1!A:B,2,FALSE)</f>
        <v>01. Alcaldía</v>
      </c>
      <c r="U70" s="35" t="str">
        <f>MID(Tabla1[[#This Row],[Aplicación]],9,4)</f>
        <v>9312</v>
      </c>
      <c r="V70" s="35" t="str">
        <f>VLOOKUP(Tabla1[[#This Row],[PROGRAMA]],Hoja1!A:B,2,FALSE)</f>
        <v>9312. Intervención general</v>
      </c>
      <c r="W70" s="35" t="str">
        <f>MID(Tabla1[[#This Row],[Aplicación]],14,2)</f>
        <v>21</v>
      </c>
      <c r="X70" s="35" t="str">
        <f>MID(Tabla1[[#This Row],[Aplicación]],14,6)</f>
        <v>213</v>
      </c>
    </row>
    <row r="71" spans="1:24" x14ac:dyDescent="0.25">
      <c r="A71" s="49">
        <v>220219000015</v>
      </c>
      <c r="B71" s="50" t="s">
        <v>9</v>
      </c>
      <c r="C71" s="57">
        <v>44562</v>
      </c>
      <c r="D71" s="49">
        <v>22022000329</v>
      </c>
      <c r="E71" s="50" t="s">
        <v>1449</v>
      </c>
      <c r="F71" s="58">
        <v>250</v>
      </c>
      <c r="G71" s="50" t="s">
        <v>58</v>
      </c>
      <c r="H71" s="50" t="s">
        <v>1450</v>
      </c>
      <c r="I71" s="49" t="s">
        <v>107</v>
      </c>
      <c r="J71" s="50" t="s">
        <v>109</v>
      </c>
      <c r="K71" s="50" t="s">
        <v>109</v>
      </c>
      <c r="L71" s="50" t="s">
        <v>15</v>
      </c>
      <c r="M71" s="50" t="s">
        <v>13</v>
      </c>
      <c r="N71" s="50" t="s">
        <v>14</v>
      </c>
      <c r="O71" s="48" t="s">
        <v>620</v>
      </c>
      <c r="P71" s="45" t="s">
        <v>453</v>
      </c>
      <c r="Q71" s="35" t="str">
        <f>MID(Tabla1[[#This Row],[Aplicación]],14,1)</f>
        <v>2</v>
      </c>
      <c r="R71" s="35" t="s">
        <v>441</v>
      </c>
      <c r="S71" s="35" t="str">
        <f>MID(Tabla1[[#This Row],[Aplicación]],6,2)</f>
        <v>04</v>
      </c>
      <c r="T71" s="35" t="str">
        <f>VLOOKUP(Tabla1[[#This Row],[AREA]],Hoja1!A:B,2,FALSE)</f>
        <v>04. Planificación y recursos</v>
      </c>
      <c r="U71" s="35" t="str">
        <f>MID(Tabla1[[#This Row],[Aplicación]],9,4)</f>
        <v>9311</v>
      </c>
      <c r="V71" s="35" t="str">
        <f>VLOOKUP(Tabla1[[#This Row],[PROGRAMA]],Hoja1!A:B,2,FALSE)</f>
        <v>9311. Planificación económico financiera</v>
      </c>
      <c r="W71" s="35" t="str">
        <f>MID(Tabla1[[#This Row],[Aplicación]],14,2)</f>
        <v>20</v>
      </c>
      <c r="X71" s="35" t="str">
        <f>MID(Tabla1[[#This Row],[Aplicación]],14,6)</f>
        <v>203</v>
      </c>
    </row>
    <row r="72" spans="1:24" x14ac:dyDescent="0.25">
      <c r="A72" s="49">
        <v>220219000016</v>
      </c>
      <c r="B72" s="50" t="s">
        <v>9</v>
      </c>
      <c r="C72" s="57">
        <v>44562</v>
      </c>
      <c r="D72" s="49">
        <v>22022000330</v>
      </c>
      <c r="E72" s="50" t="s">
        <v>1449</v>
      </c>
      <c r="F72" s="58">
        <v>98.79</v>
      </c>
      <c r="G72" s="50" t="s">
        <v>58</v>
      </c>
      <c r="H72" s="50" t="s">
        <v>1451</v>
      </c>
      <c r="I72" s="49" t="s">
        <v>107</v>
      </c>
      <c r="J72" s="50" t="s">
        <v>109</v>
      </c>
      <c r="K72" s="50" t="s">
        <v>109</v>
      </c>
      <c r="L72" s="50" t="s">
        <v>15</v>
      </c>
      <c r="M72" s="50" t="s">
        <v>13</v>
      </c>
      <c r="N72" s="50" t="s">
        <v>14</v>
      </c>
      <c r="O72" s="48" t="s">
        <v>620</v>
      </c>
      <c r="P72" s="45" t="s">
        <v>453</v>
      </c>
      <c r="Q72" s="35" t="str">
        <f>MID(Tabla1[[#This Row],[Aplicación]],14,1)</f>
        <v>2</v>
      </c>
      <c r="R72" s="35" t="s">
        <v>441</v>
      </c>
      <c r="S72" s="35" t="str">
        <f>MID(Tabla1[[#This Row],[Aplicación]],6,2)</f>
        <v>04</v>
      </c>
      <c r="T72" s="35" t="str">
        <f>VLOOKUP(Tabla1[[#This Row],[AREA]],Hoja1!A:B,2,FALSE)</f>
        <v>04. Planificación y recursos</v>
      </c>
      <c r="U72" s="35" t="str">
        <f>MID(Tabla1[[#This Row],[Aplicación]],9,4)</f>
        <v>9311</v>
      </c>
      <c r="V72" s="35" t="str">
        <f>VLOOKUP(Tabla1[[#This Row],[PROGRAMA]],Hoja1!A:B,2,FALSE)</f>
        <v>9311. Planificación económico financiera</v>
      </c>
      <c r="W72" s="35" t="str">
        <f>MID(Tabla1[[#This Row],[Aplicación]],14,2)</f>
        <v>20</v>
      </c>
      <c r="X72" s="35" t="str">
        <f>MID(Tabla1[[#This Row],[Aplicación]],14,6)</f>
        <v>203</v>
      </c>
    </row>
    <row r="73" spans="1:24" x14ac:dyDescent="0.25">
      <c r="A73" s="49">
        <v>220219000017</v>
      </c>
      <c r="B73" s="50" t="s">
        <v>9</v>
      </c>
      <c r="C73" s="57">
        <v>44562</v>
      </c>
      <c r="D73" s="49">
        <v>22022000331</v>
      </c>
      <c r="E73" s="50" t="s">
        <v>1452</v>
      </c>
      <c r="F73" s="58">
        <v>55</v>
      </c>
      <c r="G73" s="50" t="s">
        <v>58</v>
      </c>
      <c r="H73" s="50" t="s">
        <v>1453</v>
      </c>
      <c r="I73" s="49" t="s">
        <v>107</v>
      </c>
      <c r="J73" s="50" t="s">
        <v>109</v>
      </c>
      <c r="K73" s="50" t="s">
        <v>109</v>
      </c>
      <c r="L73" s="50" t="s">
        <v>15</v>
      </c>
      <c r="M73" s="50" t="s">
        <v>13</v>
      </c>
      <c r="N73" s="50" t="s">
        <v>14</v>
      </c>
      <c r="O73" s="48" t="s">
        <v>620</v>
      </c>
      <c r="P73" s="45" t="s">
        <v>453</v>
      </c>
      <c r="Q73" s="35" t="str">
        <f>MID(Tabla1[[#This Row],[Aplicación]],14,1)</f>
        <v>2</v>
      </c>
      <c r="R73" s="35" t="s">
        <v>441</v>
      </c>
      <c r="S73" s="35" t="str">
        <f>MID(Tabla1[[#This Row],[Aplicación]],6,2)</f>
        <v>01</v>
      </c>
      <c r="T73" s="35" t="str">
        <f>VLOOKUP(Tabla1[[#This Row],[AREA]],Hoja1!A:B,2,FALSE)</f>
        <v>01. Alcaldía</v>
      </c>
      <c r="U73" s="35" t="str">
        <f>MID(Tabla1[[#This Row],[Aplicación]],9,4)</f>
        <v>9206</v>
      </c>
      <c r="V73" s="35" t="str">
        <f>VLOOKUP(Tabla1[[#This Row],[PROGRAMA]],Hoja1!A:B,2,FALSE)</f>
        <v>9206. Archivo municipal</v>
      </c>
      <c r="W73" s="35" t="str">
        <f>MID(Tabla1[[#This Row],[Aplicación]],14,2)</f>
        <v>21</v>
      </c>
      <c r="X73" s="35" t="str">
        <f>MID(Tabla1[[#This Row],[Aplicación]],14,6)</f>
        <v>213</v>
      </c>
    </row>
    <row r="74" spans="1:24" x14ac:dyDescent="0.25">
      <c r="A74" s="49">
        <v>220219000018</v>
      </c>
      <c r="B74" s="50" t="s">
        <v>9</v>
      </c>
      <c r="C74" s="57">
        <v>44562</v>
      </c>
      <c r="D74" s="49">
        <v>22022000332</v>
      </c>
      <c r="E74" s="50" t="s">
        <v>1454</v>
      </c>
      <c r="F74" s="58">
        <v>185</v>
      </c>
      <c r="G74" s="50" t="s">
        <v>58</v>
      </c>
      <c r="H74" s="50" t="s">
        <v>1455</v>
      </c>
      <c r="I74" s="49" t="s">
        <v>107</v>
      </c>
      <c r="J74" s="50" t="s">
        <v>109</v>
      </c>
      <c r="K74" s="50" t="s">
        <v>109</v>
      </c>
      <c r="L74" s="50" t="s">
        <v>15</v>
      </c>
      <c r="M74" s="50" t="s">
        <v>13</v>
      </c>
      <c r="N74" s="50" t="s">
        <v>14</v>
      </c>
      <c r="O74" s="48" t="s">
        <v>620</v>
      </c>
      <c r="P74" s="45" t="s">
        <v>453</v>
      </c>
      <c r="Q74" s="35" t="str">
        <f>MID(Tabla1[[#This Row],[Aplicación]],14,1)</f>
        <v>2</v>
      </c>
      <c r="R74" s="35" t="s">
        <v>441</v>
      </c>
      <c r="S74" s="35" t="str">
        <f>MID(Tabla1[[#This Row],[Aplicación]],6,2)</f>
        <v>01</v>
      </c>
      <c r="T74" s="35" t="str">
        <f>VLOOKUP(Tabla1[[#This Row],[AREA]],Hoja1!A:B,2,FALSE)</f>
        <v>01. Alcaldía</v>
      </c>
      <c r="U74" s="35" t="str">
        <f>MID(Tabla1[[#This Row],[Aplicación]],9,4)</f>
        <v>9206</v>
      </c>
      <c r="V74" s="35" t="str">
        <f>VLOOKUP(Tabla1[[#This Row],[PROGRAMA]],Hoja1!A:B,2,FALSE)</f>
        <v>9206. Archivo municipal</v>
      </c>
      <c r="W74" s="35" t="str">
        <f>MID(Tabla1[[#This Row],[Aplicación]],14,2)</f>
        <v>20</v>
      </c>
      <c r="X74" s="35" t="str">
        <f>MID(Tabla1[[#This Row],[Aplicación]],14,6)</f>
        <v>203</v>
      </c>
    </row>
    <row r="75" spans="1:24" x14ac:dyDescent="0.25">
      <c r="A75" s="49">
        <v>220219000019</v>
      </c>
      <c r="B75" s="50" t="s">
        <v>9</v>
      </c>
      <c r="C75" s="57">
        <v>44562</v>
      </c>
      <c r="D75" s="49">
        <v>22022000333</v>
      </c>
      <c r="E75" s="50" t="s">
        <v>1456</v>
      </c>
      <c r="F75" s="58">
        <v>1000</v>
      </c>
      <c r="G75" s="50" t="s">
        <v>58</v>
      </c>
      <c r="H75" s="50" t="s">
        <v>1457</v>
      </c>
      <c r="I75" s="49" t="s">
        <v>107</v>
      </c>
      <c r="J75" s="50" t="s">
        <v>109</v>
      </c>
      <c r="K75" s="50" t="s">
        <v>109</v>
      </c>
      <c r="L75" s="50" t="s">
        <v>12</v>
      </c>
      <c r="M75" s="50" t="s">
        <v>13</v>
      </c>
      <c r="N75" s="50" t="s">
        <v>14</v>
      </c>
      <c r="O75" s="48" t="s">
        <v>620</v>
      </c>
      <c r="P75" s="45" t="s">
        <v>453</v>
      </c>
      <c r="Q75" s="35" t="str">
        <f>MID(Tabla1[[#This Row],[Aplicación]],14,1)</f>
        <v>2</v>
      </c>
      <c r="R75" s="35" t="s">
        <v>441</v>
      </c>
      <c r="S75" s="35" t="str">
        <f>MID(Tabla1[[#This Row],[Aplicación]],6,2)</f>
        <v>05</v>
      </c>
      <c r="T75" s="35" t="str">
        <f>VLOOKUP(Tabla1[[#This Row],[AREA]],Hoja1!A:B,2,FALSE)</f>
        <v>05. Innovación, desarrollo económico, empleo y comercio</v>
      </c>
      <c r="U75" s="35" t="str">
        <f>MID(Tabla1[[#This Row],[Aplicación]],9,4)</f>
        <v>4331</v>
      </c>
      <c r="V75" s="35" t="str">
        <f>VLOOKUP(Tabla1[[#This Row],[PROGRAMA]],Hoja1!A:B,2,FALSE)</f>
        <v>4331. Desarrollo empresarial</v>
      </c>
      <c r="W75" s="35" t="str">
        <f>MID(Tabla1[[#This Row],[Aplicación]],14,2)</f>
        <v>20</v>
      </c>
      <c r="X75" s="35" t="str">
        <f>MID(Tabla1[[#This Row],[Aplicación]],14,6)</f>
        <v>203</v>
      </c>
    </row>
    <row r="76" spans="1:24" x14ac:dyDescent="0.25">
      <c r="A76" s="49">
        <v>220219000021</v>
      </c>
      <c r="B76" s="50" t="s">
        <v>9</v>
      </c>
      <c r="C76" s="57">
        <v>44562</v>
      </c>
      <c r="D76" s="49">
        <v>22022000335</v>
      </c>
      <c r="E76" s="50" t="s">
        <v>1458</v>
      </c>
      <c r="F76" s="58">
        <v>100</v>
      </c>
      <c r="G76" s="50" t="s">
        <v>58</v>
      </c>
      <c r="H76" s="50" t="s">
        <v>648</v>
      </c>
      <c r="I76" s="49" t="s">
        <v>107</v>
      </c>
      <c r="J76" s="50" t="s">
        <v>109</v>
      </c>
      <c r="K76" s="50" t="s">
        <v>109</v>
      </c>
      <c r="L76" s="50" t="s">
        <v>15</v>
      </c>
      <c r="M76" s="50" t="s">
        <v>13</v>
      </c>
      <c r="N76" s="50" t="s">
        <v>16</v>
      </c>
      <c r="O76" s="48" t="s">
        <v>620</v>
      </c>
      <c r="P76" s="45" t="s">
        <v>453</v>
      </c>
      <c r="Q76" s="35" t="str">
        <f>MID(Tabla1[[#This Row],[Aplicación]],14,1)</f>
        <v>2</v>
      </c>
      <c r="R76" s="35" t="s">
        <v>441</v>
      </c>
      <c r="S76" s="35" t="str">
        <f>MID(Tabla1[[#This Row],[Aplicación]],6,2)</f>
        <v>04</v>
      </c>
      <c r="T76" s="35" t="str">
        <f>VLOOKUP(Tabla1[[#This Row],[AREA]],Hoja1!A:B,2,FALSE)</f>
        <v>04. Planificación y recursos</v>
      </c>
      <c r="U76" s="35" t="str">
        <f>MID(Tabla1[[#This Row],[Aplicación]],9,4)</f>
        <v>9204</v>
      </c>
      <c r="V76" s="35" t="str">
        <f>VLOOKUP(Tabla1[[#This Row],[PROGRAMA]],Hoja1!A:B,2,FALSE)</f>
        <v>9204. Tecnologías de la información y comunicación</v>
      </c>
      <c r="W76" s="35" t="str">
        <f>MID(Tabla1[[#This Row],[Aplicación]],14,2)</f>
        <v>21</v>
      </c>
      <c r="X76" s="35" t="str">
        <f>MID(Tabla1[[#This Row],[Aplicación]],14,6)</f>
        <v>213</v>
      </c>
    </row>
    <row r="77" spans="1:24" x14ac:dyDescent="0.25">
      <c r="A77" s="49">
        <v>220219000022</v>
      </c>
      <c r="B77" s="50" t="s">
        <v>9</v>
      </c>
      <c r="C77" s="57">
        <v>44562</v>
      </c>
      <c r="D77" s="49">
        <v>22022000336</v>
      </c>
      <c r="E77" s="50" t="s">
        <v>1459</v>
      </c>
      <c r="F77" s="58">
        <v>3000</v>
      </c>
      <c r="G77" s="50" t="s">
        <v>58</v>
      </c>
      <c r="H77" s="50" t="s">
        <v>1460</v>
      </c>
      <c r="I77" s="49" t="s">
        <v>107</v>
      </c>
      <c r="J77" s="50" t="s">
        <v>109</v>
      </c>
      <c r="K77" s="50" t="s">
        <v>109</v>
      </c>
      <c r="L77" s="50" t="s">
        <v>12</v>
      </c>
      <c r="M77" s="50" t="s">
        <v>13</v>
      </c>
      <c r="N77" s="50" t="s">
        <v>14</v>
      </c>
      <c r="O77" s="48" t="s">
        <v>620</v>
      </c>
      <c r="P77" s="45" t="s">
        <v>453</v>
      </c>
      <c r="Q77" s="35" t="str">
        <f>MID(Tabla1[[#This Row],[Aplicación]],14,1)</f>
        <v>2</v>
      </c>
      <c r="R77" s="35" t="s">
        <v>441</v>
      </c>
      <c r="S77" s="35" t="str">
        <f>MID(Tabla1[[#This Row],[Aplicación]],6,2)</f>
        <v>02</v>
      </c>
      <c r="T77" s="35" t="str">
        <f>VLOOKUP(Tabla1[[#This Row],[AREA]],Hoja1!A:B,2,FALSE)</f>
        <v>02. Planeamiento urbanístico y vivienda</v>
      </c>
      <c r="U77" s="35" t="str">
        <f>MID(Tabla1[[#This Row],[Aplicación]],9,4)</f>
        <v>1501</v>
      </c>
      <c r="V77" s="35" t="str">
        <f>VLOOKUP(Tabla1[[#This Row],[PROGRAMA]],Hoja1!A:B,2,FALSE)</f>
        <v>1501. Dirección del área de urbanismo</v>
      </c>
      <c r="W77" s="35" t="str">
        <f>MID(Tabla1[[#This Row],[Aplicación]],14,2)</f>
        <v>20</v>
      </c>
      <c r="X77" s="35" t="str">
        <f>MID(Tabla1[[#This Row],[Aplicación]],14,6)</f>
        <v>203</v>
      </c>
    </row>
    <row r="78" spans="1:24" x14ac:dyDescent="0.25">
      <c r="A78" s="49">
        <v>220219000023</v>
      </c>
      <c r="B78" s="50" t="s">
        <v>9</v>
      </c>
      <c r="C78" s="57">
        <v>44562</v>
      </c>
      <c r="D78" s="49">
        <v>22022000337</v>
      </c>
      <c r="E78" s="50" t="s">
        <v>1461</v>
      </c>
      <c r="F78" s="58">
        <v>250</v>
      </c>
      <c r="G78" s="50" t="s">
        <v>58</v>
      </c>
      <c r="H78" s="50" t="s">
        <v>1462</v>
      </c>
      <c r="I78" s="49" t="s">
        <v>107</v>
      </c>
      <c r="J78" s="50" t="s">
        <v>109</v>
      </c>
      <c r="K78" s="50" t="s">
        <v>109</v>
      </c>
      <c r="L78" s="50" t="s">
        <v>12</v>
      </c>
      <c r="M78" s="50" t="s">
        <v>13</v>
      </c>
      <c r="N78" s="50" t="s">
        <v>14</v>
      </c>
      <c r="O78" s="48" t="s">
        <v>620</v>
      </c>
      <c r="P78" s="45" t="s">
        <v>453</v>
      </c>
      <c r="Q78" s="35" t="str">
        <f>MID(Tabla1[[#This Row],[Aplicación]],14,1)</f>
        <v>2</v>
      </c>
      <c r="R78" s="35" t="s">
        <v>441</v>
      </c>
      <c r="S78" s="35" t="str">
        <f>MID(Tabla1[[#This Row],[Aplicación]],6,2)</f>
        <v>11</v>
      </c>
      <c r="T78" s="35" t="str">
        <f>VLOOKUP(Tabla1[[#This Row],[AREA]],Hoja1!A:B,2,FALSE)</f>
        <v>11. Salud pública y seguridad ciudadana</v>
      </c>
      <c r="U78" s="35" t="str">
        <f>MID(Tabla1[[#This Row],[Aplicación]],9,4)</f>
        <v>1621</v>
      </c>
      <c r="V78" s="35" t="str">
        <f>VLOOKUP(Tabla1[[#This Row],[PROGRAMA]],Hoja1!A:B,2,FALSE)</f>
        <v>1621. Servicio de limpieza</v>
      </c>
      <c r="W78" s="35" t="str">
        <f>MID(Tabla1[[#This Row],[Aplicación]],14,2)</f>
        <v>21</v>
      </c>
      <c r="X78" s="35" t="str">
        <f>MID(Tabla1[[#This Row],[Aplicación]],14,6)</f>
        <v>213</v>
      </c>
    </row>
    <row r="79" spans="1:24" x14ac:dyDescent="0.25">
      <c r="A79" s="49">
        <v>220219000024</v>
      </c>
      <c r="B79" s="50" t="s">
        <v>9</v>
      </c>
      <c r="C79" s="57">
        <v>44562</v>
      </c>
      <c r="D79" s="49">
        <v>22022000338</v>
      </c>
      <c r="E79" s="50" t="s">
        <v>1463</v>
      </c>
      <c r="F79" s="58">
        <v>200</v>
      </c>
      <c r="G79" s="50" t="s">
        <v>58</v>
      </c>
      <c r="H79" s="50" t="s">
        <v>1464</v>
      </c>
      <c r="I79" s="49" t="s">
        <v>107</v>
      </c>
      <c r="J79" s="50" t="s">
        <v>109</v>
      </c>
      <c r="K79" s="50" t="s">
        <v>109</v>
      </c>
      <c r="L79" s="50" t="s">
        <v>15</v>
      </c>
      <c r="M79" s="50" t="s">
        <v>13</v>
      </c>
      <c r="N79" s="50" t="s">
        <v>14</v>
      </c>
      <c r="O79" s="48" t="s">
        <v>620</v>
      </c>
      <c r="P79" s="45" t="s">
        <v>453</v>
      </c>
      <c r="Q79" s="35" t="str">
        <f>MID(Tabla1[[#This Row],[Aplicación]],14,1)</f>
        <v>2</v>
      </c>
      <c r="R79" s="35" t="s">
        <v>441</v>
      </c>
      <c r="S79" s="35" t="str">
        <f>MID(Tabla1[[#This Row],[Aplicación]],6,2)</f>
        <v>02</v>
      </c>
      <c r="T79" s="35" t="str">
        <f>VLOOKUP(Tabla1[[#This Row],[AREA]],Hoja1!A:B,2,FALSE)</f>
        <v>02. Planeamiento urbanístico y vivienda</v>
      </c>
      <c r="U79" s="35" t="str">
        <f>MID(Tabla1[[#This Row],[Aplicación]],9,4)</f>
        <v>9331</v>
      </c>
      <c r="V79" s="35" t="str">
        <f>VLOOKUP(Tabla1[[#This Row],[PROGRAMA]],Hoja1!A:B,2,FALSE)</f>
        <v>9331. Gestión del patrimonio</v>
      </c>
      <c r="W79" s="35" t="str">
        <f>MID(Tabla1[[#This Row],[Aplicación]],14,2)</f>
        <v>20</v>
      </c>
      <c r="X79" s="35" t="str">
        <f>MID(Tabla1[[#This Row],[Aplicación]],14,6)</f>
        <v>203</v>
      </c>
    </row>
    <row r="80" spans="1:24" x14ac:dyDescent="0.25">
      <c r="A80" s="49">
        <v>220219000025</v>
      </c>
      <c r="B80" s="50" t="s">
        <v>9</v>
      </c>
      <c r="C80" s="57">
        <v>44562</v>
      </c>
      <c r="D80" s="49">
        <v>22022000339</v>
      </c>
      <c r="E80" s="50" t="s">
        <v>1465</v>
      </c>
      <c r="F80" s="58">
        <v>1200</v>
      </c>
      <c r="G80" s="50" t="s">
        <v>58</v>
      </c>
      <c r="H80" s="50" t="s">
        <v>1466</v>
      </c>
      <c r="I80" s="49" t="s">
        <v>107</v>
      </c>
      <c r="J80" s="50" t="s">
        <v>109</v>
      </c>
      <c r="K80" s="50" t="s">
        <v>109</v>
      </c>
      <c r="L80" s="50" t="s">
        <v>15</v>
      </c>
      <c r="M80" s="50" t="s">
        <v>13</v>
      </c>
      <c r="N80" s="50" t="s">
        <v>14</v>
      </c>
      <c r="O80" s="48" t="s">
        <v>620</v>
      </c>
      <c r="P80" s="45" t="s">
        <v>453</v>
      </c>
      <c r="Q80" s="35" t="str">
        <f>MID(Tabla1[[#This Row],[Aplicación]],14,1)</f>
        <v>2</v>
      </c>
      <c r="R80" s="35" t="s">
        <v>441</v>
      </c>
      <c r="S80" s="35" t="str">
        <f>MID(Tabla1[[#This Row],[Aplicación]],6,2)</f>
        <v>02</v>
      </c>
      <c r="T80" s="35" t="str">
        <f>VLOOKUP(Tabla1[[#This Row],[AREA]],Hoja1!A:B,2,FALSE)</f>
        <v>02. Planeamiento urbanístico y vivienda</v>
      </c>
      <c r="U80" s="35" t="str">
        <f>MID(Tabla1[[#This Row],[Aplicación]],9,4)</f>
        <v>9331</v>
      </c>
      <c r="V80" s="35" t="str">
        <f>VLOOKUP(Tabla1[[#This Row],[PROGRAMA]],Hoja1!A:B,2,FALSE)</f>
        <v>9331. Gestión del patrimonio</v>
      </c>
      <c r="W80" s="35" t="str">
        <f>MID(Tabla1[[#This Row],[Aplicación]],14,2)</f>
        <v>21</v>
      </c>
      <c r="X80" s="35" t="str">
        <f>MID(Tabla1[[#This Row],[Aplicación]],14,6)</f>
        <v>213</v>
      </c>
    </row>
    <row r="81" spans="1:24" x14ac:dyDescent="0.25">
      <c r="A81" s="49">
        <v>220220008631</v>
      </c>
      <c r="B81" s="50" t="s">
        <v>9</v>
      </c>
      <c r="C81" s="57">
        <v>44631</v>
      </c>
      <c r="D81" s="49">
        <v>22022002716</v>
      </c>
      <c r="E81" s="50" t="s">
        <v>1467</v>
      </c>
      <c r="F81" s="58">
        <v>1700</v>
      </c>
      <c r="G81" s="50" t="s">
        <v>1468</v>
      </c>
      <c r="H81" s="50" t="s">
        <v>1469</v>
      </c>
      <c r="I81" s="49" t="s">
        <v>107</v>
      </c>
      <c r="J81" s="50" t="s">
        <v>109</v>
      </c>
      <c r="K81" s="50" t="s">
        <v>109</v>
      </c>
      <c r="L81" s="50" t="s">
        <v>17</v>
      </c>
      <c r="M81" s="50" t="s">
        <v>10</v>
      </c>
      <c r="N81" s="50" t="s">
        <v>11</v>
      </c>
      <c r="O81" s="48" t="s">
        <v>632</v>
      </c>
      <c r="P81" s="45" t="s">
        <v>453</v>
      </c>
      <c r="Q81" s="35" t="str">
        <f>MID(Tabla1[[#This Row],[Aplicación]],14,1)</f>
        <v>2</v>
      </c>
      <c r="R81" s="35" t="s">
        <v>441</v>
      </c>
      <c r="S81" s="35" t="str">
        <f>MID(Tabla1[[#This Row],[Aplicación]],6,2)</f>
        <v>09</v>
      </c>
      <c r="T81" s="35" t="str">
        <f>VLOOKUP(Tabla1[[#This Row],[AREA]],Hoja1!A:B,2,FALSE)</f>
        <v>09. Cultura y turismo</v>
      </c>
      <c r="U81" s="35" t="str">
        <f>MID(Tabla1[[#This Row],[Aplicación]],9,4)</f>
        <v>3341</v>
      </c>
      <c r="V81" s="35" t="str">
        <f>VLOOKUP(Tabla1[[#This Row],[PROGRAMA]],Hoja1!A:B,2,FALSE)</f>
        <v>3341. Coordinación de políticas culturales</v>
      </c>
      <c r="W81" s="35" t="str">
        <f>MID(Tabla1[[#This Row],[Aplicación]],14,2)</f>
        <v>22</v>
      </c>
      <c r="X81" s="35" t="str">
        <f>MID(Tabla1[[#This Row],[Aplicación]],14,6)</f>
        <v>22609</v>
      </c>
    </row>
    <row r="82" spans="1:24" x14ac:dyDescent="0.25">
      <c r="A82" s="49">
        <v>220219000026</v>
      </c>
      <c r="B82" s="50" t="s">
        <v>9</v>
      </c>
      <c r="C82" s="57">
        <v>44562</v>
      </c>
      <c r="D82" s="49">
        <v>22022000340</v>
      </c>
      <c r="E82" s="50" t="s">
        <v>1470</v>
      </c>
      <c r="F82" s="58">
        <v>450</v>
      </c>
      <c r="G82" s="50" t="s">
        <v>58</v>
      </c>
      <c r="H82" s="50" t="s">
        <v>566</v>
      </c>
      <c r="I82" s="49" t="s">
        <v>107</v>
      </c>
      <c r="J82" s="50" t="s">
        <v>109</v>
      </c>
      <c r="K82" s="50" t="s">
        <v>109</v>
      </c>
      <c r="L82" s="50" t="s">
        <v>15</v>
      </c>
      <c r="M82" s="50" t="s">
        <v>13</v>
      </c>
      <c r="N82" s="50" t="s">
        <v>16</v>
      </c>
      <c r="O82" s="48" t="s">
        <v>620</v>
      </c>
      <c r="P82" s="45" t="s">
        <v>453</v>
      </c>
      <c r="Q82" s="35" t="str">
        <f>MID(Tabla1[[#This Row],[Aplicación]],14,1)</f>
        <v>2</v>
      </c>
      <c r="R82" s="35" t="s">
        <v>441</v>
      </c>
      <c r="S82" s="35" t="str">
        <f>MID(Tabla1[[#This Row],[Aplicación]],6,2)</f>
        <v>04</v>
      </c>
      <c r="T82" s="35" t="str">
        <f>VLOOKUP(Tabla1[[#This Row],[AREA]],Hoja1!A:B,2,FALSE)</f>
        <v>04. Planificación y recursos</v>
      </c>
      <c r="U82" s="35" t="str">
        <f>MID(Tabla1[[#This Row],[Aplicación]],9,4)</f>
        <v>9209</v>
      </c>
      <c r="V82" s="35" t="str">
        <f>VLOOKUP(Tabla1[[#This Row],[PROGRAMA]],Hoja1!A:B,2,FALSE)</f>
        <v>9209. Dirección del area de hacienda y función pública</v>
      </c>
      <c r="W82" s="35" t="str">
        <f>MID(Tabla1[[#This Row],[Aplicación]],14,2)</f>
        <v>20</v>
      </c>
      <c r="X82" s="35" t="str">
        <f>MID(Tabla1[[#This Row],[Aplicación]],14,6)</f>
        <v>203</v>
      </c>
    </row>
    <row r="83" spans="1:24" x14ac:dyDescent="0.25">
      <c r="A83" s="49">
        <v>220219000027</v>
      </c>
      <c r="B83" s="50" t="s">
        <v>9</v>
      </c>
      <c r="C83" s="57">
        <v>44562</v>
      </c>
      <c r="D83" s="49">
        <v>22022000341</v>
      </c>
      <c r="E83" s="50" t="s">
        <v>1471</v>
      </c>
      <c r="F83" s="58">
        <v>1500</v>
      </c>
      <c r="G83" s="50" t="s">
        <v>58</v>
      </c>
      <c r="H83" s="50" t="s">
        <v>1472</v>
      </c>
      <c r="I83" s="49" t="s">
        <v>107</v>
      </c>
      <c r="J83" s="50" t="s">
        <v>109</v>
      </c>
      <c r="K83" s="50" t="s">
        <v>109</v>
      </c>
      <c r="L83" s="50" t="s">
        <v>12</v>
      </c>
      <c r="M83" s="50" t="s">
        <v>13</v>
      </c>
      <c r="N83" s="50" t="s">
        <v>14</v>
      </c>
      <c r="O83" s="48" t="s">
        <v>620</v>
      </c>
      <c r="P83" s="45" t="s">
        <v>453</v>
      </c>
      <c r="Q83" s="35" t="str">
        <f>MID(Tabla1[[#This Row],[Aplicación]],14,1)</f>
        <v>2</v>
      </c>
      <c r="R83" s="35" t="s">
        <v>441</v>
      </c>
      <c r="S83" s="35" t="str">
        <f>MID(Tabla1[[#This Row],[Aplicación]],6,2)</f>
        <v>11</v>
      </c>
      <c r="T83" s="35" t="str">
        <f>VLOOKUP(Tabla1[[#This Row],[AREA]],Hoja1!A:B,2,FALSE)</f>
        <v>11. Salud pública y seguridad ciudadana</v>
      </c>
      <c r="U83" s="35" t="str">
        <f>MID(Tabla1[[#This Row],[Aplicación]],9,4)</f>
        <v>1321</v>
      </c>
      <c r="V83" s="35" t="str">
        <f>VLOOKUP(Tabla1[[#This Row],[PROGRAMA]],Hoja1!A:B,2,FALSE)</f>
        <v>1321. Policía municipal</v>
      </c>
      <c r="W83" s="35" t="str">
        <f>MID(Tabla1[[#This Row],[Aplicación]],14,2)</f>
        <v>21</v>
      </c>
      <c r="X83" s="35" t="str">
        <f>MID(Tabla1[[#This Row],[Aplicación]],14,6)</f>
        <v>213</v>
      </c>
    </row>
    <row r="84" spans="1:24" x14ac:dyDescent="0.25">
      <c r="A84" s="49">
        <v>220219000028</v>
      </c>
      <c r="B84" s="50" t="s">
        <v>9</v>
      </c>
      <c r="C84" s="57">
        <v>44562</v>
      </c>
      <c r="D84" s="49">
        <v>22022000342</v>
      </c>
      <c r="E84" s="50" t="s">
        <v>1473</v>
      </c>
      <c r="F84" s="58">
        <v>335.8</v>
      </c>
      <c r="G84" s="50" t="s">
        <v>58</v>
      </c>
      <c r="H84" s="50" t="s">
        <v>1474</v>
      </c>
      <c r="I84" s="49" t="s">
        <v>107</v>
      </c>
      <c r="J84" s="50" t="s">
        <v>109</v>
      </c>
      <c r="K84" s="50" t="s">
        <v>109</v>
      </c>
      <c r="L84" s="50" t="s">
        <v>12</v>
      </c>
      <c r="M84" s="50" t="s">
        <v>13</v>
      </c>
      <c r="N84" s="50" t="s">
        <v>16</v>
      </c>
      <c r="O84" s="48" t="s">
        <v>620</v>
      </c>
      <c r="P84" s="45" t="s">
        <v>453</v>
      </c>
      <c r="Q84" s="35" t="str">
        <f>MID(Tabla1[[#This Row],[Aplicación]],14,1)</f>
        <v>2</v>
      </c>
      <c r="R84" s="35" t="s">
        <v>441</v>
      </c>
      <c r="S84" s="35" t="str">
        <f>MID(Tabla1[[#This Row],[Aplicación]],6,2)</f>
        <v>06</v>
      </c>
      <c r="T84" s="35" t="str">
        <f>VLOOKUP(Tabla1[[#This Row],[AREA]],Hoja1!A:B,2,FALSE)</f>
        <v>06. Educación, infancia, juventud e igualdad</v>
      </c>
      <c r="U84" s="35" t="str">
        <f>MID(Tabla1[[#This Row],[Aplicación]],9,4)</f>
        <v>2315</v>
      </c>
      <c r="V84" s="35" t="str">
        <f>VLOOKUP(Tabla1[[#This Row],[PROGRAMA]],Hoja1!A:B,2,FALSE)</f>
        <v>2315. Políticas de Igualdad e infancia</v>
      </c>
      <c r="W84" s="35" t="str">
        <f>MID(Tabla1[[#This Row],[Aplicación]],14,2)</f>
        <v>21</v>
      </c>
      <c r="X84" s="35" t="str">
        <f>MID(Tabla1[[#This Row],[Aplicación]],14,6)</f>
        <v>213</v>
      </c>
    </row>
    <row r="85" spans="1:24" x14ac:dyDescent="0.25">
      <c r="A85" s="49">
        <v>220219000029</v>
      </c>
      <c r="B85" s="50" t="s">
        <v>9</v>
      </c>
      <c r="C85" s="57">
        <v>44562</v>
      </c>
      <c r="D85" s="49">
        <v>22022000343</v>
      </c>
      <c r="E85" s="50" t="s">
        <v>1475</v>
      </c>
      <c r="F85" s="58">
        <v>335.8</v>
      </c>
      <c r="G85" s="50" t="s">
        <v>58</v>
      </c>
      <c r="H85" s="50" t="s">
        <v>1476</v>
      </c>
      <c r="I85" s="49" t="s">
        <v>107</v>
      </c>
      <c r="J85" s="50" t="s">
        <v>109</v>
      </c>
      <c r="K85" s="50" t="s">
        <v>109</v>
      </c>
      <c r="L85" s="50" t="s">
        <v>12</v>
      </c>
      <c r="M85" s="50" t="s">
        <v>13</v>
      </c>
      <c r="N85" s="50" t="s">
        <v>16</v>
      </c>
      <c r="O85" s="48" t="s">
        <v>620</v>
      </c>
      <c r="P85" s="45" t="s">
        <v>453</v>
      </c>
      <c r="Q85" s="35" t="str">
        <f>MID(Tabla1[[#This Row],[Aplicación]],14,1)</f>
        <v>2</v>
      </c>
      <c r="R85" s="35" t="s">
        <v>441</v>
      </c>
      <c r="S85" s="35" t="str">
        <f>MID(Tabla1[[#This Row],[Aplicación]],6,2)</f>
        <v>06</v>
      </c>
      <c r="T85" s="35" t="str">
        <f>VLOOKUP(Tabla1[[#This Row],[AREA]],Hoja1!A:B,2,FALSE)</f>
        <v>06. Educación, infancia, juventud e igualdad</v>
      </c>
      <c r="U85" s="35" t="str">
        <f>MID(Tabla1[[#This Row],[Aplicación]],9,4)</f>
        <v>3232</v>
      </c>
      <c r="V85" s="35" t="str">
        <f>VLOOKUP(Tabla1[[#This Row],[PROGRAMA]],Hoja1!A:B,2,FALSE)</f>
        <v>3232. Conservación y mantenimiento centros educación infantil y primaria</v>
      </c>
      <c r="W85" s="35" t="str">
        <f>MID(Tabla1[[#This Row],[Aplicación]],14,2)</f>
        <v>21</v>
      </c>
      <c r="X85" s="35" t="str">
        <f>MID(Tabla1[[#This Row],[Aplicación]],14,6)</f>
        <v>213</v>
      </c>
    </row>
    <row r="86" spans="1:24" x14ac:dyDescent="0.25">
      <c r="A86" s="49">
        <v>220219000030</v>
      </c>
      <c r="B86" s="50" t="s">
        <v>9</v>
      </c>
      <c r="C86" s="57">
        <v>44562</v>
      </c>
      <c r="D86" s="49">
        <v>22022000344</v>
      </c>
      <c r="E86" s="50" t="s">
        <v>1477</v>
      </c>
      <c r="F86" s="58">
        <v>500</v>
      </c>
      <c r="G86" s="50" t="s">
        <v>58</v>
      </c>
      <c r="H86" s="50" t="s">
        <v>1478</v>
      </c>
      <c r="I86" s="49" t="s">
        <v>107</v>
      </c>
      <c r="J86" s="50" t="s">
        <v>109</v>
      </c>
      <c r="K86" s="50" t="s">
        <v>109</v>
      </c>
      <c r="L86" s="50" t="s">
        <v>15</v>
      </c>
      <c r="M86" s="50" t="s">
        <v>13</v>
      </c>
      <c r="N86" s="50" t="s">
        <v>14</v>
      </c>
      <c r="O86" s="48" t="s">
        <v>620</v>
      </c>
      <c r="P86" s="45" t="s">
        <v>453</v>
      </c>
      <c r="Q86" s="35" t="str">
        <f>MID(Tabla1[[#This Row],[Aplicación]],14,1)</f>
        <v>2</v>
      </c>
      <c r="R86" s="35" t="s">
        <v>441</v>
      </c>
      <c r="S86" s="35" t="str">
        <f>MID(Tabla1[[#This Row],[Aplicación]],6,2)</f>
        <v>05</v>
      </c>
      <c r="T86" s="35" t="str">
        <f>VLOOKUP(Tabla1[[#This Row],[AREA]],Hoja1!A:B,2,FALSE)</f>
        <v>05. Innovación, desarrollo económico, empleo y comercio</v>
      </c>
      <c r="U86" s="35" t="str">
        <f>MID(Tabla1[[#This Row],[Aplicación]],9,4)</f>
        <v>4301</v>
      </c>
      <c r="V86" s="35" t="str">
        <f>VLOOKUP(Tabla1[[#This Row],[PROGRAMA]],Hoja1!A:B,2,FALSE)</f>
        <v>4301. Dirección del área de innovación</v>
      </c>
      <c r="W86" s="35" t="str">
        <f>MID(Tabla1[[#This Row],[Aplicación]],14,2)</f>
        <v>20</v>
      </c>
      <c r="X86" s="35" t="str">
        <f>MID(Tabla1[[#This Row],[Aplicación]],14,6)</f>
        <v>203</v>
      </c>
    </row>
    <row r="87" spans="1:24" x14ac:dyDescent="0.25">
      <c r="A87" s="49">
        <v>220219000033</v>
      </c>
      <c r="B87" s="50" t="s">
        <v>9</v>
      </c>
      <c r="C87" s="57">
        <v>44562</v>
      </c>
      <c r="D87" s="49">
        <v>22022000347</v>
      </c>
      <c r="E87" s="50" t="s">
        <v>1479</v>
      </c>
      <c r="F87" s="58">
        <v>1000</v>
      </c>
      <c r="G87" s="50" t="s">
        <v>58</v>
      </c>
      <c r="H87" s="50" t="s">
        <v>1480</v>
      </c>
      <c r="I87" s="49" t="s">
        <v>107</v>
      </c>
      <c r="J87" s="50" t="s">
        <v>109</v>
      </c>
      <c r="K87" s="50" t="s">
        <v>109</v>
      </c>
      <c r="L87" s="50" t="s">
        <v>15</v>
      </c>
      <c r="M87" s="50" t="s">
        <v>13</v>
      </c>
      <c r="N87" s="50" t="s">
        <v>14</v>
      </c>
      <c r="O87" s="48" t="s">
        <v>620</v>
      </c>
      <c r="P87" s="45" t="s">
        <v>453</v>
      </c>
      <c r="Q87" s="35" t="str">
        <f>MID(Tabla1[[#This Row],[Aplicación]],14,1)</f>
        <v>2</v>
      </c>
      <c r="R87" s="35" t="s">
        <v>441</v>
      </c>
      <c r="S87" s="35" t="str">
        <f>MID(Tabla1[[#This Row],[Aplicación]],6,2)</f>
        <v>04</v>
      </c>
      <c r="T87" s="35" t="str">
        <f>VLOOKUP(Tabla1[[#This Row],[AREA]],Hoja1!A:B,2,FALSE)</f>
        <v>04. Planificación y recursos</v>
      </c>
      <c r="U87" s="35" t="str">
        <f>MID(Tabla1[[#This Row],[Aplicación]],9,4)</f>
        <v>9321</v>
      </c>
      <c r="V87" s="35" t="str">
        <f>VLOOKUP(Tabla1[[#This Row],[PROGRAMA]],Hoja1!A:B,2,FALSE)</f>
        <v>9321. Gestión de ingresos e inspección</v>
      </c>
      <c r="W87" s="35" t="str">
        <f>MID(Tabla1[[#This Row],[Aplicación]],14,2)</f>
        <v>20</v>
      </c>
      <c r="X87" s="35" t="str">
        <f>MID(Tabla1[[#This Row],[Aplicación]],14,6)</f>
        <v>203</v>
      </c>
    </row>
    <row r="88" spans="1:24" x14ac:dyDescent="0.25">
      <c r="A88" s="49">
        <v>220219000036</v>
      </c>
      <c r="B88" s="50" t="s">
        <v>9</v>
      </c>
      <c r="C88" s="57">
        <v>44562</v>
      </c>
      <c r="D88" s="49">
        <v>22022000350</v>
      </c>
      <c r="E88" s="50" t="s">
        <v>1481</v>
      </c>
      <c r="F88" s="58">
        <v>300</v>
      </c>
      <c r="G88" s="50" t="s">
        <v>58</v>
      </c>
      <c r="H88" s="50" t="s">
        <v>1482</v>
      </c>
      <c r="I88" s="49" t="s">
        <v>107</v>
      </c>
      <c r="J88" s="50" t="s">
        <v>109</v>
      </c>
      <c r="K88" s="50" t="s">
        <v>109</v>
      </c>
      <c r="L88" s="50" t="s">
        <v>15</v>
      </c>
      <c r="M88" s="50" t="s">
        <v>13</v>
      </c>
      <c r="N88" s="50" t="s">
        <v>14</v>
      </c>
      <c r="O88" s="48" t="s">
        <v>620</v>
      </c>
      <c r="P88" s="45" t="s">
        <v>453</v>
      </c>
      <c r="Q88" s="35" t="str">
        <f>MID(Tabla1[[#This Row],[Aplicación]],14,1)</f>
        <v>2</v>
      </c>
      <c r="R88" s="35" t="s">
        <v>441</v>
      </c>
      <c r="S88" s="35" t="str">
        <f>MID(Tabla1[[#This Row],[Aplicación]],6,2)</f>
        <v>01</v>
      </c>
      <c r="T88" s="35" t="str">
        <f>VLOOKUP(Tabla1[[#This Row],[AREA]],Hoja1!A:B,2,FALSE)</f>
        <v>01. Alcaldía</v>
      </c>
      <c r="U88" s="35" t="str">
        <f>MID(Tabla1[[#This Row],[Aplicación]],9,4)</f>
        <v>9201</v>
      </c>
      <c r="V88" s="35" t="str">
        <f>VLOOKUP(Tabla1[[#This Row],[PROGRAMA]],Hoja1!A:B,2,FALSE)</f>
        <v>9201. Secretaría General</v>
      </c>
      <c r="W88" s="35" t="str">
        <f>MID(Tabla1[[#This Row],[Aplicación]],14,2)</f>
        <v>20</v>
      </c>
      <c r="X88" s="35" t="str">
        <f>MID(Tabla1[[#This Row],[Aplicación]],14,6)</f>
        <v>203</v>
      </c>
    </row>
    <row r="89" spans="1:24" x14ac:dyDescent="0.25">
      <c r="A89" s="49">
        <v>220219000037</v>
      </c>
      <c r="B89" s="50" t="s">
        <v>9</v>
      </c>
      <c r="C89" s="57">
        <v>44562</v>
      </c>
      <c r="D89" s="49">
        <v>22022002571</v>
      </c>
      <c r="E89" s="50" t="s">
        <v>1483</v>
      </c>
      <c r="F89" s="58">
        <v>300</v>
      </c>
      <c r="G89" s="50" t="s">
        <v>58</v>
      </c>
      <c r="H89" s="50" t="s">
        <v>1484</v>
      </c>
      <c r="I89" s="49" t="s">
        <v>107</v>
      </c>
      <c r="J89" s="50" t="s">
        <v>109</v>
      </c>
      <c r="K89" s="50" t="s">
        <v>109</v>
      </c>
      <c r="L89" s="50" t="s">
        <v>12</v>
      </c>
      <c r="M89" s="50" t="s">
        <v>13</v>
      </c>
      <c r="N89" s="50" t="s">
        <v>14</v>
      </c>
      <c r="O89" s="48" t="s">
        <v>620</v>
      </c>
      <c r="P89" s="45" t="s">
        <v>453</v>
      </c>
      <c r="Q89" s="35" t="str">
        <f>MID(Tabla1[[#This Row],[Aplicación]],14,1)</f>
        <v>2</v>
      </c>
      <c r="R89" s="35" t="s">
        <v>441</v>
      </c>
      <c r="S89" s="35" t="str">
        <f>MID(Tabla1[[#This Row],[Aplicación]],6,2)</f>
        <v>01</v>
      </c>
      <c r="T89" s="35" t="str">
        <f>VLOOKUP(Tabla1[[#This Row],[AREA]],Hoja1!A:B,2,FALSE)</f>
        <v>01. Alcaldía</v>
      </c>
      <c r="U89" s="35" t="str">
        <f>MID(Tabla1[[#This Row],[Aplicación]],9,4)</f>
        <v>9201</v>
      </c>
      <c r="V89" s="35" t="str">
        <f>VLOOKUP(Tabla1[[#This Row],[PROGRAMA]],Hoja1!A:B,2,FALSE)</f>
        <v>9201. Secretaría General</v>
      </c>
      <c r="W89" s="35" t="str">
        <f>MID(Tabla1[[#This Row],[Aplicación]],14,2)</f>
        <v>21</v>
      </c>
      <c r="X89" s="35" t="str">
        <f>MID(Tabla1[[#This Row],[Aplicación]],14,6)</f>
        <v>213</v>
      </c>
    </row>
    <row r="90" spans="1:24" x14ac:dyDescent="0.25">
      <c r="A90" s="49">
        <v>220219000041</v>
      </c>
      <c r="B90" s="50" t="s">
        <v>9</v>
      </c>
      <c r="C90" s="57">
        <v>44562</v>
      </c>
      <c r="D90" s="49">
        <v>22022000353</v>
      </c>
      <c r="E90" s="50" t="s">
        <v>1485</v>
      </c>
      <c r="F90" s="58">
        <v>400</v>
      </c>
      <c r="G90" s="50" t="s">
        <v>58</v>
      </c>
      <c r="H90" s="50" t="s">
        <v>1486</v>
      </c>
      <c r="I90" s="49" t="s">
        <v>107</v>
      </c>
      <c r="J90" s="50" t="s">
        <v>109</v>
      </c>
      <c r="K90" s="50" t="s">
        <v>109</v>
      </c>
      <c r="L90" s="50" t="s">
        <v>12</v>
      </c>
      <c r="M90" s="50" t="s">
        <v>13</v>
      </c>
      <c r="N90" s="50" t="s">
        <v>16</v>
      </c>
      <c r="O90" s="48" t="s">
        <v>620</v>
      </c>
      <c r="P90" s="45" t="s">
        <v>453</v>
      </c>
      <c r="Q90" s="35" t="str">
        <f>MID(Tabla1[[#This Row],[Aplicación]],14,1)</f>
        <v>2</v>
      </c>
      <c r="R90" s="35" t="s">
        <v>441</v>
      </c>
      <c r="S90" s="35" t="str">
        <f>MID(Tabla1[[#This Row],[Aplicación]],6,2)</f>
        <v>11</v>
      </c>
      <c r="T90" s="35" t="str">
        <f>VLOOKUP(Tabla1[[#This Row],[AREA]],Hoja1!A:B,2,FALSE)</f>
        <v>11. Salud pública y seguridad ciudadana</v>
      </c>
      <c r="U90" s="35" t="str">
        <f>MID(Tabla1[[#This Row],[Aplicación]],9,4)</f>
        <v>3111</v>
      </c>
      <c r="V90" s="35" t="str">
        <f>VLOOKUP(Tabla1[[#This Row],[PROGRAMA]],Hoja1!A:B,2,FALSE)</f>
        <v>3111. Protección de la salubridad pública</v>
      </c>
      <c r="W90" s="35" t="str">
        <f>MID(Tabla1[[#This Row],[Aplicación]],14,2)</f>
        <v>20</v>
      </c>
      <c r="X90" s="35" t="str">
        <f>MID(Tabla1[[#This Row],[Aplicación]],14,6)</f>
        <v>203</v>
      </c>
    </row>
    <row r="91" spans="1:24" x14ac:dyDescent="0.25">
      <c r="A91" s="49">
        <v>220219000042</v>
      </c>
      <c r="B91" s="50" t="s">
        <v>9</v>
      </c>
      <c r="C91" s="57">
        <v>44562</v>
      </c>
      <c r="D91" s="49">
        <v>22022000354</v>
      </c>
      <c r="E91" s="50" t="s">
        <v>1487</v>
      </c>
      <c r="F91" s="58">
        <v>1500</v>
      </c>
      <c r="G91" s="50" t="s">
        <v>58</v>
      </c>
      <c r="H91" s="50" t="s">
        <v>647</v>
      </c>
      <c r="I91" s="49" t="s">
        <v>107</v>
      </c>
      <c r="J91" s="50" t="s">
        <v>109</v>
      </c>
      <c r="K91" s="50" t="s">
        <v>109</v>
      </c>
      <c r="L91" s="50" t="s">
        <v>12</v>
      </c>
      <c r="M91" s="50" t="s">
        <v>13</v>
      </c>
      <c r="N91" s="50" t="s">
        <v>14</v>
      </c>
      <c r="O91" s="48" t="s">
        <v>620</v>
      </c>
      <c r="P91" s="45" t="s">
        <v>453</v>
      </c>
      <c r="Q91" s="35" t="str">
        <f>MID(Tabla1[[#This Row],[Aplicación]],14,1)</f>
        <v>2</v>
      </c>
      <c r="R91" s="35" t="s">
        <v>441</v>
      </c>
      <c r="S91" s="35" t="str">
        <f>MID(Tabla1[[#This Row],[Aplicación]],6,2)</f>
        <v>07</v>
      </c>
      <c r="T91" s="35" t="str">
        <f>VLOOKUP(Tabla1[[#This Row],[AREA]],Hoja1!A:B,2,FALSE)</f>
        <v>07. Medio ambiente y desarrollo sostenible</v>
      </c>
      <c r="U91" s="35" t="str">
        <f>MID(Tabla1[[#This Row],[Aplicación]],9,4)</f>
        <v>1721</v>
      </c>
      <c r="V91" s="35" t="str">
        <f>VLOOKUP(Tabla1[[#This Row],[PROGRAMA]],Hoja1!A:B,2,FALSE)</f>
        <v>1721. Protección del medio ambiente</v>
      </c>
      <c r="W91" s="35" t="str">
        <f>MID(Tabla1[[#This Row],[Aplicación]],14,2)</f>
        <v>20</v>
      </c>
      <c r="X91" s="35" t="str">
        <f>MID(Tabla1[[#This Row],[Aplicación]],14,6)</f>
        <v>203</v>
      </c>
    </row>
    <row r="92" spans="1:24" x14ac:dyDescent="0.25">
      <c r="A92" s="49">
        <v>220219000048</v>
      </c>
      <c r="B92" s="50" t="s">
        <v>9</v>
      </c>
      <c r="C92" s="57">
        <v>44562</v>
      </c>
      <c r="D92" s="49">
        <v>22022000361</v>
      </c>
      <c r="E92" s="50" t="s">
        <v>1488</v>
      </c>
      <c r="F92" s="58">
        <v>605</v>
      </c>
      <c r="G92" s="50" t="s">
        <v>58</v>
      </c>
      <c r="H92" s="50" t="s">
        <v>1489</v>
      </c>
      <c r="I92" s="49" t="s">
        <v>107</v>
      </c>
      <c r="J92" s="50" t="s">
        <v>109</v>
      </c>
      <c r="K92" s="50" t="s">
        <v>109</v>
      </c>
      <c r="L92" s="50" t="s">
        <v>12</v>
      </c>
      <c r="M92" s="50" t="s">
        <v>13</v>
      </c>
      <c r="N92" s="50" t="s">
        <v>14</v>
      </c>
      <c r="O92" s="48" t="s">
        <v>620</v>
      </c>
      <c r="P92" s="45" t="s">
        <v>453</v>
      </c>
      <c r="Q92" s="35" t="str">
        <f>MID(Tabla1[[#This Row],[Aplicación]],14,1)</f>
        <v>2</v>
      </c>
      <c r="R92" s="35" t="s">
        <v>441</v>
      </c>
      <c r="S92" s="35" t="str">
        <f>MID(Tabla1[[#This Row],[Aplicación]],6,2)</f>
        <v>10</v>
      </c>
      <c r="T92" s="35" t="str">
        <f>VLOOKUP(Tabla1[[#This Row],[AREA]],Hoja1!A:B,2,FALSE)</f>
        <v>10. Servicios sociales y mediación comunitaria</v>
      </c>
      <c r="U92" s="35" t="str">
        <f>MID(Tabla1[[#This Row],[Aplicación]],9,4)</f>
        <v>2312</v>
      </c>
      <c r="V92" s="35" t="str">
        <f>VLOOKUP(Tabla1[[#This Row],[PROGRAMA]],Hoja1!A:B,2,FALSE)</f>
        <v>2312. Iniciativas sociales</v>
      </c>
      <c r="W92" s="35" t="str">
        <f>MID(Tabla1[[#This Row],[Aplicación]],14,2)</f>
        <v>21</v>
      </c>
      <c r="X92" s="35" t="str">
        <f>MID(Tabla1[[#This Row],[Aplicación]],14,6)</f>
        <v>213</v>
      </c>
    </row>
    <row r="93" spans="1:24" x14ac:dyDescent="0.25">
      <c r="A93" s="49">
        <v>220219000049</v>
      </c>
      <c r="B93" s="50" t="s">
        <v>9</v>
      </c>
      <c r="C93" s="57">
        <v>44562</v>
      </c>
      <c r="D93" s="49">
        <v>22022000362</v>
      </c>
      <c r="E93" s="50" t="s">
        <v>1488</v>
      </c>
      <c r="F93" s="58">
        <v>1030</v>
      </c>
      <c r="G93" s="50" t="s">
        <v>58</v>
      </c>
      <c r="H93" s="50" t="s">
        <v>1490</v>
      </c>
      <c r="I93" s="49" t="s">
        <v>107</v>
      </c>
      <c r="J93" s="50" t="s">
        <v>109</v>
      </c>
      <c r="K93" s="50" t="s">
        <v>109</v>
      </c>
      <c r="L93" s="50" t="s">
        <v>12</v>
      </c>
      <c r="M93" s="50" t="s">
        <v>13</v>
      </c>
      <c r="N93" s="50" t="s">
        <v>14</v>
      </c>
      <c r="O93" s="48" t="s">
        <v>620</v>
      </c>
      <c r="P93" s="45" t="s">
        <v>453</v>
      </c>
      <c r="Q93" s="35" t="str">
        <f>MID(Tabla1[[#This Row],[Aplicación]],14,1)</f>
        <v>2</v>
      </c>
      <c r="R93" s="35" t="s">
        <v>441</v>
      </c>
      <c r="S93" s="35" t="str">
        <f>MID(Tabla1[[#This Row],[Aplicación]],6,2)</f>
        <v>10</v>
      </c>
      <c r="T93" s="35" t="str">
        <f>VLOOKUP(Tabla1[[#This Row],[AREA]],Hoja1!A:B,2,FALSE)</f>
        <v>10. Servicios sociales y mediación comunitaria</v>
      </c>
      <c r="U93" s="35" t="str">
        <f>MID(Tabla1[[#This Row],[Aplicación]],9,4)</f>
        <v>2312</v>
      </c>
      <c r="V93" s="35" t="str">
        <f>VLOOKUP(Tabla1[[#This Row],[PROGRAMA]],Hoja1!A:B,2,FALSE)</f>
        <v>2312. Iniciativas sociales</v>
      </c>
      <c r="W93" s="35" t="str">
        <f>MID(Tabla1[[#This Row],[Aplicación]],14,2)</f>
        <v>21</v>
      </c>
      <c r="X93" s="35" t="str">
        <f>MID(Tabla1[[#This Row],[Aplicación]],14,6)</f>
        <v>213</v>
      </c>
    </row>
    <row r="94" spans="1:24" x14ac:dyDescent="0.25">
      <c r="A94" s="49">
        <v>220219000050</v>
      </c>
      <c r="B94" s="50" t="s">
        <v>9</v>
      </c>
      <c r="C94" s="57">
        <v>44562</v>
      </c>
      <c r="D94" s="49">
        <v>22022000363</v>
      </c>
      <c r="E94" s="50" t="s">
        <v>1491</v>
      </c>
      <c r="F94" s="58">
        <v>760</v>
      </c>
      <c r="G94" s="50" t="s">
        <v>58</v>
      </c>
      <c r="H94" s="50" t="s">
        <v>649</v>
      </c>
      <c r="I94" s="49" t="s">
        <v>107</v>
      </c>
      <c r="J94" s="50" t="s">
        <v>109</v>
      </c>
      <c r="K94" s="50" t="s">
        <v>109</v>
      </c>
      <c r="L94" s="50" t="s">
        <v>15</v>
      </c>
      <c r="M94" s="50" t="s">
        <v>13</v>
      </c>
      <c r="N94" s="50" t="s">
        <v>14</v>
      </c>
      <c r="O94" s="48" t="s">
        <v>620</v>
      </c>
      <c r="P94" s="45" t="s">
        <v>453</v>
      </c>
      <c r="Q94" s="35" t="str">
        <f>MID(Tabla1[[#This Row],[Aplicación]],14,1)</f>
        <v>2</v>
      </c>
      <c r="R94" s="35" t="s">
        <v>441</v>
      </c>
      <c r="S94" s="35" t="str">
        <f>MID(Tabla1[[#This Row],[Aplicación]],6,2)</f>
        <v>09</v>
      </c>
      <c r="T94" s="35" t="str">
        <f>VLOOKUP(Tabla1[[#This Row],[AREA]],Hoja1!A:B,2,FALSE)</f>
        <v>09. Cultura y turismo</v>
      </c>
      <c r="U94" s="35" t="str">
        <f>MID(Tabla1[[#This Row],[Aplicación]],9,4)</f>
        <v>3301</v>
      </c>
      <c r="V94" s="35" t="str">
        <f>VLOOKUP(Tabla1[[#This Row],[PROGRAMA]],Hoja1!A:B,2,FALSE)</f>
        <v>3301. Dirección del área de cultura</v>
      </c>
      <c r="W94" s="35" t="str">
        <f>MID(Tabla1[[#This Row],[Aplicación]],14,2)</f>
        <v>21</v>
      </c>
      <c r="X94" s="35" t="str">
        <f>MID(Tabla1[[#This Row],[Aplicación]],14,6)</f>
        <v>213</v>
      </c>
    </row>
    <row r="95" spans="1:24" x14ac:dyDescent="0.25">
      <c r="A95" s="49">
        <v>220219000051</v>
      </c>
      <c r="B95" s="50" t="s">
        <v>9</v>
      </c>
      <c r="C95" s="57">
        <v>44562</v>
      </c>
      <c r="D95" s="49">
        <v>22022000364</v>
      </c>
      <c r="E95" s="50" t="s">
        <v>1492</v>
      </c>
      <c r="F95" s="58">
        <v>513.79999999999995</v>
      </c>
      <c r="G95" s="50" t="s">
        <v>58</v>
      </c>
      <c r="H95" s="50" t="s">
        <v>1493</v>
      </c>
      <c r="I95" s="49" t="s">
        <v>107</v>
      </c>
      <c r="J95" s="50" t="s">
        <v>109</v>
      </c>
      <c r="K95" s="50" t="s">
        <v>109</v>
      </c>
      <c r="L95" s="50" t="s">
        <v>12</v>
      </c>
      <c r="M95" s="50" t="s">
        <v>13</v>
      </c>
      <c r="N95" s="50" t="s">
        <v>14</v>
      </c>
      <c r="O95" s="48" t="s">
        <v>620</v>
      </c>
      <c r="P95" s="45" t="s">
        <v>453</v>
      </c>
      <c r="Q95" s="35" t="str">
        <f>MID(Tabla1[[#This Row],[Aplicación]],14,1)</f>
        <v>2</v>
      </c>
      <c r="R95" s="35" t="s">
        <v>441</v>
      </c>
      <c r="S95" s="35" t="str">
        <f>MID(Tabla1[[#This Row],[Aplicación]],6,2)</f>
        <v>11</v>
      </c>
      <c r="T95" s="35" t="str">
        <f>VLOOKUP(Tabla1[[#This Row],[AREA]],Hoja1!A:B,2,FALSE)</f>
        <v>11. Salud pública y seguridad ciudadana</v>
      </c>
      <c r="U95" s="35" t="str">
        <f>MID(Tabla1[[#This Row],[Aplicación]],9,4)</f>
        <v>1361</v>
      </c>
      <c r="V95" s="35" t="str">
        <f>VLOOKUP(Tabla1[[#This Row],[PROGRAMA]],Hoja1!A:B,2,FALSE)</f>
        <v>1361. Prevención y extinción de incencios</v>
      </c>
      <c r="W95" s="35" t="str">
        <f>MID(Tabla1[[#This Row],[Aplicación]],14,2)</f>
        <v>21</v>
      </c>
      <c r="X95" s="35" t="str">
        <f>MID(Tabla1[[#This Row],[Aplicación]],14,6)</f>
        <v>213</v>
      </c>
    </row>
    <row r="96" spans="1:24" x14ac:dyDescent="0.25">
      <c r="A96" s="49">
        <v>220219000052</v>
      </c>
      <c r="B96" s="50" t="s">
        <v>9</v>
      </c>
      <c r="C96" s="57">
        <v>44562</v>
      </c>
      <c r="D96" s="49">
        <v>22022000365</v>
      </c>
      <c r="E96" s="50" t="s">
        <v>1494</v>
      </c>
      <c r="F96" s="58">
        <v>300</v>
      </c>
      <c r="G96" s="50" t="s">
        <v>58</v>
      </c>
      <c r="H96" s="50" t="s">
        <v>1495</v>
      </c>
      <c r="I96" s="49" t="s">
        <v>107</v>
      </c>
      <c r="J96" s="50" t="s">
        <v>109</v>
      </c>
      <c r="K96" s="50" t="s">
        <v>109</v>
      </c>
      <c r="L96" s="50" t="s">
        <v>12</v>
      </c>
      <c r="M96" s="50" t="s">
        <v>13</v>
      </c>
      <c r="N96" s="50" t="s">
        <v>14</v>
      </c>
      <c r="O96" s="48" t="s">
        <v>620</v>
      </c>
      <c r="P96" s="45" t="s">
        <v>453</v>
      </c>
      <c r="Q96" s="35" t="str">
        <f>MID(Tabla1[[#This Row],[Aplicación]],14,1)</f>
        <v>2</v>
      </c>
      <c r="R96" s="35" t="s">
        <v>441</v>
      </c>
      <c r="S96" s="35" t="str">
        <f>MID(Tabla1[[#This Row],[Aplicación]],6,2)</f>
        <v>10</v>
      </c>
      <c r="T96" s="35" t="str">
        <f>VLOOKUP(Tabla1[[#This Row],[AREA]],Hoja1!A:B,2,FALSE)</f>
        <v>10. Servicios sociales y mediación comunitaria</v>
      </c>
      <c r="U96" s="35" t="str">
        <f>MID(Tabla1[[#This Row],[Aplicación]],9,4)</f>
        <v>2313</v>
      </c>
      <c r="V96" s="35" t="str">
        <f>VLOOKUP(Tabla1[[#This Row],[PROGRAMA]],Hoja1!A:B,2,FALSE)</f>
        <v>2313. Dirección del área de servicios sociales</v>
      </c>
      <c r="W96" s="35" t="str">
        <f>MID(Tabla1[[#This Row],[Aplicación]],14,2)</f>
        <v>21</v>
      </c>
      <c r="X96" s="35" t="str">
        <f>MID(Tabla1[[#This Row],[Aplicación]],14,6)</f>
        <v>213</v>
      </c>
    </row>
    <row r="97" spans="1:24" x14ac:dyDescent="0.25">
      <c r="A97" s="49">
        <v>220219000053</v>
      </c>
      <c r="B97" s="50" t="s">
        <v>9</v>
      </c>
      <c r="C97" s="57">
        <v>44562</v>
      </c>
      <c r="D97" s="49">
        <v>22022000366</v>
      </c>
      <c r="E97" s="50" t="s">
        <v>1496</v>
      </c>
      <c r="F97" s="58">
        <v>75</v>
      </c>
      <c r="G97" s="50" t="s">
        <v>58</v>
      </c>
      <c r="H97" s="50" t="s">
        <v>1497</v>
      </c>
      <c r="I97" s="49" t="s">
        <v>107</v>
      </c>
      <c r="J97" s="50" t="s">
        <v>109</v>
      </c>
      <c r="K97" s="50" t="s">
        <v>109</v>
      </c>
      <c r="L97" s="50" t="s">
        <v>12</v>
      </c>
      <c r="M97" s="50" t="s">
        <v>13</v>
      </c>
      <c r="N97" s="50" t="s">
        <v>14</v>
      </c>
      <c r="O97" s="48" t="s">
        <v>620</v>
      </c>
      <c r="P97" s="45" t="s">
        <v>453</v>
      </c>
      <c r="Q97" s="35" t="str">
        <f>MID(Tabla1[[#This Row],[Aplicación]],14,1)</f>
        <v>2</v>
      </c>
      <c r="R97" s="35" t="s">
        <v>441</v>
      </c>
      <c r="S97" s="35" t="str">
        <f>MID(Tabla1[[#This Row],[Aplicación]],6,2)</f>
        <v>10</v>
      </c>
      <c r="T97" s="35" t="str">
        <f>VLOOKUP(Tabla1[[#This Row],[AREA]],Hoja1!A:B,2,FALSE)</f>
        <v>10. Servicios sociales y mediación comunitaria</v>
      </c>
      <c r="U97" s="35" t="str">
        <f>MID(Tabla1[[#This Row],[Aplicación]],9,4)</f>
        <v>2311</v>
      </c>
      <c r="V97" s="35" t="str">
        <f>VLOOKUP(Tabla1[[#This Row],[PROGRAMA]],Hoja1!A:B,2,FALSE)</f>
        <v>2311. Intervención social</v>
      </c>
      <c r="W97" s="35" t="str">
        <f>MID(Tabla1[[#This Row],[Aplicación]],14,2)</f>
        <v>21</v>
      </c>
      <c r="X97" s="35" t="str">
        <f>MID(Tabla1[[#This Row],[Aplicación]],14,6)</f>
        <v>213</v>
      </c>
    </row>
    <row r="98" spans="1:24" x14ac:dyDescent="0.25">
      <c r="A98" s="49">
        <v>220219000054</v>
      </c>
      <c r="B98" s="50" t="s">
        <v>9</v>
      </c>
      <c r="C98" s="57">
        <v>44562</v>
      </c>
      <c r="D98" s="49">
        <v>22022000367</v>
      </c>
      <c r="E98" s="50" t="s">
        <v>1496</v>
      </c>
      <c r="F98" s="58">
        <v>2200</v>
      </c>
      <c r="G98" s="50" t="s">
        <v>58</v>
      </c>
      <c r="H98" s="50" t="s">
        <v>1498</v>
      </c>
      <c r="I98" s="49" t="s">
        <v>107</v>
      </c>
      <c r="J98" s="50" t="s">
        <v>109</v>
      </c>
      <c r="K98" s="50" t="s">
        <v>109</v>
      </c>
      <c r="L98" s="50" t="s">
        <v>12</v>
      </c>
      <c r="M98" s="50" t="s">
        <v>13</v>
      </c>
      <c r="N98" s="50" t="s">
        <v>14</v>
      </c>
      <c r="O98" s="48" t="s">
        <v>620</v>
      </c>
      <c r="P98" s="45" t="s">
        <v>453</v>
      </c>
      <c r="Q98" s="35" t="str">
        <f>MID(Tabla1[[#This Row],[Aplicación]],14,1)</f>
        <v>2</v>
      </c>
      <c r="R98" s="35" t="s">
        <v>441</v>
      </c>
      <c r="S98" s="35" t="str">
        <f>MID(Tabla1[[#This Row],[Aplicación]],6,2)</f>
        <v>10</v>
      </c>
      <c r="T98" s="35" t="str">
        <f>VLOOKUP(Tabla1[[#This Row],[AREA]],Hoja1!A:B,2,FALSE)</f>
        <v>10. Servicios sociales y mediación comunitaria</v>
      </c>
      <c r="U98" s="35" t="str">
        <f>MID(Tabla1[[#This Row],[Aplicación]],9,4)</f>
        <v>2311</v>
      </c>
      <c r="V98" s="35" t="str">
        <f>VLOOKUP(Tabla1[[#This Row],[PROGRAMA]],Hoja1!A:B,2,FALSE)</f>
        <v>2311. Intervención social</v>
      </c>
      <c r="W98" s="35" t="str">
        <f>MID(Tabla1[[#This Row],[Aplicación]],14,2)</f>
        <v>21</v>
      </c>
      <c r="X98" s="35" t="str">
        <f>MID(Tabla1[[#This Row],[Aplicación]],14,6)</f>
        <v>213</v>
      </c>
    </row>
    <row r="99" spans="1:24" x14ac:dyDescent="0.25">
      <c r="A99" s="49">
        <v>220219000055</v>
      </c>
      <c r="B99" s="50" t="s">
        <v>9</v>
      </c>
      <c r="C99" s="57">
        <v>44562</v>
      </c>
      <c r="D99" s="49">
        <v>22022000368</v>
      </c>
      <c r="E99" s="50" t="s">
        <v>1499</v>
      </c>
      <c r="F99" s="58">
        <v>75</v>
      </c>
      <c r="G99" s="50" t="s">
        <v>58</v>
      </c>
      <c r="H99" s="50" t="s">
        <v>1500</v>
      </c>
      <c r="I99" s="49" t="s">
        <v>107</v>
      </c>
      <c r="J99" s="50" t="s">
        <v>109</v>
      </c>
      <c r="K99" s="50" t="s">
        <v>109</v>
      </c>
      <c r="L99" s="50" t="s">
        <v>12</v>
      </c>
      <c r="M99" s="50" t="s">
        <v>13</v>
      </c>
      <c r="N99" s="50" t="s">
        <v>14</v>
      </c>
      <c r="O99" s="48" t="s">
        <v>620</v>
      </c>
      <c r="P99" s="45" t="s">
        <v>453</v>
      </c>
      <c r="Q99" s="35" t="str">
        <f>MID(Tabla1[[#This Row],[Aplicación]],14,1)</f>
        <v>2</v>
      </c>
      <c r="R99" s="35" t="s">
        <v>441</v>
      </c>
      <c r="S99" s="35" t="str">
        <f>MID(Tabla1[[#This Row],[Aplicación]],6,2)</f>
        <v>10</v>
      </c>
      <c r="T99" s="35" t="str">
        <f>VLOOKUP(Tabla1[[#This Row],[AREA]],Hoja1!A:B,2,FALSE)</f>
        <v>10. Servicios sociales y mediación comunitaria</v>
      </c>
      <c r="U99" s="35" t="str">
        <f>MID(Tabla1[[#This Row],[Aplicación]],9,4)</f>
        <v>2316</v>
      </c>
      <c r="V99" s="35" t="str">
        <f>VLOOKUP(Tabla1[[#This Row],[PROGRAMA]],Hoja1!A:B,2,FALSE)</f>
        <v>2316. Mediación comunitaria</v>
      </c>
      <c r="W99" s="35" t="str">
        <f>MID(Tabla1[[#This Row],[Aplicación]],14,2)</f>
        <v>21</v>
      </c>
      <c r="X99" s="35" t="str">
        <f>MID(Tabla1[[#This Row],[Aplicación]],14,6)</f>
        <v>213</v>
      </c>
    </row>
    <row r="100" spans="1:24" x14ac:dyDescent="0.25">
      <c r="A100" s="49">
        <v>220219000179</v>
      </c>
      <c r="B100" s="50" t="s">
        <v>9</v>
      </c>
      <c r="C100" s="57">
        <v>44562</v>
      </c>
      <c r="D100" s="49">
        <v>22022000388</v>
      </c>
      <c r="E100" s="50" t="s">
        <v>1496</v>
      </c>
      <c r="F100" s="58">
        <v>1060</v>
      </c>
      <c r="G100" s="50" t="s">
        <v>58</v>
      </c>
      <c r="H100" s="50" t="s">
        <v>1501</v>
      </c>
      <c r="I100" s="49" t="s">
        <v>107</v>
      </c>
      <c r="J100" s="50" t="s">
        <v>109</v>
      </c>
      <c r="K100" s="50" t="s">
        <v>109</v>
      </c>
      <c r="L100" s="50" t="s">
        <v>12</v>
      </c>
      <c r="M100" s="50" t="s">
        <v>13</v>
      </c>
      <c r="N100" s="50" t="s">
        <v>14</v>
      </c>
      <c r="O100" s="48" t="s">
        <v>620</v>
      </c>
      <c r="P100" s="45" t="s">
        <v>453</v>
      </c>
      <c r="Q100" s="35" t="str">
        <f>MID(Tabla1[[#This Row],[Aplicación]],14,1)</f>
        <v>2</v>
      </c>
      <c r="R100" s="35" t="s">
        <v>441</v>
      </c>
      <c r="S100" s="35" t="str">
        <f>MID(Tabla1[[#This Row],[Aplicación]],6,2)</f>
        <v>10</v>
      </c>
      <c r="T100" s="35" t="str">
        <f>VLOOKUP(Tabla1[[#This Row],[AREA]],Hoja1!A:B,2,FALSE)</f>
        <v>10. Servicios sociales y mediación comunitaria</v>
      </c>
      <c r="U100" s="35" t="str">
        <f>MID(Tabla1[[#This Row],[Aplicación]],9,4)</f>
        <v>2311</v>
      </c>
      <c r="V100" s="35" t="str">
        <f>VLOOKUP(Tabla1[[#This Row],[PROGRAMA]],Hoja1!A:B,2,FALSE)</f>
        <v>2311. Intervención social</v>
      </c>
      <c r="W100" s="35" t="str">
        <f>MID(Tabla1[[#This Row],[Aplicación]],14,2)</f>
        <v>21</v>
      </c>
      <c r="X100" s="35" t="str">
        <f>MID(Tabla1[[#This Row],[Aplicación]],14,6)</f>
        <v>213</v>
      </c>
    </row>
    <row r="101" spans="1:24" x14ac:dyDescent="0.25">
      <c r="A101" s="49">
        <v>220219000421</v>
      </c>
      <c r="B101" s="50" t="s">
        <v>9</v>
      </c>
      <c r="C101" s="57">
        <v>44562</v>
      </c>
      <c r="D101" s="49">
        <v>22022000555</v>
      </c>
      <c r="E101" s="50" t="s">
        <v>1502</v>
      </c>
      <c r="F101" s="58">
        <v>300</v>
      </c>
      <c r="G101" s="50" t="s">
        <v>58</v>
      </c>
      <c r="H101" s="50" t="s">
        <v>1503</v>
      </c>
      <c r="I101" s="49" t="s">
        <v>107</v>
      </c>
      <c r="J101" s="50" t="s">
        <v>109</v>
      </c>
      <c r="K101" s="50" t="s">
        <v>109</v>
      </c>
      <c r="L101" s="50" t="s">
        <v>12</v>
      </c>
      <c r="M101" s="50" t="s">
        <v>13</v>
      </c>
      <c r="N101" s="50" t="s">
        <v>14</v>
      </c>
      <c r="O101" s="48" t="s">
        <v>620</v>
      </c>
      <c r="P101" s="45" t="s">
        <v>453</v>
      </c>
      <c r="Q101" s="35" t="str">
        <f>MID(Tabla1[[#This Row],[Aplicación]],14,1)</f>
        <v>2</v>
      </c>
      <c r="R101" s="35" t="s">
        <v>441</v>
      </c>
      <c r="S101" s="35" t="str">
        <f>MID(Tabla1[[#This Row],[Aplicación]],6,2)</f>
        <v>10</v>
      </c>
      <c r="T101" s="35" t="str">
        <f>VLOOKUP(Tabla1[[#This Row],[AREA]],Hoja1!A:B,2,FALSE)</f>
        <v>10. Servicios sociales y mediación comunitaria</v>
      </c>
      <c r="U101" s="35" t="str">
        <f>MID(Tabla1[[#This Row],[Aplicación]],9,4)</f>
        <v>2412</v>
      </c>
      <c r="V101" s="35" t="str">
        <f>VLOOKUP(Tabla1[[#This Row],[PROGRAMA]],Hoja1!A:B,2,FALSE)</f>
        <v>2412. Formación para el empleo</v>
      </c>
      <c r="W101" s="35" t="str">
        <f>MID(Tabla1[[#This Row],[Aplicación]],14,2)</f>
        <v>21</v>
      </c>
      <c r="X101" s="35" t="str">
        <f>MID(Tabla1[[#This Row],[Aplicación]],14,6)</f>
        <v>213</v>
      </c>
    </row>
    <row r="102" spans="1:24" x14ac:dyDescent="0.25">
      <c r="A102" s="49">
        <v>220219000422</v>
      </c>
      <c r="B102" s="50" t="s">
        <v>9</v>
      </c>
      <c r="C102" s="57">
        <v>44562</v>
      </c>
      <c r="D102" s="49">
        <v>22022000556</v>
      </c>
      <c r="E102" s="50" t="s">
        <v>1485</v>
      </c>
      <c r="F102" s="58">
        <v>50</v>
      </c>
      <c r="G102" s="50" t="s">
        <v>58</v>
      </c>
      <c r="H102" s="50" t="s">
        <v>1504</v>
      </c>
      <c r="I102" s="49" t="s">
        <v>107</v>
      </c>
      <c r="J102" s="50" t="s">
        <v>109</v>
      </c>
      <c r="K102" s="50" t="s">
        <v>109</v>
      </c>
      <c r="L102" s="50" t="s">
        <v>15</v>
      </c>
      <c r="M102" s="50" t="s">
        <v>13</v>
      </c>
      <c r="N102" s="50" t="s">
        <v>16</v>
      </c>
      <c r="O102" s="48" t="s">
        <v>620</v>
      </c>
      <c r="P102" s="45" t="s">
        <v>453</v>
      </c>
      <c r="Q102" s="35" t="str">
        <f>MID(Tabla1[[#This Row],[Aplicación]],14,1)</f>
        <v>2</v>
      </c>
      <c r="R102" s="35" t="s">
        <v>441</v>
      </c>
      <c r="S102" s="35" t="str">
        <f>MID(Tabla1[[#This Row],[Aplicación]],6,2)</f>
        <v>11</v>
      </c>
      <c r="T102" s="35" t="str">
        <f>VLOOKUP(Tabla1[[#This Row],[AREA]],Hoja1!A:B,2,FALSE)</f>
        <v>11. Salud pública y seguridad ciudadana</v>
      </c>
      <c r="U102" s="35" t="str">
        <f>MID(Tabla1[[#This Row],[Aplicación]],9,4)</f>
        <v>3111</v>
      </c>
      <c r="V102" s="35" t="str">
        <f>VLOOKUP(Tabla1[[#This Row],[PROGRAMA]],Hoja1!A:B,2,FALSE)</f>
        <v>3111. Protección de la salubridad pública</v>
      </c>
      <c r="W102" s="35" t="str">
        <f>MID(Tabla1[[#This Row],[Aplicación]],14,2)</f>
        <v>20</v>
      </c>
      <c r="X102" s="35" t="str">
        <f>MID(Tabla1[[#This Row],[Aplicación]],14,6)</f>
        <v>203</v>
      </c>
    </row>
    <row r="103" spans="1:24" x14ac:dyDescent="0.25">
      <c r="A103" s="49">
        <v>220219000990</v>
      </c>
      <c r="B103" s="50" t="s">
        <v>9</v>
      </c>
      <c r="C103" s="57">
        <v>44562</v>
      </c>
      <c r="D103" s="49">
        <v>22022000439</v>
      </c>
      <c r="E103" s="50" t="s">
        <v>1458</v>
      </c>
      <c r="F103" s="58">
        <v>644.12</v>
      </c>
      <c r="G103" s="50" t="s">
        <v>58</v>
      </c>
      <c r="H103" s="50" t="s">
        <v>642</v>
      </c>
      <c r="I103" s="49" t="s">
        <v>107</v>
      </c>
      <c r="J103" s="50" t="s">
        <v>109</v>
      </c>
      <c r="K103" s="50" t="s">
        <v>109</v>
      </c>
      <c r="L103" s="50" t="s">
        <v>15</v>
      </c>
      <c r="M103" s="50" t="s">
        <v>13</v>
      </c>
      <c r="N103" s="50" t="s">
        <v>14</v>
      </c>
      <c r="O103" s="48" t="s">
        <v>620</v>
      </c>
      <c r="P103" s="45" t="s">
        <v>453</v>
      </c>
      <c r="Q103" s="35" t="str">
        <f>MID(Tabla1[[#This Row],[Aplicación]],14,1)</f>
        <v>2</v>
      </c>
      <c r="R103" s="35" t="s">
        <v>441</v>
      </c>
      <c r="S103" s="35" t="str">
        <f>MID(Tabla1[[#This Row],[Aplicación]],6,2)</f>
        <v>04</v>
      </c>
      <c r="T103" s="35" t="str">
        <f>VLOOKUP(Tabla1[[#This Row],[AREA]],Hoja1!A:B,2,FALSE)</f>
        <v>04. Planificación y recursos</v>
      </c>
      <c r="U103" s="35" t="str">
        <f>MID(Tabla1[[#This Row],[Aplicación]],9,4)</f>
        <v>9204</v>
      </c>
      <c r="V103" s="35" t="str">
        <f>VLOOKUP(Tabla1[[#This Row],[PROGRAMA]],Hoja1!A:B,2,FALSE)</f>
        <v>9204. Tecnologías de la información y comunicación</v>
      </c>
      <c r="W103" s="35" t="str">
        <f>MID(Tabla1[[#This Row],[Aplicación]],14,2)</f>
        <v>21</v>
      </c>
      <c r="X103" s="35" t="str">
        <f>MID(Tabla1[[#This Row],[Aplicación]],14,6)</f>
        <v>213</v>
      </c>
    </row>
    <row r="104" spans="1:24" x14ac:dyDescent="0.25">
      <c r="A104" s="49">
        <v>220219000991</v>
      </c>
      <c r="B104" s="50" t="s">
        <v>9</v>
      </c>
      <c r="C104" s="57">
        <v>44562</v>
      </c>
      <c r="D104" s="49">
        <v>22022000440</v>
      </c>
      <c r="E104" s="50" t="s">
        <v>1459</v>
      </c>
      <c r="F104" s="58">
        <v>8728.0400000000009</v>
      </c>
      <c r="G104" s="50" t="s">
        <v>58</v>
      </c>
      <c r="H104" s="50" t="s">
        <v>1505</v>
      </c>
      <c r="I104" s="49" t="s">
        <v>107</v>
      </c>
      <c r="J104" s="50" t="s">
        <v>109</v>
      </c>
      <c r="K104" s="50" t="s">
        <v>109</v>
      </c>
      <c r="L104" s="50" t="s">
        <v>15</v>
      </c>
      <c r="M104" s="50" t="s">
        <v>13</v>
      </c>
      <c r="N104" s="50" t="s">
        <v>14</v>
      </c>
      <c r="O104" s="48" t="s">
        <v>620</v>
      </c>
      <c r="P104" s="45" t="s">
        <v>453</v>
      </c>
      <c r="Q104" s="35" t="str">
        <f>MID(Tabla1[[#This Row],[Aplicación]],14,1)</f>
        <v>2</v>
      </c>
      <c r="R104" s="35" t="s">
        <v>441</v>
      </c>
      <c r="S104" s="35" t="str">
        <f>MID(Tabla1[[#This Row],[Aplicación]],6,2)</f>
        <v>02</v>
      </c>
      <c r="T104" s="35" t="str">
        <f>VLOOKUP(Tabla1[[#This Row],[AREA]],Hoja1!A:B,2,FALSE)</f>
        <v>02. Planeamiento urbanístico y vivienda</v>
      </c>
      <c r="U104" s="35" t="str">
        <f>MID(Tabla1[[#This Row],[Aplicación]],9,4)</f>
        <v>1501</v>
      </c>
      <c r="V104" s="35" t="str">
        <f>VLOOKUP(Tabla1[[#This Row],[PROGRAMA]],Hoja1!A:B,2,FALSE)</f>
        <v>1501. Dirección del área de urbanismo</v>
      </c>
      <c r="W104" s="35" t="str">
        <f>MID(Tabla1[[#This Row],[Aplicación]],14,2)</f>
        <v>20</v>
      </c>
      <c r="X104" s="35" t="str">
        <f>MID(Tabla1[[#This Row],[Aplicación]],14,6)</f>
        <v>203</v>
      </c>
    </row>
    <row r="105" spans="1:24" x14ac:dyDescent="0.25">
      <c r="A105" s="49">
        <v>220219000992</v>
      </c>
      <c r="B105" s="50" t="s">
        <v>9</v>
      </c>
      <c r="C105" s="57">
        <v>44562</v>
      </c>
      <c r="D105" s="49">
        <v>22022000441</v>
      </c>
      <c r="E105" s="50" t="s">
        <v>1506</v>
      </c>
      <c r="F105" s="58">
        <v>119.24</v>
      </c>
      <c r="G105" s="50" t="s">
        <v>58</v>
      </c>
      <c r="H105" s="50" t="s">
        <v>1507</v>
      </c>
      <c r="I105" s="49" t="s">
        <v>107</v>
      </c>
      <c r="J105" s="50" t="s">
        <v>109</v>
      </c>
      <c r="K105" s="50" t="s">
        <v>109</v>
      </c>
      <c r="L105" s="50" t="s">
        <v>15</v>
      </c>
      <c r="M105" s="50" t="s">
        <v>13</v>
      </c>
      <c r="N105" s="50" t="s">
        <v>14</v>
      </c>
      <c r="O105" s="48" t="s">
        <v>620</v>
      </c>
      <c r="P105" s="45" t="s">
        <v>453</v>
      </c>
      <c r="Q105" s="35" t="str">
        <f>MID(Tabla1[[#This Row],[Aplicación]],14,1)</f>
        <v>2</v>
      </c>
      <c r="R105" s="35" t="s">
        <v>441</v>
      </c>
      <c r="S105" s="35" t="str">
        <f>MID(Tabla1[[#This Row],[Aplicación]],6,2)</f>
        <v>01</v>
      </c>
      <c r="T105" s="35" t="str">
        <f>VLOOKUP(Tabla1[[#This Row],[AREA]],Hoja1!A:B,2,FALSE)</f>
        <v>01. Alcaldía</v>
      </c>
      <c r="U105" s="35" t="str">
        <f>MID(Tabla1[[#This Row],[Aplicación]],9,4)</f>
        <v>9205</v>
      </c>
      <c r="V105" s="35" t="str">
        <f>VLOOKUP(Tabla1[[#This Row],[PROGRAMA]],Hoja1!A:B,2,FALSE)</f>
        <v>9205. Imprenta municipal</v>
      </c>
      <c r="W105" s="35" t="str">
        <f>MID(Tabla1[[#This Row],[Aplicación]],14,2)</f>
        <v>20</v>
      </c>
      <c r="X105" s="35" t="str">
        <f>MID(Tabla1[[#This Row],[Aplicación]],14,6)</f>
        <v>203</v>
      </c>
    </row>
    <row r="106" spans="1:24" x14ac:dyDescent="0.25">
      <c r="A106" s="49">
        <v>220219000995</v>
      </c>
      <c r="B106" s="50" t="s">
        <v>9</v>
      </c>
      <c r="C106" s="57">
        <v>44562</v>
      </c>
      <c r="D106" s="49">
        <v>22022000442</v>
      </c>
      <c r="E106" s="50" t="s">
        <v>1508</v>
      </c>
      <c r="F106" s="58">
        <v>14.63</v>
      </c>
      <c r="G106" s="50" t="s">
        <v>58</v>
      </c>
      <c r="H106" s="50" t="s">
        <v>1509</v>
      </c>
      <c r="I106" s="49" t="s">
        <v>107</v>
      </c>
      <c r="J106" s="50" t="s">
        <v>109</v>
      </c>
      <c r="K106" s="50" t="s">
        <v>109</v>
      </c>
      <c r="L106" s="50" t="s">
        <v>15</v>
      </c>
      <c r="M106" s="50" t="s">
        <v>13</v>
      </c>
      <c r="N106" s="50" t="s">
        <v>14</v>
      </c>
      <c r="O106" s="48" t="s">
        <v>620</v>
      </c>
      <c r="P106" s="45" t="s">
        <v>453</v>
      </c>
      <c r="Q106" s="35" t="str">
        <f>MID(Tabla1[[#This Row],[Aplicación]],14,1)</f>
        <v>2</v>
      </c>
      <c r="R106" s="35" t="s">
        <v>441</v>
      </c>
      <c r="S106" s="35" t="str">
        <f>MID(Tabla1[[#This Row],[Aplicación]],6,2)</f>
        <v>01</v>
      </c>
      <c r="T106" s="35" t="str">
        <f>VLOOKUP(Tabla1[[#This Row],[AREA]],Hoja1!A:B,2,FALSE)</f>
        <v>01. Alcaldía</v>
      </c>
      <c r="U106" s="35" t="str">
        <f>MID(Tabla1[[#This Row],[Aplicación]],9,4)</f>
        <v>9205</v>
      </c>
      <c r="V106" s="35" t="str">
        <f>VLOOKUP(Tabla1[[#This Row],[PROGRAMA]],Hoja1!A:B,2,FALSE)</f>
        <v>9205. Imprenta municipal</v>
      </c>
      <c r="W106" s="35" t="str">
        <f>MID(Tabla1[[#This Row],[Aplicación]],14,2)</f>
        <v>21</v>
      </c>
      <c r="X106" s="35" t="str">
        <f>MID(Tabla1[[#This Row],[Aplicación]],14,6)</f>
        <v>213</v>
      </c>
    </row>
    <row r="107" spans="1:24" x14ac:dyDescent="0.25">
      <c r="A107" s="49">
        <v>220219000998</v>
      </c>
      <c r="B107" s="50" t="s">
        <v>9</v>
      </c>
      <c r="C107" s="57">
        <v>44562</v>
      </c>
      <c r="D107" s="49">
        <v>22022000443</v>
      </c>
      <c r="E107" s="50" t="s">
        <v>1510</v>
      </c>
      <c r="F107" s="58">
        <v>1136.8800000000001</v>
      </c>
      <c r="G107" s="50" t="s">
        <v>58</v>
      </c>
      <c r="H107" s="50" t="s">
        <v>1511</v>
      </c>
      <c r="I107" s="49" t="s">
        <v>107</v>
      </c>
      <c r="J107" s="50" t="s">
        <v>109</v>
      </c>
      <c r="K107" s="50" t="s">
        <v>109</v>
      </c>
      <c r="L107" s="50" t="s">
        <v>15</v>
      </c>
      <c r="M107" s="50" t="s">
        <v>13</v>
      </c>
      <c r="N107" s="50" t="s">
        <v>14</v>
      </c>
      <c r="O107" s="48" t="s">
        <v>620</v>
      </c>
      <c r="P107" s="45" t="s">
        <v>453</v>
      </c>
      <c r="Q107" s="35" t="str">
        <f>MID(Tabla1[[#This Row],[Aplicación]],14,1)</f>
        <v>2</v>
      </c>
      <c r="R107" s="35" t="s">
        <v>441</v>
      </c>
      <c r="S107" s="35" t="str">
        <f>MID(Tabla1[[#This Row],[Aplicación]],6,2)</f>
        <v>01</v>
      </c>
      <c r="T107" s="35" t="str">
        <f>VLOOKUP(Tabla1[[#This Row],[AREA]],Hoja1!A:B,2,FALSE)</f>
        <v>01. Alcaldía</v>
      </c>
      <c r="U107" s="35" t="str">
        <f>MID(Tabla1[[#This Row],[Aplicación]],9,4)</f>
        <v>9207</v>
      </c>
      <c r="V107" s="35" t="str">
        <f>VLOOKUP(Tabla1[[#This Row],[PROGRAMA]],Hoja1!A:B,2,FALSE)</f>
        <v>9207. Gobierno y relaciones</v>
      </c>
      <c r="W107" s="35" t="str">
        <f>MID(Tabla1[[#This Row],[Aplicación]],14,2)</f>
        <v>21</v>
      </c>
      <c r="X107" s="35" t="str">
        <f>MID(Tabla1[[#This Row],[Aplicación]],14,6)</f>
        <v>213</v>
      </c>
    </row>
    <row r="108" spans="1:24" x14ac:dyDescent="0.25">
      <c r="A108" s="49">
        <v>220219001001</v>
      </c>
      <c r="B108" s="50" t="s">
        <v>9</v>
      </c>
      <c r="C108" s="57">
        <v>44562</v>
      </c>
      <c r="D108" s="49">
        <v>22022000444</v>
      </c>
      <c r="E108" s="50" t="s">
        <v>1512</v>
      </c>
      <c r="F108" s="58">
        <v>2439.0700000000002</v>
      </c>
      <c r="G108" s="50" t="s">
        <v>58</v>
      </c>
      <c r="H108" s="50" t="s">
        <v>1513</v>
      </c>
      <c r="I108" s="49" t="s">
        <v>107</v>
      </c>
      <c r="J108" s="50" t="s">
        <v>109</v>
      </c>
      <c r="K108" s="50" t="s">
        <v>109</v>
      </c>
      <c r="L108" s="50" t="s">
        <v>15</v>
      </c>
      <c r="M108" s="50" t="s">
        <v>13</v>
      </c>
      <c r="N108" s="50" t="s">
        <v>14</v>
      </c>
      <c r="O108" s="48" t="s">
        <v>620</v>
      </c>
      <c r="P108" s="45" t="s">
        <v>453</v>
      </c>
      <c r="Q108" s="35" t="str">
        <f>MID(Tabla1[[#This Row],[Aplicación]],14,1)</f>
        <v>2</v>
      </c>
      <c r="R108" s="35" t="s">
        <v>441</v>
      </c>
      <c r="S108" s="35" t="str">
        <f>MID(Tabla1[[#This Row],[Aplicación]],6,2)</f>
        <v>01</v>
      </c>
      <c r="T108" s="35" t="str">
        <f>VLOOKUP(Tabla1[[#This Row],[AREA]],Hoja1!A:B,2,FALSE)</f>
        <v>01. Alcaldía</v>
      </c>
      <c r="U108" s="35" t="str">
        <f>MID(Tabla1[[#This Row],[Aplicación]],9,4)</f>
        <v>9207</v>
      </c>
      <c r="V108" s="35" t="str">
        <f>VLOOKUP(Tabla1[[#This Row],[PROGRAMA]],Hoja1!A:B,2,FALSE)</f>
        <v>9207. Gobierno y relaciones</v>
      </c>
      <c r="W108" s="35" t="str">
        <f>MID(Tabla1[[#This Row],[Aplicación]],14,2)</f>
        <v>20</v>
      </c>
      <c r="X108" s="35" t="str">
        <f>MID(Tabla1[[#This Row],[Aplicación]],14,6)</f>
        <v>203</v>
      </c>
    </row>
    <row r="109" spans="1:24" x14ac:dyDescent="0.25">
      <c r="A109" s="49">
        <v>220219001002</v>
      </c>
      <c r="B109" s="50" t="s">
        <v>9</v>
      </c>
      <c r="C109" s="57">
        <v>44562</v>
      </c>
      <c r="D109" s="49">
        <v>22022003436</v>
      </c>
      <c r="E109" s="50" t="s">
        <v>1485</v>
      </c>
      <c r="F109" s="58">
        <v>5375</v>
      </c>
      <c r="G109" s="50" t="s">
        <v>58</v>
      </c>
      <c r="H109" s="50" t="s">
        <v>1514</v>
      </c>
      <c r="I109" s="49" t="s">
        <v>107</v>
      </c>
      <c r="J109" s="50" t="s">
        <v>109</v>
      </c>
      <c r="K109" s="50" t="s">
        <v>109</v>
      </c>
      <c r="L109" s="50" t="s">
        <v>15</v>
      </c>
      <c r="M109" s="50" t="s">
        <v>13</v>
      </c>
      <c r="N109" s="50" t="s">
        <v>16</v>
      </c>
      <c r="O109" s="48" t="s">
        <v>620</v>
      </c>
      <c r="P109" s="45" t="s">
        <v>453</v>
      </c>
      <c r="Q109" s="35" t="str">
        <f>MID(Tabla1[[#This Row],[Aplicación]],14,1)</f>
        <v>2</v>
      </c>
      <c r="R109" s="35" t="s">
        <v>441</v>
      </c>
      <c r="S109" s="35" t="str">
        <f>MID(Tabla1[[#This Row],[Aplicación]],6,2)</f>
        <v>11</v>
      </c>
      <c r="T109" s="35" t="str">
        <f>VLOOKUP(Tabla1[[#This Row],[AREA]],Hoja1!A:B,2,FALSE)</f>
        <v>11. Salud pública y seguridad ciudadana</v>
      </c>
      <c r="U109" s="35" t="str">
        <f>MID(Tabla1[[#This Row],[Aplicación]],9,4)</f>
        <v>3111</v>
      </c>
      <c r="V109" s="35" t="str">
        <f>VLOOKUP(Tabla1[[#This Row],[PROGRAMA]],Hoja1!A:B,2,FALSE)</f>
        <v>3111. Protección de la salubridad pública</v>
      </c>
      <c r="W109" s="35" t="str">
        <f>MID(Tabla1[[#This Row],[Aplicación]],14,2)</f>
        <v>20</v>
      </c>
      <c r="X109" s="35" t="str">
        <f>MID(Tabla1[[#This Row],[Aplicación]],14,6)</f>
        <v>203</v>
      </c>
    </row>
    <row r="110" spans="1:24" x14ac:dyDescent="0.25">
      <c r="A110" s="49">
        <v>220219001005</v>
      </c>
      <c r="B110" s="50" t="s">
        <v>9</v>
      </c>
      <c r="C110" s="57">
        <v>44562</v>
      </c>
      <c r="D110" s="49">
        <v>22022000445</v>
      </c>
      <c r="E110" s="50" t="s">
        <v>1461</v>
      </c>
      <c r="F110" s="58">
        <v>2150</v>
      </c>
      <c r="G110" s="50" t="s">
        <v>58</v>
      </c>
      <c r="H110" s="50" t="s">
        <v>1515</v>
      </c>
      <c r="I110" s="49" t="s">
        <v>107</v>
      </c>
      <c r="J110" s="50" t="s">
        <v>109</v>
      </c>
      <c r="K110" s="50" t="s">
        <v>109</v>
      </c>
      <c r="L110" s="50" t="s">
        <v>15</v>
      </c>
      <c r="M110" s="50" t="s">
        <v>13</v>
      </c>
      <c r="N110" s="50" t="s">
        <v>14</v>
      </c>
      <c r="O110" s="48" t="s">
        <v>620</v>
      </c>
      <c r="P110" s="45" t="s">
        <v>453</v>
      </c>
      <c r="Q110" s="35" t="str">
        <f>MID(Tabla1[[#This Row],[Aplicación]],14,1)</f>
        <v>2</v>
      </c>
      <c r="R110" s="35" t="s">
        <v>441</v>
      </c>
      <c r="S110" s="35" t="str">
        <f>MID(Tabla1[[#This Row],[Aplicación]],6,2)</f>
        <v>11</v>
      </c>
      <c r="T110" s="35" t="str">
        <f>VLOOKUP(Tabla1[[#This Row],[AREA]],Hoja1!A:B,2,FALSE)</f>
        <v>11. Salud pública y seguridad ciudadana</v>
      </c>
      <c r="U110" s="35" t="str">
        <f>MID(Tabla1[[#This Row],[Aplicación]],9,4)</f>
        <v>1621</v>
      </c>
      <c r="V110" s="35" t="str">
        <f>VLOOKUP(Tabla1[[#This Row],[PROGRAMA]],Hoja1!A:B,2,FALSE)</f>
        <v>1621. Servicio de limpieza</v>
      </c>
      <c r="W110" s="35" t="str">
        <f>MID(Tabla1[[#This Row],[Aplicación]],14,2)</f>
        <v>21</v>
      </c>
      <c r="X110" s="35" t="str">
        <f>MID(Tabla1[[#This Row],[Aplicación]],14,6)</f>
        <v>213</v>
      </c>
    </row>
    <row r="111" spans="1:24" x14ac:dyDescent="0.25">
      <c r="A111" s="49">
        <v>220219001006</v>
      </c>
      <c r="B111" s="50" t="s">
        <v>9</v>
      </c>
      <c r="C111" s="57">
        <v>44562</v>
      </c>
      <c r="D111" s="49">
        <v>22022000446</v>
      </c>
      <c r="E111" s="50" t="s">
        <v>1491</v>
      </c>
      <c r="F111" s="58">
        <v>2641.77</v>
      </c>
      <c r="G111" s="50" t="s">
        <v>58</v>
      </c>
      <c r="H111" s="50" t="s">
        <v>1516</v>
      </c>
      <c r="I111" s="49" t="s">
        <v>107</v>
      </c>
      <c r="J111" s="50" t="s">
        <v>109</v>
      </c>
      <c r="K111" s="50" t="s">
        <v>109</v>
      </c>
      <c r="L111" s="50" t="s">
        <v>15</v>
      </c>
      <c r="M111" s="50" t="s">
        <v>13</v>
      </c>
      <c r="N111" s="50" t="s">
        <v>14</v>
      </c>
      <c r="O111" s="48" t="s">
        <v>620</v>
      </c>
      <c r="P111" s="45" t="s">
        <v>453</v>
      </c>
      <c r="Q111" s="35" t="str">
        <f>MID(Tabla1[[#This Row],[Aplicación]],14,1)</f>
        <v>2</v>
      </c>
      <c r="R111" s="35" t="s">
        <v>441</v>
      </c>
      <c r="S111" s="35" t="str">
        <f>MID(Tabla1[[#This Row],[Aplicación]],6,2)</f>
        <v>09</v>
      </c>
      <c r="T111" s="35" t="str">
        <f>VLOOKUP(Tabla1[[#This Row],[AREA]],Hoja1!A:B,2,FALSE)</f>
        <v>09. Cultura y turismo</v>
      </c>
      <c r="U111" s="35" t="str">
        <f>MID(Tabla1[[#This Row],[Aplicación]],9,4)</f>
        <v>3301</v>
      </c>
      <c r="V111" s="35" t="str">
        <f>VLOOKUP(Tabla1[[#This Row],[PROGRAMA]],Hoja1!A:B,2,FALSE)</f>
        <v>3301. Dirección del área de cultura</v>
      </c>
      <c r="W111" s="35" t="str">
        <f>MID(Tabla1[[#This Row],[Aplicación]],14,2)</f>
        <v>21</v>
      </c>
      <c r="X111" s="35" t="str">
        <f>MID(Tabla1[[#This Row],[Aplicación]],14,6)</f>
        <v>213</v>
      </c>
    </row>
    <row r="112" spans="1:24" x14ac:dyDescent="0.25">
      <c r="A112" s="49">
        <v>220219001007</v>
      </c>
      <c r="B112" s="50" t="s">
        <v>9</v>
      </c>
      <c r="C112" s="57">
        <v>44562</v>
      </c>
      <c r="D112" s="49">
        <v>22022000447</v>
      </c>
      <c r="E112" s="50" t="s">
        <v>1470</v>
      </c>
      <c r="F112" s="58">
        <v>2883.51</v>
      </c>
      <c r="G112" s="50" t="s">
        <v>58</v>
      </c>
      <c r="H112" s="50" t="s">
        <v>1517</v>
      </c>
      <c r="I112" s="49" t="s">
        <v>107</v>
      </c>
      <c r="J112" s="50" t="s">
        <v>109</v>
      </c>
      <c r="K112" s="50" t="s">
        <v>109</v>
      </c>
      <c r="L112" s="50" t="s">
        <v>15</v>
      </c>
      <c r="M112" s="50" t="s">
        <v>13</v>
      </c>
      <c r="N112" s="50" t="s">
        <v>14</v>
      </c>
      <c r="O112" s="48" t="s">
        <v>620</v>
      </c>
      <c r="P112" s="45" t="s">
        <v>453</v>
      </c>
      <c r="Q112" s="35" t="str">
        <f>MID(Tabla1[[#This Row],[Aplicación]],14,1)</f>
        <v>2</v>
      </c>
      <c r="R112" s="35" t="s">
        <v>441</v>
      </c>
      <c r="S112" s="35" t="str">
        <f>MID(Tabla1[[#This Row],[Aplicación]],6,2)</f>
        <v>04</v>
      </c>
      <c r="T112" s="35" t="str">
        <f>VLOOKUP(Tabla1[[#This Row],[AREA]],Hoja1!A:B,2,FALSE)</f>
        <v>04. Planificación y recursos</v>
      </c>
      <c r="U112" s="35" t="str">
        <f>MID(Tabla1[[#This Row],[Aplicación]],9,4)</f>
        <v>9209</v>
      </c>
      <c r="V112" s="35" t="str">
        <f>VLOOKUP(Tabla1[[#This Row],[PROGRAMA]],Hoja1!A:B,2,FALSE)</f>
        <v>9209. Dirección del area de hacienda y función pública</v>
      </c>
      <c r="W112" s="35" t="str">
        <f>MID(Tabla1[[#This Row],[Aplicación]],14,2)</f>
        <v>20</v>
      </c>
      <c r="X112" s="35" t="str">
        <f>MID(Tabla1[[#This Row],[Aplicación]],14,6)</f>
        <v>203</v>
      </c>
    </row>
    <row r="113" spans="1:24" x14ac:dyDescent="0.25">
      <c r="A113" s="49">
        <v>220219001008</v>
      </c>
      <c r="B113" s="50" t="s">
        <v>9</v>
      </c>
      <c r="C113" s="57">
        <v>44562</v>
      </c>
      <c r="D113" s="49">
        <v>22022000448</v>
      </c>
      <c r="E113" s="50" t="s">
        <v>1488</v>
      </c>
      <c r="F113" s="58">
        <v>5032.74</v>
      </c>
      <c r="G113" s="50" t="s">
        <v>58</v>
      </c>
      <c r="H113" s="50" t="s">
        <v>1518</v>
      </c>
      <c r="I113" s="49" t="s">
        <v>107</v>
      </c>
      <c r="J113" s="50" t="s">
        <v>109</v>
      </c>
      <c r="K113" s="50" t="s">
        <v>109</v>
      </c>
      <c r="L113" s="50" t="s">
        <v>12</v>
      </c>
      <c r="M113" s="50" t="s">
        <v>13</v>
      </c>
      <c r="N113" s="50" t="s">
        <v>14</v>
      </c>
      <c r="O113" s="48" t="s">
        <v>620</v>
      </c>
      <c r="P113" s="45" t="s">
        <v>453</v>
      </c>
      <c r="Q113" s="35" t="str">
        <f>MID(Tabla1[[#This Row],[Aplicación]],14,1)</f>
        <v>2</v>
      </c>
      <c r="R113" s="35" t="s">
        <v>441</v>
      </c>
      <c r="S113" s="35" t="str">
        <f>MID(Tabla1[[#This Row],[Aplicación]],6,2)</f>
        <v>10</v>
      </c>
      <c r="T113" s="35" t="str">
        <f>VLOOKUP(Tabla1[[#This Row],[AREA]],Hoja1!A:B,2,FALSE)</f>
        <v>10. Servicios sociales y mediación comunitaria</v>
      </c>
      <c r="U113" s="35" t="str">
        <f>MID(Tabla1[[#This Row],[Aplicación]],9,4)</f>
        <v>2312</v>
      </c>
      <c r="V113" s="35" t="str">
        <f>VLOOKUP(Tabla1[[#This Row],[PROGRAMA]],Hoja1!A:B,2,FALSE)</f>
        <v>2312. Iniciativas sociales</v>
      </c>
      <c r="W113" s="35" t="str">
        <f>MID(Tabla1[[#This Row],[Aplicación]],14,2)</f>
        <v>21</v>
      </c>
      <c r="X113" s="35" t="str">
        <f>MID(Tabla1[[#This Row],[Aplicación]],14,6)</f>
        <v>213</v>
      </c>
    </row>
    <row r="114" spans="1:24" x14ac:dyDescent="0.25">
      <c r="A114" s="49">
        <v>220219001009</v>
      </c>
      <c r="B114" s="50" t="s">
        <v>9</v>
      </c>
      <c r="C114" s="57">
        <v>44562</v>
      </c>
      <c r="D114" s="49">
        <v>22022000449</v>
      </c>
      <c r="E114" s="50" t="s">
        <v>1488</v>
      </c>
      <c r="F114" s="58">
        <v>8922.7999999999993</v>
      </c>
      <c r="G114" s="50" t="s">
        <v>58</v>
      </c>
      <c r="H114" s="50" t="s">
        <v>1519</v>
      </c>
      <c r="I114" s="49" t="s">
        <v>107</v>
      </c>
      <c r="J114" s="50" t="s">
        <v>109</v>
      </c>
      <c r="K114" s="50" t="s">
        <v>109</v>
      </c>
      <c r="L114" s="50" t="s">
        <v>12</v>
      </c>
      <c r="M114" s="50" t="s">
        <v>13</v>
      </c>
      <c r="N114" s="50" t="s">
        <v>14</v>
      </c>
      <c r="O114" s="48" t="s">
        <v>620</v>
      </c>
      <c r="P114" s="45" t="s">
        <v>453</v>
      </c>
      <c r="Q114" s="35" t="str">
        <f>MID(Tabla1[[#This Row],[Aplicación]],14,1)</f>
        <v>2</v>
      </c>
      <c r="R114" s="35" t="s">
        <v>441</v>
      </c>
      <c r="S114" s="35" t="str">
        <f>MID(Tabla1[[#This Row],[Aplicación]],6,2)</f>
        <v>10</v>
      </c>
      <c r="T114" s="35" t="str">
        <f>VLOOKUP(Tabla1[[#This Row],[AREA]],Hoja1!A:B,2,FALSE)</f>
        <v>10. Servicios sociales y mediación comunitaria</v>
      </c>
      <c r="U114" s="35" t="str">
        <f>MID(Tabla1[[#This Row],[Aplicación]],9,4)</f>
        <v>2312</v>
      </c>
      <c r="V114" s="35" t="str">
        <f>VLOOKUP(Tabla1[[#This Row],[PROGRAMA]],Hoja1!A:B,2,FALSE)</f>
        <v>2312. Iniciativas sociales</v>
      </c>
      <c r="W114" s="35" t="str">
        <f>MID(Tabla1[[#This Row],[Aplicación]],14,2)</f>
        <v>21</v>
      </c>
      <c r="X114" s="35" t="str">
        <f>MID(Tabla1[[#This Row],[Aplicación]],14,6)</f>
        <v>213</v>
      </c>
    </row>
    <row r="115" spans="1:24" x14ac:dyDescent="0.25">
      <c r="A115" s="49">
        <v>220219001010</v>
      </c>
      <c r="B115" s="50" t="s">
        <v>9</v>
      </c>
      <c r="C115" s="57">
        <v>44562</v>
      </c>
      <c r="D115" s="49">
        <v>22022000450</v>
      </c>
      <c r="E115" s="50" t="s">
        <v>1502</v>
      </c>
      <c r="F115" s="58">
        <v>2775</v>
      </c>
      <c r="G115" s="50" t="s">
        <v>58</v>
      </c>
      <c r="H115" s="50" t="s">
        <v>1520</v>
      </c>
      <c r="I115" s="49" t="s">
        <v>107</v>
      </c>
      <c r="J115" s="50" t="s">
        <v>109</v>
      </c>
      <c r="K115" s="50" t="s">
        <v>109</v>
      </c>
      <c r="L115" s="50" t="s">
        <v>12</v>
      </c>
      <c r="M115" s="50" t="s">
        <v>13</v>
      </c>
      <c r="N115" s="50" t="s">
        <v>14</v>
      </c>
      <c r="O115" s="48" t="s">
        <v>620</v>
      </c>
      <c r="P115" s="45" t="s">
        <v>453</v>
      </c>
      <c r="Q115" s="35" t="str">
        <f>MID(Tabla1[[#This Row],[Aplicación]],14,1)</f>
        <v>2</v>
      </c>
      <c r="R115" s="35" t="s">
        <v>441</v>
      </c>
      <c r="S115" s="35" t="str">
        <f>MID(Tabla1[[#This Row],[Aplicación]],6,2)</f>
        <v>10</v>
      </c>
      <c r="T115" s="35" t="str">
        <f>VLOOKUP(Tabla1[[#This Row],[AREA]],Hoja1!A:B,2,FALSE)</f>
        <v>10. Servicios sociales y mediación comunitaria</v>
      </c>
      <c r="U115" s="35" t="str">
        <f>MID(Tabla1[[#This Row],[Aplicación]],9,4)</f>
        <v>2412</v>
      </c>
      <c r="V115" s="35" t="str">
        <f>VLOOKUP(Tabla1[[#This Row],[PROGRAMA]],Hoja1!A:B,2,FALSE)</f>
        <v>2412. Formación para el empleo</v>
      </c>
      <c r="W115" s="35" t="str">
        <f>MID(Tabla1[[#This Row],[Aplicación]],14,2)</f>
        <v>21</v>
      </c>
      <c r="X115" s="35" t="str">
        <f>MID(Tabla1[[#This Row],[Aplicación]],14,6)</f>
        <v>213</v>
      </c>
    </row>
    <row r="116" spans="1:24" x14ac:dyDescent="0.25">
      <c r="A116" s="49">
        <v>220219001011</v>
      </c>
      <c r="B116" s="50" t="s">
        <v>9</v>
      </c>
      <c r="C116" s="57">
        <v>44562</v>
      </c>
      <c r="D116" s="49">
        <v>22022000451</v>
      </c>
      <c r="E116" s="50" t="s">
        <v>1496</v>
      </c>
      <c r="F116" s="58">
        <v>25489.27</v>
      </c>
      <c r="G116" s="50" t="s">
        <v>58</v>
      </c>
      <c r="H116" s="50" t="s">
        <v>1521</v>
      </c>
      <c r="I116" s="49" t="s">
        <v>107</v>
      </c>
      <c r="J116" s="50" t="s">
        <v>109</v>
      </c>
      <c r="K116" s="50" t="s">
        <v>109</v>
      </c>
      <c r="L116" s="50" t="s">
        <v>15</v>
      </c>
      <c r="M116" s="50" t="s">
        <v>13</v>
      </c>
      <c r="N116" s="50" t="s">
        <v>14</v>
      </c>
      <c r="O116" s="48" t="s">
        <v>620</v>
      </c>
      <c r="P116" s="45" t="s">
        <v>453</v>
      </c>
      <c r="Q116" s="35" t="str">
        <f>MID(Tabla1[[#This Row],[Aplicación]],14,1)</f>
        <v>2</v>
      </c>
      <c r="R116" s="35" t="s">
        <v>441</v>
      </c>
      <c r="S116" s="35" t="str">
        <f>MID(Tabla1[[#This Row],[Aplicación]],6,2)</f>
        <v>10</v>
      </c>
      <c r="T116" s="35" t="str">
        <f>VLOOKUP(Tabla1[[#This Row],[AREA]],Hoja1!A:B,2,FALSE)</f>
        <v>10. Servicios sociales y mediación comunitaria</v>
      </c>
      <c r="U116" s="35" t="str">
        <f>MID(Tabla1[[#This Row],[Aplicación]],9,4)</f>
        <v>2311</v>
      </c>
      <c r="V116" s="35" t="str">
        <f>VLOOKUP(Tabla1[[#This Row],[PROGRAMA]],Hoja1!A:B,2,FALSE)</f>
        <v>2311. Intervención social</v>
      </c>
      <c r="W116" s="35" t="str">
        <f>MID(Tabla1[[#This Row],[Aplicación]],14,2)</f>
        <v>21</v>
      </c>
      <c r="X116" s="35" t="str">
        <f>MID(Tabla1[[#This Row],[Aplicación]],14,6)</f>
        <v>213</v>
      </c>
    </row>
    <row r="117" spans="1:24" x14ac:dyDescent="0.25">
      <c r="A117" s="49">
        <v>220219001012</v>
      </c>
      <c r="B117" s="50" t="s">
        <v>9</v>
      </c>
      <c r="C117" s="57">
        <v>44562</v>
      </c>
      <c r="D117" s="49">
        <v>22022000452</v>
      </c>
      <c r="E117" s="50" t="s">
        <v>1496</v>
      </c>
      <c r="F117" s="58">
        <v>682.93</v>
      </c>
      <c r="G117" s="50" t="s">
        <v>58</v>
      </c>
      <c r="H117" s="50" t="s">
        <v>1522</v>
      </c>
      <c r="I117" s="49" t="s">
        <v>107</v>
      </c>
      <c r="J117" s="50" t="s">
        <v>109</v>
      </c>
      <c r="K117" s="50" t="s">
        <v>109</v>
      </c>
      <c r="L117" s="50" t="s">
        <v>15</v>
      </c>
      <c r="M117" s="50" t="s">
        <v>13</v>
      </c>
      <c r="N117" s="50" t="s">
        <v>14</v>
      </c>
      <c r="O117" s="48" t="s">
        <v>620</v>
      </c>
      <c r="P117" s="45" t="s">
        <v>453</v>
      </c>
      <c r="Q117" s="35" t="str">
        <f>MID(Tabla1[[#This Row],[Aplicación]],14,1)</f>
        <v>2</v>
      </c>
      <c r="R117" s="35" t="s">
        <v>441</v>
      </c>
      <c r="S117" s="35" t="str">
        <f>MID(Tabla1[[#This Row],[Aplicación]],6,2)</f>
        <v>10</v>
      </c>
      <c r="T117" s="35" t="str">
        <f>VLOOKUP(Tabla1[[#This Row],[AREA]],Hoja1!A:B,2,FALSE)</f>
        <v>10. Servicios sociales y mediación comunitaria</v>
      </c>
      <c r="U117" s="35" t="str">
        <f>MID(Tabla1[[#This Row],[Aplicación]],9,4)</f>
        <v>2311</v>
      </c>
      <c r="V117" s="35" t="str">
        <f>VLOOKUP(Tabla1[[#This Row],[PROGRAMA]],Hoja1!A:B,2,FALSE)</f>
        <v>2311. Intervención social</v>
      </c>
      <c r="W117" s="35" t="str">
        <f>MID(Tabla1[[#This Row],[Aplicación]],14,2)</f>
        <v>21</v>
      </c>
      <c r="X117" s="35" t="str">
        <f>MID(Tabla1[[#This Row],[Aplicación]],14,6)</f>
        <v>213</v>
      </c>
    </row>
    <row r="118" spans="1:24" x14ac:dyDescent="0.25">
      <c r="A118" s="49">
        <v>220219001019</v>
      </c>
      <c r="B118" s="50" t="s">
        <v>9</v>
      </c>
      <c r="C118" s="57">
        <v>44562</v>
      </c>
      <c r="D118" s="49">
        <v>22022000455</v>
      </c>
      <c r="E118" s="50" t="s">
        <v>1446</v>
      </c>
      <c r="F118" s="58">
        <v>4200</v>
      </c>
      <c r="G118" s="50" t="s">
        <v>58</v>
      </c>
      <c r="H118" s="50" t="s">
        <v>1523</v>
      </c>
      <c r="I118" s="49" t="s">
        <v>107</v>
      </c>
      <c r="J118" s="50" t="s">
        <v>109</v>
      </c>
      <c r="K118" s="50" t="s">
        <v>109</v>
      </c>
      <c r="L118" s="50" t="s">
        <v>15</v>
      </c>
      <c r="M118" s="50" t="s">
        <v>13</v>
      </c>
      <c r="N118" s="50" t="s">
        <v>14</v>
      </c>
      <c r="O118" s="48" t="s">
        <v>620</v>
      </c>
      <c r="P118" s="45" t="s">
        <v>453</v>
      </c>
      <c r="Q118" s="35" t="str">
        <f>MID(Tabla1[[#This Row],[Aplicación]],14,1)</f>
        <v>2</v>
      </c>
      <c r="R118" s="35" t="s">
        <v>441</v>
      </c>
      <c r="S118" s="35" t="str">
        <f>MID(Tabla1[[#This Row],[Aplicación]],6,2)</f>
        <v>04</v>
      </c>
      <c r="T118" s="35" t="str">
        <f>VLOOKUP(Tabla1[[#This Row],[AREA]],Hoja1!A:B,2,FALSE)</f>
        <v>04. Planificación y recursos</v>
      </c>
      <c r="U118" s="35" t="str">
        <f>MID(Tabla1[[#This Row],[Aplicación]],9,4)</f>
        <v>9341</v>
      </c>
      <c r="V118" s="35" t="str">
        <f>VLOOKUP(Tabla1[[#This Row],[PROGRAMA]],Hoja1!A:B,2,FALSE)</f>
        <v>9341. Tesorería y recaudación</v>
      </c>
      <c r="W118" s="35" t="str">
        <f>MID(Tabla1[[#This Row],[Aplicación]],14,2)</f>
        <v>21</v>
      </c>
      <c r="X118" s="35" t="str">
        <f>MID(Tabla1[[#This Row],[Aplicación]],14,6)</f>
        <v>213</v>
      </c>
    </row>
    <row r="119" spans="1:24" x14ac:dyDescent="0.25">
      <c r="A119" s="49">
        <v>220219001020</v>
      </c>
      <c r="B119" s="50" t="s">
        <v>9</v>
      </c>
      <c r="C119" s="57">
        <v>44562</v>
      </c>
      <c r="D119" s="49">
        <v>22022000456</v>
      </c>
      <c r="E119" s="50" t="s">
        <v>1456</v>
      </c>
      <c r="F119" s="58">
        <v>5500</v>
      </c>
      <c r="G119" s="50" t="s">
        <v>58</v>
      </c>
      <c r="H119" s="50" t="s">
        <v>1524</v>
      </c>
      <c r="I119" s="49" t="s">
        <v>107</v>
      </c>
      <c r="J119" s="50" t="s">
        <v>109</v>
      </c>
      <c r="K119" s="50" t="s">
        <v>109</v>
      </c>
      <c r="L119" s="50" t="s">
        <v>12</v>
      </c>
      <c r="M119" s="50" t="s">
        <v>13</v>
      </c>
      <c r="N119" s="50" t="s">
        <v>14</v>
      </c>
      <c r="O119" s="48" t="s">
        <v>620</v>
      </c>
      <c r="P119" s="45" t="s">
        <v>453</v>
      </c>
      <c r="Q119" s="35" t="str">
        <f>MID(Tabla1[[#This Row],[Aplicación]],14,1)</f>
        <v>2</v>
      </c>
      <c r="R119" s="35" t="s">
        <v>441</v>
      </c>
      <c r="S119" s="35" t="str">
        <f>MID(Tabla1[[#This Row],[Aplicación]],6,2)</f>
        <v>05</v>
      </c>
      <c r="T119" s="35" t="str">
        <f>VLOOKUP(Tabla1[[#This Row],[AREA]],Hoja1!A:B,2,FALSE)</f>
        <v>05. Innovación, desarrollo económico, empleo y comercio</v>
      </c>
      <c r="U119" s="35" t="str">
        <f>MID(Tabla1[[#This Row],[Aplicación]],9,4)</f>
        <v>4331</v>
      </c>
      <c r="V119" s="35" t="str">
        <f>VLOOKUP(Tabla1[[#This Row],[PROGRAMA]],Hoja1!A:B,2,FALSE)</f>
        <v>4331. Desarrollo empresarial</v>
      </c>
      <c r="W119" s="35" t="str">
        <f>MID(Tabla1[[#This Row],[Aplicación]],14,2)</f>
        <v>20</v>
      </c>
      <c r="X119" s="35" t="str">
        <f>MID(Tabla1[[#This Row],[Aplicación]],14,6)</f>
        <v>203</v>
      </c>
    </row>
    <row r="120" spans="1:24" x14ac:dyDescent="0.25">
      <c r="A120" s="49">
        <v>220219001021</v>
      </c>
      <c r="B120" s="50" t="s">
        <v>9</v>
      </c>
      <c r="C120" s="57">
        <v>44562</v>
      </c>
      <c r="D120" s="49">
        <v>22022000457</v>
      </c>
      <c r="E120" s="50" t="s">
        <v>1525</v>
      </c>
      <c r="F120" s="58">
        <v>740</v>
      </c>
      <c r="G120" s="50" t="s">
        <v>58</v>
      </c>
      <c r="H120" s="50" t="s">
        <v>1526</v>
      </c>
      <c r="I120" s="49" t="s">
        <v>107</v>
      </c>
      <c r="J120" s="50" t="s">
        <v>109</v>
      </c>
      <c r="K120" s="50" t="s">
        <v>109</v>
      </c>
      <c r="L120" s="50" t="s">
        <v>15</v>
      </c>
      <c r="M120" s="50" t="s">
        <v>13</v>
      </c>
      <c r="N120" s="50" t="s">
        <v>14</v>
      </c>
      <c r="O120" s="48" t="s">
        <v>620</v>
      </c>
      <c r="P120" s="45" t="s">
        <v>453</v>
      </c>
      <c r="Q120" s="35" t="str">
        <f>MID(Tabla1[[#This Row],[Aplicación]],14,1)</f>
        <v>2</v>
      </c>
      <c r="R120" s="35" t="s">
        <v>441</v>
      </c>
      <c r="S120" s="35" t="str">
        <f>MID(Tabla1[[#This Row],[Aplicación]],6,2)</f>
        <v>08</v>
      </c>
      <c r="T120" s="35" t="str">
        <f>VLOOKUP(Tabla1[[#This Row],[AREA]],Hoja1!A:B,2,FALSE)</f>
        <v>08. Movilidad y espacio urbano</v>
      </c>
      <c r="U120" s="35" t="str">
        <f>MID(Tabla1[[#This Row],[Aplicación]],9,4)</f>
        <v>1341</v>
      </c>
      <c r="V120" s="35" t="str">
        <f>VLOOKUP(Tabla1[[#This Row],[PROGRAMA]],Hoja1!A:B,2,FALSE)</f>
        <v>1341. Movilidad</v>
      </c>
      <c r="W120" s="35" t="str">
        <f>MID(Tabla1[[#This Row],[Aplicación]],14,2)</f>
        <v>20</v>
      </c>
      <c r="X120" s="35" t="str">
        <f>MID(Tabla1[[#This Row],[Aplicación]],14,6)</f>
        <v>203</v>
      </c>
    </row>
    <row r="121" spans="1:24" x14ac:dyDescent="0.25">
      <c r="A121" s="49">
        <v>220219001022</v>
      </c>
      <c r="B121" s="50" t="s">
        <v>9</v>
      </c>
      <c r="C121" s="57">
        <v>44562</v>
      </c>
      <c r="D121" s="49">
        <v>22022000458</v>
      </c>
      <c r="E121" s="50" t="s">
        <v>1477</v>
      </c>
      <c r="F121" s="58">
        <v>2000</v>
      </c>
      <c r="G121" s="50" t="s">
        <v>58</v>
      </c>
      <c r="H121" s="50" t="s">
        <v>1527</v>
      </c>
      <c r="I121" s="49" t="s">
        <v>107</v>
      </c>
      <c r="J121" s="50" t="s">
        <v>109</v>
      </c>
      <c r="K121" s="50" t="s">
        <v>109</v>
      </c>
      <c r="L121" s="50" t="s">
        <v>15</v>
      </c>
      <c r="M121" s="50" t="s">
        <v>13</v>
      </c>
      <c r="N121" s="50" t="s">
        <v>14</v>
      </c>
      <c r="O121" s="48" t="s">
        <v>620</v>
      </c>
      <c r="P121" s="45" t="s">
        <v>453</v>
      </c>
      <c r="Q121" s="35" t="str">
        <f>MID(Tabla1[[#This Row],[Aplicación]],14,1)</f>
        <v>2</v>
      </c>
      <c r="R121" s="35" t="s">
        <v>441</v>
      </c>
      <c r="S121" s="35" t="str">
        <f>MID(Tabla1[[#This Row],[Aplicación]],6,2)</f>
        <v>05</v>
      </c>
      <c r="T121" s="35" t="str">
        <f>VLOOKUP(Tabla1[[#This Row],[AREA]],Hoja1!A:B,2,FALSE)</f>
        <v>05. Innovación, desarrollo económico, empleo y comercio</v>
      </c>
      <c r="U121" s="35" t="str">
        <f>MID(Tabla1[[#This Row],[Aplicación]],9,4)</f>
        <v>4301</v>
      </c>
      <c r="V121" s="35" t="str">
        <f>VLOOKUP(Tabla1[[#This Row],[PROGRAMA]],Hoja1!A:B,2,FALSE)</f>
        <v>4301. Dirección del área de innovación</v>
      </c>
      <c r="W121" s="35" t="str">
        <f>MID(Tabla1[[#This Row],[Aplicación]],14,2)</f>
        <v>20</v>
      </c>
      <c r="X121" s="35" t="str">
        <f>MID(Tabla1[[#This Row],[Aplicación]],14,6)</f>
        <v>203</v>
      </c>
    </row>
    <row r="122" spans="1:24" x14ac:dyDescent="0.25">
      <c r="A122" s="49">
        <v>220219001023</v>
      </c>
      <c r="B122" s="50" t="s">
        <v>9</v>
      </c>
      <c r="C122" s="57">
        <v>44562</v>
      </c>
      <c r="D122" s="49">
        <v>22022000459</v>
      </c>
      <c r="E122" s="50" t="s">
        <v>1528</v>
      </c>
      <c r="F122" s="58">
        <v>620</v>
      </c>
      <c r="G122" s="50" t="s">
        <v>58</v>
      </c>
      <c r="H122" s="50" t="s">
        <v>1529</v>
      </c>
      <c r="I122" s="49" t="s">
        <v>107</v>
      </c>
      <c r="J122" s="50" t="s">
        <v>109</v>
      </c>
      <c r="K122" s="50" t="s">
        <v>109</v>
      </c>
      <c r="L122" s="50" t="s">
        <v>15</v>
      </c>
      <c r="M122" s="50" t="s">
        <v>13</v>
      </c>
      <c r="N122" s="50" t="s">
        <v>14</v>
      </c>
      <c r="O122" s="48" t="s">
        <v>620</v>
      </c>
      <c r="P122" s="45" t="s">
        <v>453</v>
      </c>
      <c r="Q122" s="35" t="str">
        <f>MID(Tabla1[[#This Row],[Aplicación]],14,1)</f>
        <v>2</v>
      </c>
      <c r="R122" s="35" t="s">
        <v>441</v>
      </c>
      <c r="S122" s="35" t="str">
        <f>MID(Tabla1[[#This Row],[Aplicación]],6,2)</f>
        <v>08</v>
      </c>
      <c r="T122" s="35" t="str">
        <f>VLOOKUP(Tabla1[[#This Row],[AREA]],Hoja1!A:B,2,FALSE)</f>
        <v>08. Movilidad y espacio urbano</v>
      </c>
      <c r="U122" s="35" t="str">
        <f>MID(Tabla1[[#This Row],[Aplicación]],9,4)</f>
        <v>1341</v>
      </c>
      <c r="V122" s="35" t="str">
        <f>VLOOKUP(Tabla1[[#This Row],[PROGRAMA]],Hoja1!A:B,2,FALSE)</f>
        <v>1341. Movilidad</v>
      </c>
      <c r="W122" s="35" t="str">
        <f>MID(Tabla1[[#This Row],[Aplicación]],14,2)</f>
        <v>21</v>
      </c>
      <c r="X122" s="35" t="str">
        <f>MID(Tabla1[[#This Row],[Aplicación]],14,6)</f>
        <v>213</v>
      </c>
    </row>
    <row r="123" spans="1:24" x14ac:dyDescent="0.25">
      <c r="A123" s="49">
        <v>220219001024</v>
      </c>
      <c r="B123" s="50" t="s">
        <v>9</v>
      </c>
      <c r="C123" s="57">
        <v>44562</v>
      </c>
      <c r="D123" s="49">
        <v>22022000460</v>
      </c>
      <c r="E123" s="50" t="s">
        <v>1528</v>
      </c>
      <c r="F123" s="58">
        <v>250</v>
      </c>
      <c r="G123" s="50" t="s">
        <v>58</v>
      </c>
      <c r="H123" s="50" t="s">
        <v>1530</v>
      </c>
      <c r="I123" s="49" t="s">
        <v>107</v>
      </c>
      <c r="J123" s="50" t="s">
        <v>109</v>
      </c>
      <c r="K123" s="50" t="s">
        <v>109</v>
      </c>
      <c r="L123" s="50" t="s">
        <v>15</v>
      </c>
      <c r="M123" s="50" t="s">
        <v>13</v>
      </c>
      <c r="N123" s="50" t="s">
        <v>14</v>
      </c>
      <c r="O123" s="48" t="s">
        <v>620</v>
      </c>
      <c r="P123" s="45" t="s">
        <v>453</v>
      </c>
      <c r="Q123" s="35" t="str">
        <f>MID(Tabla1[[#This Row],[Aplicación]],14,1)</f>
        <v>2</v>
      </c>
      <c r="R123" s="35" t="s">
        <v>441</v>
      </c>
      <c r="S123" s="35" t="str">
        <f>MID(Tabla1[[#This Row],[Aplicación]],6,2)</f>
        <v>08</v>
      </c>
      <c r="T123" s="35" t="str">
        <f>VLOOKUP(Tabla1[[#This Row],[AREA]],Hoja1!A:B,2,FALSE)</f>
        <v>08. Movilidad y espacio urbano</v>
      </c>
      <c r="U123" s="35" t="str">
        <f>MID(Tabla1[[#This Row],[Aplicación]],9,4)</f>
        <v>1341</v>
      </c>
      <c r="V123" s="35" t="str">
        <f>VLOOKUP(Tabla1[[#This Row],[PROGRAMA]],Hoja1!A:B,2,FALSE)</f>
        <v>1341. Movilidad</v>
      </c>
      <c r="W123" s="35" t="str">
        <f>MID(Tabla1[[#This Row],[Aplicación]],14,2)</f>
        <v>21</v>
      </c>
      <c r="X123" s="35" t="str">
        <f>MID(Tabla1[[#This Row],[Aplicación]],14,6)</f>
        <v>213</v>
      </c>
    </row>
    <row r="124" spans="1:24" x14ac:dyDescent="0.25">
      <c r="A124" s="49">
        <v>220219001025</v>
      </c>
      <c r="B124" s="50" t="s">
        <v>9</v>
      </c>
      <c r="C124" s="57">
        <v>44562</v>
      </c>
      <c r="D124" s="49">
        <v>22022000461</v>
      </c>
      <c r="E124" s="50" t="s">
        <v>1525</v>
      </c>
      <c r="F124" s="58">
        <v>740</v>
      </c>
      <c r="G124" s="50" t="s">
        <v>58</v>
      </c>
      <c r="H124" s="50" t="s">
        <v>1531</v>
      </c>
      <c r="I124" s="49" t="s">
        <v>107</v>
      </c>
      <c r="J124" s="50" t="s">
        <v>109</v>
      </c>
      <c r="K124" s="50" t="s">
        <v>109</v>
      </c>
      <c r="L124" s="50" t="s">
        <v>15</v>
      </c>
      <c r="M124" s="50" t="s">
        <v>13</v>
      </c>
      <c r="N124" s="50" t="s">
        <v>14</v>
      </c>
      <c r="O124" s="48" t="s">
        <v>620</v>
      </c>
      <c r="P124" s="45" t="s">
        <v>453</v>
      </c>
      <c r="Q124" s="35" t="str">
        <f>MID(Tabla1[[#This Row],[Aplicación]],14,1)</f>
        <v>2</v>
      </c>
      <c r="R124" s="35" t="s">
        <v>441</v>
      </c>
      <c r="S124" s="35" t="str">
        <f>MID(Tabla1[[#This Row],[Aplicación]],6,2)</f>
        <v>08</v>
      </c>
      <c r="T124" s="35" t="str">
        <f>VLOOKUP(Tabla1[[#This Row],[AREA]],Hoja1!A:B,2,FALSE)</f>
        <v>08. Movilidad y espacio urbano</v>
      </c>
      <c r="U124" s="35" t="str">
        <f>MID(Tabla1[[#This Row],[Aplicación]],9,4)</f>
        <v>1341</v>
      </c>
      <c r="V124" s="35" t="str">
        <f>VLOOKUP(Tabla1[[#This Row],[PROGRAMA]],Hoja1!A:B,2,FALSE)</f>
        <v>1341. Movilidad</v>
      </c>
      <c r="W124" s="35" t="str">
        <f>MID(Tabla1[[#This Row],[Aplicación]],14,2)</f>
        <v>20</v>
      </c>
      <c r="X124" s="35" t="str">
        <f>MID(Tabla1[[#This Row],[Aplicación]],14,6)</f>
        <v>203</v>
      </c>
    </row>
    <row r="125" spans="1:24" x14ac:dyDescent="0.25">
      <c r="A125" s="49">
        <v>220219001026</v>
      </c>
      <c r="B125" s="50" t="s">
        <v>9</v>
      </c>
      <c r="C125" s="57">
        <v>44562</v>
      </c>
      <c r="D125" s="49">
        <v>22022000462</v>
      </c>
      <c r="E125" s="50" t="s">
        <v>1532</v>
      </c>
      <c r="F125" s="58">
        <v>1850</v>
      </c>
      <c r="G125" s="50" t="s">
        <v>58</v>
      </c>
      <c r="H125" s="50" t="s">
        <v>1533</v>
      </c>
      <c r="I125" s="49" t="s">
        <v>107</v>
      </c>
      <c r="J125" s="50" t="s">
        <v>109</v>
      </c>
      <c r="K125" s="50" t="s">
        <v>109</v>
      </c>
      <c r="L125" s="50" t="s">
        <v>12</v>
      </c>
      <c r="M125" s="50" t="s">
        <v>13</v>
      </c>
      <c r="N125" s="50" t="s">
        <v>14</v>
      </c>
      <c r="O125" s="48" t="s">
        <v>620</v>
      </c>
      <c r="P125" s="45" t="s">
        <v>453</v>
      </c>
      <c r="Q125" s="35" t="str">
        <f>MID(Tabla1[[#This Row],[Aplicación]],14,1)</f>
        <v>2</v>
      </c>
      <c r="R125" s="35" t="s">
        <v>441</v>
      </c>
      <c r="S125" s="35" t="str">
        <f>MID(Tabla1[[#This Row],[Aplicación]],6,2)</f>
        <v>05</v>
      </c>
      <c r="T125" s="35" t="str">
        <f>VLOOKUP(Tabla1[[#This Row],[AREA]],Hoja1!A:B,2,FALSE)</f>
        <v>05. Innovación, desarrollo económico, empleo y comercio</v>
      </c>
      <c r="U125" s="35" t="str">
        <f>MID(Tabla1[[#This Row],[Aplicación]],9,4)</f>
        <v>4312</v>
      </c>
      <c r="V125" s="35" t="str">
        <f>VLOOKUP(Tabla1[[#This Row],[PROGRAMA]],Hoja1!A:B,2,FALSE)</f>
        <v>4312. Mercados, abastos y lonjas</v>
      </c>
      <c r="W125" s="35" t="str">
        <f>MID(Tabla1[[#This Row],[Aplicación]],14,2)</f>
        <v>20</v>
      </c>
      <c r="X125" s="35" t="str">
        <f>MID(Tabla1[[#This Row],[Aplicación]],14,6)</f>
        <v>203</v>
      </c>
    </row>
    <row r="126" spans="1:24" x14ac:dyDescent="0.25">
      <c r="A126" s="49">
        <v>220219001027</v>
      </c>
      <c r="B126" s="50" t="s">
        <v>9</v>
      </c>
      <c r="C126" s="57">
        <v>44562</v>
      </c>
      <c r="D126" s="49">
        <v>22022000463</v>
      </c>
      <c r="E126" s="50" t="s">
        <v>1445</v>
      </c>
      <c r="F126" s="58">
        <v>9790</v>
      </c>
      <c r="G126" s="50" t="s">
        <v>58</v>
      </c>
      <c r="H126" s="50" t="s">
        <v>1534</v>
      </c>
      <c r="I126" s="49" t="s">
        <v>107</v>
      </c>
      <c r="J126" s="50" t="s">
        <v>109</v>
      </c>
      <c r="K126" s="50" t="s">
        <v>109</v>
      </c>
      <c r="L126" s="50" t="s">
        <v>12</v>
      </c>
      <c r="M126" s="50" t="s">
        <v>13</v>
      </c>
      <c r="N126" s="50" t="s">
        <v>16</v>
      </c>
      <c r="O126" s="48" t="s">
        <v>620</v>
      </c>
      <c r="P126" s="45" t="s">
        <v>453</v>
      </c>
      <c r="Q126" s="35" t="str">
        <f>MID(Tabla1[[#This Row],[Aplicación]],14,1)</f>
        <v>2</v>
      </c>
      <c r="R126" s="35" t="s">
        <v>441</v>
      </c>
      <c r="S126" s="35" t="str">
        <f>MID(Tabla1[[#This Row],[Aplicación]],6,2)</f>
        <v>08</v>
      </c>
      <c r="T126" s="35" t="str">
        <f>VLOOKUP(Tabla1[[#This Row],[AREA]],Hoja1!A:B,2,FALSE)</f>
        <v>08. Movilidad y espacio urbano</v>
      </c>
      <c r="U126" s="35" t="str">
        <f>MID(Tabla1[[#This Row],[Aplicación]],9,4)</f>
        <v>1301</v>
      </c>
      <c r="V126" s="35" t="str">
        <f>VLOOKUP(Tabla1[[#This Row],[PROGRAMA]],Hoja1!A:B,2,FALSE)</f>
        <v>1301. Dirección del área de seguridad</v>
      </c>
      <c r="W126" s="35" t="str">
        <f>MID(Tabla1[[#This Row],[Aplicación]],14,2)</f>
        <v>21</v>
      </c>
      <c r="X126" s="35" t="str">
        <f>MID(Tabla1[[#This Row],[Aplicación]],14,6)</f>
        <v>213</v>
      </c>
    </row>
    <row r="127" spans="1:24" x14ac:dyDescent="0.25">
      <c r="A127" s="49">
        <v>220219001028</v>
      </c>
      <c r="B127" s="50" t="s">
        <v>9</v>
      </c>
      <c r="C127" s="57">
        <v>44562</v>
      </c>
      <c r="D127" s="49">
        <v>22022001480</v>
      </c>
      <c r="E127" s="50" t="s">
        <v>1535</v>
      </c>
      <c r="F127" s="58">
        <v>5000</v>
      </c>
      <c r="G127" s="50" t="s">
        <v>58</v>
      </c>
      <c r="H127" s="50" t="s">
        <v>1536</v>
      </c>
      <c r="I127" s="49" t="s">
        <v>107</v>
      </c>
      <c r="J127" s="50" t="s">
        <v>109</v>
      </c>
      <c r="K127" s="50" t="s">
        <v>109</v>
      </c>
      <c r="L127" s="50" t="s">
        <v>12</v>
      </c>
      <c r="M127" s="50" t="s">
        <v>13</v>
      </c>
      <c r="N127" s="50" t="s">
        <v>14</v>
      </c>
      <c r="O127" s="48" t="s">
        <v>620</v>
      </c>
      <c r="P127" s="45" t="s">
        <v>453</v>
      </c>
      <c r="Q127" s="35" t="str">
        <f>MID(Tabla1[[#This Row],[Aplicación]],14,1)</f>
        <v>2</v>
      </c>
      <c r="R127" s="35" t="s">
        <v>441</v>
      </c>
      <c r="S127" s="35" t="str">
        <f>MID(Tabla1[[#This Row],[Aplicación]],6,2)</f>
        <v>04</v>
      </c>
      <c r="T127" s="35" t="str">
        <f>VLOOKUP(Tabla1[[#This Row],[AREA]],Hoja1!A:B,2,FALSE)</f>
        <v>04. Planificación y recursos</v>
      </c>
      <c r="U127" s="35" t="str">
        <f>MID(Tabla1[[#This Row],[Aplicación]],9,4)</f>
        <v>9231</v>
      </c>
      <c r="V127" s="35" t="str">
        <f>VLOOKUP(Tabla1[[#This Row],[PROGRAMA]],Hoja1!A:B,2,FALSE)</f>
        <v>9231. Información, registro y gestión del padrón</v>
      </c>
      <c r="W127" s="35" t="str">
        <f>MID(Tabla1[[#This Row],[Aplicación]],14,2)</f>
        <v>21</v>
      </c>
      <c r="X127" s="35" t="str">
        <f>MID(Tabla1[[#This Row],[Aplicación]],14,6)</f>
        <v>213</v>
      </c>
    </row>
    <row r="128" spans="1:24" x14ac:dyDescent="0.25">
      <c r="A128" s="49">
        <v>220219001029</v>
      </c>
      <c r="B128" s="50" t="s">
        <v>9</v>
      </c>
      <c r="C128" s="57">
        <v>44562</v>
      </c>
      <c r="D128" s="49">
        <v>22022000464</v>
      </c>
      <c r="E128" s="50" t="s">
        <v>1444</v>
      </c>
      <c r="F128" s="58">
        <v>6420</v>
      </c>
      <c r="G128" s="50" t="s">
        <v>58</v>
      </c>
      <c r="H128" s="50" t="s">
        <v>1537</v>
      </c>
      <c r="I128" s="49" t="s">
        <v>107</v>
      </c>
      <c r="J128" s="50" t="s">
        <v>109</v>
      </c>
      <c r="K128" s="50" t="s">
        <v>109</v>
      </c>
      <c r="L128" s="50" t="s">
        <v>12</v>
      </c>
      <c r="M128" s="50" t="s">
        <v>13</v>
      </c>
      <c r="N128" s="50" t="s">
        <v>16</v>
      </c>
      <c r="O128" s="48" t="s">
        <v>620</v>
      </c>
      <c r="P128" s="45" t="s">
        <v>453</v>
      </c>
      <c r="Q128" s="35" t="str">
        <f>MID(Tabla1[[#This Row],[Aplicación]],14,1)</f>
        <v>2</v>
      </c>
      <c r="R128" s="35" t="s">
        <v>441</v>
      </c>
      <c r="S128" s="35" t="str">
        <f>MID(Tabla1[[#This Row],[Aplicación]],6,2)</f>
        <v>08</v>
      </c>
      <c r="T128" s="35" t="str">
        <f>VLOOKUP(Tabla1[[#This Row],[AREA]],Hoja1!A:B,2,FALSE)</f>
        <v>08. Movilidad y espacio urbano</v>
      </c>
      <c r="U128" s="35" t="str">
        <f>MID(Tabla1[[#This Row],[Aplicación]],9,4)</f>
        <v>1301</v>
      </c>
      <c r="V128" s="35" t="str">
        <f>VLOOKUP(Tabla1[[#This Row],[PROGRAMA]],Hoja1!A:B,2,FALSE)</f>
        <v>1301. Dirección del área de seguridad</v>
      </c>
      <c r="W128" s="35" t="str">
        <f>MID(Tabla1[[#This Row],[Aplicación]],14,2)</f>
        <v>20</v>
      </c>
      <c r="X128" s="35" t="str">
        <f>MID(Tabla1[[#This Row],[Aplicación]],14,6)</f>
        <v>203</v>
      </c>
    </row>
    <row r="129" spans="1:24" x14ac:dyDescent="0.25">
      <c r="A129" s="49">
        <v>220219001030</v>
      </c>
      <c r="B129" s="50" t="s">
        <v>9</v>
      </c>
      <c r="C129" s="57">
        <v>44562</v>
      </c>
      <c r="D129" s="49">
        <v>22022000465</v>
      </c>
      <c r="E129" s="50" t="s">
        <v>1449</v>
      </c>
      <c r="F129" s="58">
        <v>731.72</v>
      </c>
      <c r="G129" s="50" t="s">
        <v>58</v>
      </c>
      <c r="H129" s="50" t="s">
        <v>1538</v>
      </c>
      <c r="I129" s="49" t="s">
        <v>107</v>
      </c>
      <c r="J129" s="50" t="s">
        <v>109</v>
      </c>
      <c r="K129" s="50" t="s">
        <v>109</v>
      </c>
      <c r="L129" s="50" t="s">
        <v>15</v>
      </c>
      <c r="M129" s="50" t="s">
        <v>13</v>
      </c>
      <c r="N129" s="50" t="s">
        <v>14</v>
      </c>
      <c r="O129" s="48" t="s">
        <v>620</v>
      </c>
      <c r="P129" s="45" t="s">
        <v>453</v>
      </c>
      <c r="Q129" s="35" t="str">
        <f>MID(Tabla1[[#This Row],[Aplicación]],14,1)</f>
        <v>2</v>
      </c>
      <c r="R129" s="35" t="s">
        <v>441</v>
      </c>
      <c r="S129" s="35" t="str">
        <f>MID(Tabla1[[#This Row],[Aplicación]],6,2)</f>
        <v>04</v>
      </c>
      <c r="T129" s="35" t="str">
        <f>VLOOKUP(Tabla1[[#This Row],[AREA]],Hoja1!A:B,2,FALSE)</f>
        <v>04. Planificación y recursos</v>
      </c>
      <c r="U129" s="35" t="str">
        <f>MID(Tabla1[[#This Row],[Aplicación]],9,4)</f>
        <v>9311</v>
      </c>
      <c r="V129" s="35" t="str">
        <f>VLOOKUP(Tabla1[[#This Row],[PROGRAMA]],Hoja1!A:B,2,FALSE)</f>
        <v>9311. Planificación económico financiera</v>
      </c>
      <c r="W129" s="35" t="str">
        <f>MID(Tabla1[[#This Row],[Aplicación]],14,2)</f>
        <v>20</v>
      </c>
      <c r="X129" s="35" t="str">
        <f>MID(Tabla1[[#This Row],[Aplicación]],14,6)</f>
        <v>203</v>
      </c>
    </row>
    <row r="130" spans="1:24" x14ac:dyDescent="0.25">
      <c r="A130" s="49">
        <v>220219001031</v>
      </c>
      <c r="B130" s="50" t="s">
        <v>9</v>
      </c>
      <c r="C130" s="57">
        <v>44562</v>
      </c>
      <c r="D130" s="49">
        <v>22022000466</v>
      </c>
      <c r="E130" s="50" t="s">
        <v>1449</v>
      </c>
      <c r="F130" s="58">
        <v>614.65</v>
      </c>
      <c r="G130" s="50" t="s">
        <v>58</v>
      </c>
      <c r="H130" s="50" t="s">
        <v>1539</v>
      </c>
      <c r="I130" s="49" t="s">
        <v>107</v>
      </c>
      <c r="J130" s="50" t="s">
        <v>109</v>
      </c>
      <c r="K130" s="50" t="s">
        <v>109</v>
      </c>
      <c r="L130" s="50" t="s">
        <v>15</v>
      </c>
      <c r="M130" s="50" t="s">
        <v>13</v>
      </c>
      <c r="N130" s="50" t="s">
        <v>14</v>
      </c>
      <c r="O130" s="48" t="s">
        <v>620</v>
      </c>
      <c r="P130" s="45" t="s">
        <v>453</v>
      </c>
      <c r="Q130" s="35" t="str">
        <f>MID(Tabla1[[#This Row],[Aplicación]],14,1)</f>
        <v>2</v>
      </c>
      <c r="R130" s="35" t="s">
        <v>441</v>
      </c>
      <c r="S130" s="35" t="str">
        <f>MID(Tabla1[[#This Row],[Aplicación]],6,2)</f>
        <v>04</v>
      </c>
      <c r="T130" s="35" t="str">
        <f>VLOOKUP(Tabla1[[#This Row],[AREA]],Hoja1!A:B,2,FALSE)</f>
        <v>04. Planificación y recursos</v>
      </c>
      <c r="U130" s="35" t="str">
        <f>MID(Tabla1[[#This Row],[Aplicación]],9,4)</f>
        <v>9311</v>
      </c>
      <c r="V130" s="35" t="str">
        <f>VLOOKUP(Tabla1[[#This Row],[PROGRAMA]],Hoja1!A:B,2,FALSE)</f>
        <v>9311. Planificación económico financiera</v>
      </c>
      <c r="W130" s="35" t="str">
        <f>MID(Tabla1[[#This Row],[Aplicación]],14,2)</f>
        <v>20</v>
      </c>
      <c r="X130" s="35" t="str">
        <f>MID(Tabla1[[#This Row],[Aplicación]],14,6)</f>
        <v>203</v>
      </c>
    </row>
    <row r="131" spans="1:24" x14ac:dyDescent="0.25">
      <c r="A131" s="49">
        <v>220219001034</v>
      </c>
      <c r="B131" s="50" t="s">
        <v>9</v>
      </c>
      <c r="C131" s="57">
        <v>44562</v>
      </c>
      <c r="D131" s="49">
        <v>22022000469</v>
      </c>
      <c r="E131" s="50" t="s">
        <v>1442</v>
      </c>
      <c r="F131" s="58">
        <v>332.7</v>
      </c>
      <c r="G131" s="50" t="s">
        <v>58</v>
      </c>
      <c r="H131" s="50" t="s">
        <v>1540</v>
      </c>
      <c r="I131" s="49" t="s">
        <v>107</v>
      </c>
      <c r="J131" s="50" t="s">
        <v>109</v>
      </c>
      <c r="K131" s="50" t="s">
        <v>109</v>
      </c>
      <c r="L131" s="50" t="s">
        <v>17</v>
      </c>
      <c r="M131" s="50" t="s">
        <v>13</v>
      </c>
      <c r="N131" s="50" t="s">
        <v>14</v>
      </c>
      <c r="O131" s="48" t="s">
        <v>620</v>
      </c>
      <c r="P131" s="45" t="s">
        <v>453</v>
      </c>
      <c r="Q131" s="35" t="str">
        <f>MID(Tabla1[[#This Row],[Aplicación]],14,1)</f>
        <v>2</v>
      </c>
      <c r="R131" s="35" t="s">
        <v>441</v>
      </c>
      <c r="S131" s="35" t="str">
        <f>MID(Tabla1[[#This Row],[Aplicación]],6,2)</f>
        <v>01</v>
      </c>
      <c r="T131" s="35" t="str">
        <f>VLOOKUP(Tabla1[[#This Row],[AREA]],Hoja1!A:B,2,FALSE)</f>
        <v>01. Alcaldía</v>
      </c>
      <c r="U131" s="35" t="str">
        <f>MID(Tabla1[[#This Row],[Aplicación]],9,4)</f>
        <v>9312</v>
      </c>
      <c r="V131" s="35" t="str">
        <f>VLOOKUP(Tabla1[[#This Row],[PROGRAMA]],Hoja1!A:B,2,FALSE)</f>
        <v>9312. Intervención general</v>
      </c>
      <c r="W131" s="35" t="str">
        <f>MID(Tabla1[[#This Row],[Aplicación]],14,2)</f>
        <v>20</v>
      </c>
      <c r="X131" s="35" t="str">
        <f>MID(Tabla1[[#This Row],[Aplicación]],14,6)</f>
        <v>203</v>
      </c>
    </row>
    <row r="132" spans="1:24" x14ac:dyDescent="0.25">
      <c r="A132" s="49">
        <v>220219001035</v>
      </c>
      <c r="B132" s="50" t="s">
        <v>9</v>
      </c>
      <c r="C132" s="57">
        <v>44562</v>
      </c>
      <c r="D132" s="49">
        <v>22022000470</v>
      </c>
      <c r="E132" s="50" t="s">
        <v>1442</v>
      </c>
      <c r="F132" s="58">
        <v>332.7</v>
      </c>
      <c r="G132" s="50" t="s">
        <v>58</v>
      </c>
      <c r="H132" s="50" t="s">
        <v>1541</v>
      </c>
      <c r="I132" s="49" t="s">
        <v>107</v>
      </c>
      <c r="J132" s="50" t="s">
        <v>109</v>
      </c>
      <c r="K132" s="50" t="s">
        <v>109</v>
      </c>
      <c r="L132" s="50" t="s">
        <v>17</v>
      </c>
      <c r="M132" s="50" t="s">
        <v>13</v>
      </c>
      <c r="N132" s="50" t="s">
        <v>14</v>
      </c>
      <c r="O132" s="48" t="s">
        <v>620</v>
      </c>
      <c r="P132" s="45" t="s">
        <v>453</v>
      </c>
      <c r="Q132" s="35" t="str">
        <f>MID(Tabla1[[#This Row],[Aplicación]],14,1)</f>
        <v>2</v>
      </c>
      <c r="R132" s="35" t="s">
        <v>441</v>
      </c>
      <c r="S132" s="35" t="str">
        <f>MID(Tabla1[[#This Row],[Aplicación]],6,2)</f>
        <v>01</v>
      </c>
      <c r="T132" s="35" t="str">
        <f>VLOOKUP(Tabla1[[#This Row],[AREA]],Hoja1!A:B,2,FALSE)</f>
        <v>01. Alcaldía</v>
      </c>
      <c r="U132" s="35" t="str">
        <f>MID(Tabla1[[#This Row],[Aplicación]],9,4)</f>
        <v>9312</v>
      </c>
      <c r="V132" s="35" t="str">
        <f>VLOOKUP(Tabla1[[#This Row],[PROGRAMA]],Hoja1!A:B,2,FALSE)</f>
        <v>9312. Intervención general</v>
      </c>
      <c r="W132" s="35" t="str">
        <f>MID(Tabla1[[#This Row],[Aplicación]],14,2)</f>
        <v>20</v>
      </c>
      <c r="X132" s="35" t="str">
        <f>MID(Tabla1[[#This Row],[Aplicación]],14,6)</f>
        <v>203</v>
      </c>
    </row>
    <row r="133" spans="1:24" x14ac:dyDescent="0.25">
      <c r="A133" s="49">
        <v>220219001036</v>
      </c>
      <c r="B133" s="50" t="s">
        <v>9</v>
      </c>
      <c r="C133" s="57">
        <v>44562</v>
      </c>
      <c r="D133" s="49">
        <v>22022000471</v>
      </c>
      <c r="E133" s="50" t="s">
        <v>1440</v>
      </c>
      <c r="F133" s="58">
        <v>98</v>
      </c>
      <c r="G133" s="50" t="s">
        <v>58</v>
      </c>
      <c r="H133" s="50" t="s">
        <v>1542</v>
      </c>
      <c r="I133" s="49" t="s">
        <v>107</v>
      </c>
      <c r="J133" s="50" t="s">
        <v>109</v>
      </c>
      <c r="K133" s="50" t="s">
        <v>109</v>
      </c>
      <c r="L133" s="50" t="s">
        <v>17</v>
      </c>
      <c r="M133" s="50" t="s">
        <v>13</v>
      </c>
      <c r="N133" s="50" t="s">
        <v>14</v>
      </c>
      <c r="O133" s="48" t="s">
        <v>620</v>
      </c>
      <c r="P133" s="45" t="s">
        <v>453</v>
      </c>
      <c r="Q133" s="35" t="str">
        <f>MID(Tabla1[[#This Row],[Aplicación]],14,1)</f>
        <v>2</v>
      </c>
      <c r="R133" s="35" t="s">
        <v>441</v>
      </c>
      <c r="S133" s="35" t="str">
        <f>MID(Tabla1[[#This Row],[Aplicación]],6,2)</f>
        <v>01</v>
      </c>
      <c r="T133" s="35" t="str">
        <f>VLOOKUP(Tabla1[[#This Row],[AREA]],Hoja1!A:B,2,FALSE)</f>
        <v>01. Alcaldía</v>
      </c>
      <c r="U133" s="35" t="str">
        <f>MID(Tabla1[[#This Row],[Aplicación]],9,4)</f>
        <v>9312</v>
      </c>
      <c r="V133" s="35" t="str">
        <f>VLOOKUP(Tabla1[[#This Row],[PROGRAMA]],Hoja1!A:B,2,FALSE)</f>
        <v>9312. Intervención general</v>
      </c>
      <c r="W133" s="35" t="str">
        <f>MID(Tabla1[[#This Row],[Aplicación]],14,2)</f>
        <v>21</v>
      </c>
      <c r="X133" s="35" t="str">
        <f>MID(Tabla1[[#This Row],[Aplicación]],14,6)</f>
        <v>213</v>
      </c>
    </row>
    <row r="134" spans="1:24" x14ac:dyDescent="0.25">
      <c r="A134" s="49">
        <v>220219001269</v>
      </c>
      <c r="B134" s="50" t="s">
        <v>9</v>
      </c>
      <c r="C134" s="57">
        <v>44562</v>
      </c>
      <c r="D134" s="49">
        <v>22022001992</v>
      </c>
      <c r="E134" s="50" t="s">
        <v>1543</v>
      </c>
      <c r="F134" s="58">
        <v>315391.25</v>
      </c>
      <c r="G134" s="50" t="s">
        <v>161</v>
      </c>
      <c r="H134" s="50" t="s">
        <v>1544</v>
      </c>
      <c r="I134" s="49" t="s">
        <v>107</v>
      </c>
      <c r="J134" s="50" t="s">
        <v>108</v>
      </c>
      <c r="K134" s="50" t="s">
        <v>108</v>
      </c>
      <c r="L134" s="50" t="s">
        <v>12</v>
      </c>
      <c r="M134" s="50" t="s">
        <v>13</v>
      </c>
      <c r="N134" s="50" t="s">
        <v>14</v>
      </c>
      <c r="O134" s="48" t="s">
        <v>620</v>
      </c>
      <c r="P134" s="45" t="s">
        <v>453</v>
      </c>
      <c r="Q134" s="35" t="str">
        <f>MID(Tabla1[[#This Row],[Aplicación]],14,1)</f>
        <v>6</v>
      </c>
      <c r="R134" s="35" t="s">
        <v>442</v>
      </c>
      <c r="S134" s="35" t="str">
        <f>MID(Tabla1[[#This Row],[Aplicación]],6,2)</f>
        <v>04</v>
      </c>
      <c r="T134" s="35" t="str">
        <f>VLOOKUP(Tabla1[[#This Row],[AREA]],Hoja1!A:B,2,FALSE)</f>
        <v>04. Planificación y recursos</v>
      </c>
      <c r="U134" s="35" t="str">
        <f>MID(Tabla1[[#This Row],[Aplicación]],9,4)</f>
        <v>9204</v>
      </c>
      <c r="V134" s="35" t="str">
        <f>VLOOKUP(Tabla1[[#This Row],[PROGRAMA]],Hoja1!A:B,2,FALSE)</f>
        <v>9204. Tecnologías de la información y comunicación</v>
      </c>
      <c r="W134" s="35" t="str">
        <f>MID(Tabla1[[#This Row],[Aplicación]],14,2)</f>
        <v>63</v>
      </c>
      <c r="X134" s="35" t="str">
        <f>MID(Tabla1[[#This Row],[Aplicación]],14,6)</f>
        <v>636</v>
      </c>
    </row>
    <row r="135" spans="1:24" x14ac:dyDescent="0.25">
      <c r="A135" s="49">
        <v>220219001037</v>
      </c>
      <c r="B135" s="50" t="s">
        <v>9</v>
      </c>
      <c r="C135" s="57">
        <v>44562</v>
      </c>
      <c r="D135" s="49">
        <v>22022000472</v>
      </c>
      <c r="E135" s="50" t="s">
        <v>1440</v>
      </c>
      <c r="F135" s="58">
        <v>217</v>
      </c>
      <c r="G135" s="50" t="s">
        <v>58</v>
      </c>
      <c r="H135" s="50" t="s">
        <v>1545</v>
      </c>
      <c r="I135" s="49" t="s">
        <v>107</v>
      </c>
      <c r="J135" s="50" t="s">
        <v>109</v>
      </c>
      <c r="K135" s="50" t="s">
        <v>109</v>
      </c>
      <c r="L135" s="50" t="s">
        <v>17</v>
      </c>
      <c r="M135" s="50" t="s">
        <v>13</v>
      </c>
      <c r="N135" s="50" t="s">
        <v>14</v>
      </c>
      <c r="O135" s="48" t="s">
        <v>620</v>
      </c>
      <c r="P135" s="45" t="s">
        <v>453</v>
      </c>
      <c r="Q135" s="35" t="str">
        <f>MID(Tabla1[[#This Row],[Aplicación]],14,1)</f>
        <v>2</v>
      </c>
      <c r="R135" s="35" t="s">
        <v>441</v>
      </c>
      <c r="S135" s="35" t="str">
        <f>MID(Tabla1[[#This Row],[Aplicación]],6,2)</f>
        <v>01</v>
      </c>
      <c r="T135" s="35" t="str">
        <f>VLOOKUP(Tabla1[[#This Row],[AREA]],Hoja1!A:B,2,FALSE)</f>
        <v>01. Alcaldía</v>
      </c>
      <c r="U135" s="35" t="str">
        <f>MID(Tabla1[[#This Row],[Aplicación]],9,4)</f>
        <v>9312</v>
      </c>
      <c r="V135" s="35" t="str">
        <f>VLOOKUP(Tabla1[[#This Row],[PROGRAMA]],Hoja1!A:B,2,FALSE)</f>
        <v>9312. Intervención general</v>
      </c>
      <c r="W135" s="35" t="str">
        <f>MID(Tabla1[[#This Row],[Aplicación]],14,2)</f>
        <v>21</v>
      </c>
      <c r="X135" s="35" t="str">
        <f>MID(Tabla1[[#This Row],[Aplicación]],14,6)</f>
        <v>213</v>
      </c>
    </row>
    <row r="136" spans="1:24" x14ac:dyDescent="0.25">
      <c r="A136" s="49">
        <v>220219001038</v>
      </c>
      <c r="B136" s="50" t="s">
        <v>9</v>
      </c>
      <c r="C136" s="57">
        <v>44562</v>
      </c>
      <c r="D136" s="49">
        <v>22022000473</v>
      </c>
      <c r="E136" s="50" t="s">
        <v>1463</v>
      </c>
      <c r="F136" s="58">
        <v>1400</v>
      </c>
      <c r="G136" s="50" t="s">
        <v>58</v>
      </c>
      <c r="H136" s="50" t="s">
        <v>1546</v>
      </c>
      <c r="I136" s="49" t="s">
        <v>107</v>
      </c>
      <c r="J136" s="50" t="s">
        <v>109</v>
      </c>
      <c r="K136" s="50" t="s">
        <v>109</v>
      </c>
      <c r="L136" s="50" t="s">
        <v>15</v>
      </c>
      <c r="M136" s="50" t="s">
        <v>13</v>
      </c>
      <c r="N136" s="50" t="s">
        <v>14</v>
      </c>
      <c r="O136" s="48" t="s">
        <v>620</v>
      </c>
      <c r="P136" s="45" t="s">
        <v>453</v>
      </c>
      <c r="Q136" s="35" t="str">
        <f>MID(Tabla1[[#This Row],[Aplicación]],14,1)</f>
        <v>2</v>
      </c>
      <c r="R136" s="35" t="s">
        <v>441</v>
      </c>
      <c r="S136" s="35" t="str">
        <f>MID(Tabla1[[#This Row],[Aplicación]],6,2)</f>
        <v>02</v>
      </c>
      <c r="T136" s="35" t="str">
        <f>VLOOKUP(Tabla1[[#This Row],[AREA]],Hoja1!A:B,2,FALSE)</f>
        <v>02. Planeamiento urbanístico y vivienda</v>
      </c>
      <c r="U136" s="35" t="str">
        <f>MID(Tabla1[[#This Row],[Aplicación]],9,4)</f>
        <v>9331</v>
      </c>
      <c r="V136" s="35" t="str">
        <f>VLOOKUP(Tabla1[[#This Row],[PROGRAMA]],Hoja1!A:B,2,FALSE)</f>
        <v>9331. Gestión del patrimonio</v>
      </c>
      <c r="W136" s="35" t="str">
        <f>MID(Tabla1[[#This Row],[Aplicación]],14,2)</f>
        <v>20</v>
      </c>
      <c r="X136" s="35" t="str">
        <f>MID(Tabla1[[#This Row],[Aplicación]],14,6)</f>
        <v>203</v>
      </c>
    </row>
    <row r="137" spans="1:24" x14ac:dyDescent="0.25">
      <c r="A137" s="49">
        <v>220219001039</v>
      </c>
      <c r="B137" s="50" t="s">
        <v>9</v>
      </c>
      <c r="C137" s="57">
        <v>44562</v>
      </c>
      <c r="D137" s="49">
        <v>22022000474</v>
      </c>
      <c r="E137" s="50" t="s">
        <v>1471</v>
      </c>
      <c r="F137" s="58">
        <v>17000</v>
      </c>
      <c r="G137" s="50" t="s">
        <v>58</v>
      </c>
      <c r="H137" s="50" t="s">
        <v>1547</v>
      </c>
      <c r="I137" s="49" t="s">
        <v>107</v>
      </c>
      <c r="J137" s="50" t="s">
        <v>109</v>
      </c>
      <c r="K137" s="50" t="s">
        <v>109</v>
      </c>
      <c r="L137" s="50" t="s">
        <v>15</v>
      </c>
      <c r="M137" s="50" t="s">
        <v>13</v>
      </c>
      <c r="N137" s="50" t="s">
        <v>14</v>
      </c>
      <c r="O137" s="48" t="s">
        <v>620</v>
      </c>
      <c r="P137" s="45" t="s">
        <v>453</v>
      </c>
      <c r="Q137" s="35" t="str">
        <f>MID(Tabla1[[#This Row],[Aplicación]],14,1)</f>
        <v>2</v>
      </c>
      <c r="R137" s="35" t="s">
        <v>441</v>
      </c>
      <c r="S137" s="35" t="str">
        <f>MID(Tabla1[[#This Row],[Aplicación]],6,2)</f>
        <v>11</v>
      </c>
      <c r="T137" s="35" t="str">
        <f>VLOOKUP(Tabla1[[#This Row],[AREA]],Hoja1!A:B,2,FALSE)</f>
        <v>11. Salud pública y seguridad ciudadana</v>
      </c>
      <c r="U137" s="35" t="str">
        <f>MID(Tabla1[[#This Row],[Aplicación]],9,4)</f>
        <v>1321</v>
      </c>
      <c r="V137" s="35" t="str">
        <f>VLOOKUP(Tabla1[[#This Row],[PROGRAMA]],Hoja1!A:B,2,FALSE)</f>
        <v>1321. Policía municipal</v>
      </c>
      <c r="W137" s="35" t="str">
        <f>MID(Tabla1[[#This Row],[Aplicación]],14,2)</f>
        <v>21</v>
      </c>
      <c r="X137" s="35" t="str">
        <f>MID(Tabla1[[#This Row],[Aplicación]],14,6)</f>
        <v>213</v>
      </c>
    </row>
    <row r="138" spans="1:24" x14ac:dyDescent="0.25">
      <c r="A138" s="49">
        <v>220219001040</v>
      </c>
      <c r="B138" s="50" t="s">
        <v>9</v>
      </c>
      <c r="C138" s="57">
        <v>44562</v>
      </c>
      <c r="D138" s="49">
        <v>22022000475</v>
      </c>
      <c r="E138" s="50" t="s">
        <v>1465</v>
      </c>
      <c r="F138" s="58">
        <v>4375</v>
      </c>
      <c r="G138" s="50" t="s">
        <v>58</v>
      </c>
      <c r="H138" s="50" t="s">
        <v>1548</v>
      </c>
      <c r="I138" s="49" t="s">
        <v>107</v>
      </c>
      <c r="J138" s="50" t="s">
        <v>109</v>
      </c>
      <c r="K138" s="50" t="s">
        <v>109</v>
      </c>
      <c r="L138" s="50" t="s">
        <v>15</v>
      </c>
      <c r="M138" s="50" t="s">
        <v>13</v>
      </c>
      <c r="N138" s="50" t="s">
        <v>14</v>
      </c>
      <c r="O138" s="48" t="s">
        <v>620</v>
      </c>
      <c r="P138" s="45" t="s">
        <v>453</v>
      </c>
      <c r="Q138" s="35" t="str">
        <f>MID(Tabla1[[#This Row],[Aplicación]],14,1)</f>
        <v>2</v>
      </c>
      <c r="R138" s="35" t="s">
        <v>441</v>
      </c>
      <c r="S138" s="35" t="str">
        <f>MID(Tabla1[[#This Row],[Aplicación]],6,2)</f>
        <v>02</v>
      </c>
      <c r="T138" s="35" t="str">
        <f>VLOOKUP(Tabla1[[#This Row],[AREA]],Hoja1!A:B,2,FALSE)</f>
        <v>02. Planeamiento urbanístico y vivienda</v>
      </c>
      <c r="U138" s="35" t="str">
        <f>MID(Tabla1[[#This Row],[Aplicación]],9,4)</f>
        <v>9331</v>
      </c>
      <c r="V138" s="35" t="str">
        <f>VLOOKUP(Tabla1[[#This Row],[PROGRAMA]],Hoja1!A:B,2,FALSE)</f>
        <v>9331. Gestión del patrimonio</v>
      </c>
      <c r="W138" s="35" t="str">
        <f>MID(Tabla1[[#This Row],[Aplicación]],14,2)</f>
        <v>21</v>
      </c>
      <c r="X138" s="35" t="str">
        <f>MID(Tabla1[[#This Row],[Aplicación]],14,6)</f>
        <v>213</v>
      </c>
    </row>
    <row r="139" spans="1:24" x14ac:dyDescent="0.25">
      <c r="A139" s="49">
        <v>220219001041</v>
      </c>
      <c r="B139" s="50" t="s">
        <v>9</v>
      </c>
      <c r="C139" s="57">
        <v>44562</v>
      </c>
      <c r="D139" s="49">
        <v>22022000476</v>
      </c>
      <c r="E139" s="50" t="s">
        <v>1549</v>
      </c>
      <c r="F139" s="58">
        <v>2700</v>
      </c>
      <c r="G139" s="50" t="s">
        <v>58</v>
      </c>
      <c r="H139" s="50" t="s">
        <v>1550</v>
      </c>
      <c r="I139" s="49" t="s">
        <v>107</v>
      </c>
      <c r="J139" s="50" t="s">
        <v>109</v>
      </c>
      <c r="K139" s="50" t="s">
        <v>109</v>
      </c>
      <c r="L139" s="50" t="s">
        <v>15</v>
      </c>
      <c r="M139" s="50" t="s">
        <v>13</v>
      </c>
      <c r="N139" s="50" t="s">
        <v>14</v>
      </c>
      <c r="O139" s="48" t="s">
        <v>620</v>
      </c>
      <c r="P139" s="45" t="s">
        <v>453</v>
      </c>
      <c r="Q139" s="35" t="str">
        <f>MID(Tabla1[[#This Row],[Aplicación]],14,1)</f>
        <v>2</v>
      </c>
      <c r="R139" s="35" t="s">
        <v>441</v>
      </c>
      <c r="S139" s="35" t="str">
        <f>MID(Tabla1[[#This Row],[Aplicación]],6,2)</f>
        <v>08</v>
      </c>
      <c r="T139" s="35" t="str">
        <f>VLOOKUP(Tabla1[[#This Row],[AREA]],Hoja1!A:B,2,FALSE)</f>
        <v>08. Movilidad y espacio urbano</v>
      </c>
      <c r="U139" s="35" t="str">
        <f>MID(Tabla1[[#This Row],[Aplicación]],9,4)</f>
        <v>1532</v>
      </c>
      <c r="V139" s="35" t="str">
        <f>VLOOKUP(Tabla1[[#This Row],[PROGRAMA]],Hoja1!A:B,2,FALSE)</f>
        <v>1532. Pavimentación vias públicas y otros servicios urbanísticos</v>
      </c>
      <c r="W139" s="35" t="str">
        <f>MID(Tabla1[[#This Row],[Aplicación]],14,2)</f>
        <v>20</v>
      </c>
      <c r="X139" s="35" t="str">
        <f>MID(Tabla1[[#This Row],[Aplicación]],14,6)</f>
        <v>203</v>
      </c>
    </row>
    <row r="140" spans="1:24" x14ac:dyDescent="0.25">
      <c r="A140" s="49">
        <v>220219001044</v>
      </c>
      <c r="B140" s="50" t="s">
        <v>9</v>
      </c>
      <c r="C140" s="57">
        <v>44562</v>
      </c>
      <c r="D140" s="49">
        <v>22022000477</v>
      </c>
      <c r="E140" s="50" t="s">
        <v>1551</v>
      </c>
      <c r="F140" s="58">
        <v>2100</v>
      </c>
      <c r="G140" s="50" t="s">
        <v>58</v>
      </c>
      <c r="H140" s="50" t="s">
        <v>1552</v>
      </c>
      <c r="I140" s="49" t="s">
        <v>107</v>
      </c>
      <c r="J140" s="50" t="s">
        <v>109</v>
      </c>
      <c r="K140" s="50" t="s">
        <v>109</v>
      </c>
      <c r="L140" s="50" t="s">
        <v>15</v>
      </c>
      <c r="M140" s="50" t="s">
        <v>13</v>
      </c>
      <c r="N140" s="50" t="s">
        <v>14</v>
      </c>
      <c r="O140" s="48" t="s">
        <v>620</v>
      </c>
      <c r="P140" s="45" t="s">
        <v>453</v>
      </c>
      <c r="Q140" s="35" t="str">
        <f>MID(Tabla1[[#This Row],[Aplicación]],14,1)</f>
        <v>2</v>
      </c>
      <c r="R140" s="35" t="s">
        <v>441</v>
      </c>
      <c r="S140" s="35" t="str">
        <f>MID(Tabla1[[#This Row],[Aplicación]],6,2)</f>
        <v>08</v>
      </c>
      <c r="T140" s="35" t="str">
        <f>VLOOKUP(Tabla1[[#This Row],[AREA]],Hoja1!A:B,2,FALSE)</f>
        <v>08. Movilidad y espacio urbano</v>
      </c>
      <c r="U140" s="35" t="str">
        <f>MID(Tabla1[[#This Row],[Aplicación]],9,4)</f>
        <v>1532</v>
      </c>
      <c r="V140" s="35" t="str">
        <f>VLOOKUP(Tabla1[[#This Row],[PROGRAMA]],Hoja1!A:B,2,FALSE)</f>
        <v>1532. Pavimentación vias públicas y otros servicios urbanísticos</v>
      </c>
      <c r="W140" s="35" t="str">
        <f>MID(Tabla1[[#This Row],[Aplicación]],14,2)</f>
        <v>21</v>
      </c>
      <c r="X140" s="35" t="str">
        <f>MID(Tabla1[[#This Row],[Aplicación]],14,6)</f>
        <v>213</v>
      </c>
    </row>
    <row r="141" spans="1:24" x14ac:dyDescent="0.25">
      <c r="A141" s="49">
        <v>220219001047</v>
      </c>
      <c r="B141" s="50" t="s">
        <v>9</v>
      </c>
      <c r="C141" s="57">
        <v>44562</v>
      </c>
      <c r="D141" s="49">
        <v>22022000478</v>
      </c>
      <c r="E141" s="50" t="s">
        <v>1439</v>
      </c>
      <c r="F141" s="58">
        <v>11000</v>
      </c>
      <c r="G141" s="50" t="s">
        <v>58</v>
      </c>
      <c r="H141" s="50" t="s">
        <v>1553</v>
      </c>
      <c r="I141" s="49" t="s">
        <v>107</v>
      </c>
      <c r="J141" s="50" t="s">
        <v>109</v>
      </c>
      <c r="K141" s="50" t="s">
        <v>109</v>
      </c>
      <c r="L141" s="50" t="s">
        <v>12</v>
      </c>
      <c r="M141" s="50" t="s">
        <v>13</v>
      </c>
      <c r="N141" s="50" t="s">
        <v>16</v>
      </c>
      <c r="O141" s="48" t="s">
        <v>620</v>
      </c>
      <c r="P141" s="45" t="s">
        <v>453</v>
      </c>
      <c r="Q141" s="35" t="str">
        <f>MID(Tabla1[[#This Row],[Aplicación]],14,1)</f>
        <v>2</v>
      </c>
      <c r="R141" s="35" t="s">
        <v>441</v>
      </c>
      <c r="S141" s="35" t="str">
        <f>MID(Tabla1[[#This Row],[Aplicación]],6,2)</f>
        <v>03</v>
      </c>
      <c r="T141" s="35" t="str">
        <f>VLOOKUP(Tabla1[[#This Row],[AREA]],Hoja1!A:B,2,FALSE)</f>
        <v>03. Participación ciudadana y deportes</v>
      </c>
      <c r="U141" s="35" t="str">
        <f>MID(Tabla1[[#This Row],[Aplicación]],9,4)</f>
        <v>9241</v>
      </c>
      <c r="V141" s="35" t="str">
        <f>VLOOKUP(Tabla1[[#This Row],[PROGRAMA]],Hoja1!A:B,2,FALSE)</f>
        <v>9241. Participación ciudadana</v>
      </c>
      <c r="W141" s="35" t="str">
        <f>MID(Tabla1[[#This Row],[Aplicación]],14,2)</f>
        <v>20</v>
      </c>
      <c r="X141" s="35" t="str">
        <f>MID(Tabla1[[#This Row],[Aplicación]],14,6)</f>
        <v>203</v>
      </c>
    </row>
    <row r="142" spans="1:24" x14ac:dyDescent="0.25">
      <c r="A142" s="49">
        <v>220219001048</v>
      </c>
      <c r="B142" s="50" t="s">
        <v>9</v>
      </c>
      <c r="C142" s="57">
        <v>44562</v>
      </c>
      <c r="D142" s="49">
        <v>22022000479</v>
      </c>
      <c r="E142" s="50" t="s">
        <v>1475</v>
      </c>
      <c r="F142" s="58">
        <v>2964.81</v>
      </c>
      <c r="G142" s="50" t="s">
        <v>58</v>
      </c>
      <c r="H142" s="50" t="s">
        <v>1554</v>
      </c>
      <c r="I142" s="49" t="s">
        <v>107</v>
      </c>
      <c r="J142" s="50" t="s">
        <v>109</v>
      </c>
      <c r="K142" s="50" t="s">
        <v>109</v>
      </c>
      <c r="L142" s="50" t="s">
        <v>15</v>
      </c>
      <c r="M142" s="50" t="s">
        <v>13</v>
      </c>
      <c r="N142" s="50" t="s">
        <v>14</v>
      </c>
      <c r="O142" s="48" t="s">
        <v>620</v>
      </c>
      <c r="P142" s="45" t="s">
        <v>453</v>
      </c>
      <c r="Q142" s="35" t="str">
        <f>MID(Tabla1[[#This Row],[Aplicación]],14,1)</f>
        <v>2</v>
      </c>
      <c r="R142" s="35" t="s">
        <v>441</v>
      </c>
      <c r="S142" s="35" t="str">
        <f>MID(Tabla1[[#This Row],[Aplicación]],6,2)</f>
        <v>06</v>
      </c>
      <c r="T142" s="35" t="str">
        <f>VLOOKUP(Tabla1[[#This Row],[AREA]],Hoja1!A:B,2,FALSE)</f>
        <v>06. Educación, infancia, juventud e igualdad</v>
      </c>
      <c r="U142" s="35" t="str">
        <f>MID(Tabla1[[#This Row],[Aplicación]],9,4)</f>
        <v>3232</v>
      </c>
      <c r="V142" s="35" t="str">
        <f>VLOOKUP(Tabla1[[#This Row],[PROGRAMA]],Hoja1!A:B,2,FALSE)</f>
        <v>3232. Conservación y mantenimiento centros educación infantil y primaria</v>
      </c>
      <c r="W142" s="35" t="str">
        <f>MID(Tabla1[[#This Row],[Aplicación]],14,2)</f>
        <v>21</v>
      </c>
      <c r="X142" s="35" t="str">
        <f>MID(Tabla1[[#This Row],[Aplicación]],14,6)</f>
        <v>213</v>
      </c>
    </row>
    <row r="143" spans="1:24" x14ac:dyDescent="0.25">
      <c r="A143" s="49">
        <v>220219001049</v>
      </c>
      <c r="B143" s="50" t="s">
        <v>9</v>
      </c>
      <c r="C143" s="57">
        <v>44562</v>
      </c>
      <c r="D143" s="49">
        <v>22022000480</v>
      </c>
      <c r="E143" s="50" t="s">
        <v>1555</v>
      </c>
      <c r="F143" s="58">
        <v>3360.48</v>
      </c>
      <c r="G143" s="50" t="s">
        <v>58</v>
      </c>
      <c r="H143" s="50" t="s">
        <v>1556</v>
      </c>
      <c r="I143" s="49" t="s">
        <v>107</v>
      </c>
      <c r="J143" s="50" t="s">
        <v>109</v>
      </c>
      <c r="K143" s="50" t="s">
        <v>109</v>
      </c>
      <c r="L143" s="50" t="s">
        <v>15</v>
      </c>
      <c r="M143" s="50" t="s">
        <v>13</v>
      </c>
      <c r="N143" s="50" t="s">
        <v>14</v>
      </c>
      <c r="O143" s="48" t="s">
        <v>620</v>
      </c>
      <c r="P143" s="45" t="s">
        <v>453</v>
      </c>
      <c r="Q143" s="35" t="str">
        <f>MID(Tabla1[[#This Row],[Aplicación]],14,1)</f>
        <v>2</v>
      </c>
      <c r="R143" s="35" t="s">
        <v>441</v>
      </c>
      <c r="S143" s="35" t="str">
        <f>MID(Tabla1[[#This Row],[Aplicación]],6,2)</f>
        <v>06</v>
      </c>
      <c r="T143" s="35" t="str">
        <f>VLOOKUP(Tabla1[[#This Row],[AREA]],Hoja1!A:B,2,FALSE)</f>
        <v>06. Educación, infancia, juventud e igualdad</v>
      </c>
      <c r="U143" s="35" t="str">
        <f>MID(Tabla1[[#This Row],[Aplicación]],9,4)</f>
        <v>3321</v>
      </c>
      <c r="V143" s="35" t="str">
        <f>VLOOKUP(Tabla1[[#This Row],[PROGRAMA]],Hoja1!A:B,2,FALSE)</f>
        <v>3321. Bibliotecas públicas</v>
      </c>
      <c r="W143" s="35" t="str">
        <f>MID(Tabla1[[#This Row],[Aplicación]],14,2)</f>
        <v>21</v>
      </c>
      <c r="X143" s="35" t="str">
        <f>MID(Tabla1[[#This Row],[Aplicación]],14,6)</f>
        <v>213</v>
      </c>
    </row>
    <row r="144" spans="1:24" x14ac:dyDescent="0.25">
      <c r="A144" s="49">
        <v>220219001050</v>
      </c>
      <c r="B144" s="50" t="s">
        <v>9</v>
      </c>
      <c r="C144" s="57">
        <v>44562</v>
      </c>
      <c r="D144" s="49">
        <v>22022000481</v>
      </c>
      <c r="E144" s="50" t="s">
        <v>1473</v>
      </c>
      <c r="F144" s="58">
        <v>2796.79</v>
      </c>
      <c r="G144" s="50" t="s">
        <v>58</v>
      </c>
      <c r="H144" s="50" t="s">
        <v>1557</v>
      </c>
      <c r="I144" s="49" t="s">
        <v>107</v>
      </c>
      <c r="J144" s="50" t="s">
        <v>109</v>
      </c>
      <c r="K144" s="50" t="s">
        <v>109</v>
      </c>
      <c r="L144" s="50" t="s">
        <v>15</v>
      </c>
      <c r="M144" s="50" t="s">
        <v>13</v>
      </c>
      <c r="N144" s="50" t="s">
        <v>14</v>
      </c>
      <c r="O144" s="48" t="s">
        <v>620</v>
      </c>
      <c r="P144" s="45" t="s">
        <v>453</v>
      </c>
      <c r="Q144" s="35" t="str">
        <f>MID(Tabla1[[#This Row],[Aplicación]],14,1)</f>
        <v>2</v>
      </c>
      <c r="R144" s="35" t="s">
        <v>441</v>
      </c>
      <c r="S144" s="35" t="str">
        <f>MID(Tabla1[[#This Row],[Aplicación]],6,2)</f>
        <v>06</v>
      </c>
      <c r="T144" s="35" t="str">
        <f>VLOOKUP(Tabla1[[#This Row],[AREA]],Hoja1!A:B,2,FALSE)</f>
        <v>06. Educación, infancia, juventud e igualdad</v>
      </c>
      <c r="U144" s="35" t="str">
        <f>MID(Tabla1[[#This Row],[Aplicación]],9,4)</f>
        <v>2315</v>
      </c>
      <c r="V144" s="35" t="str">
        <f>VLOOKUP(Tabla1[[#This Row],[PROGRAMA]],Hoja1!A:B,2,FALSE)</f>
        <v>2315. Políticas de Igualdad e infancia</v>
      </c>
      <c r="W144" s="35" t="str">
        <f>MID(Tabla1[[#This Row],[Aplicación]],14,2)</f>
        <v>21</v>
      </c>
      <c r="X144" s="35" t="str">
        <f>MID(Tabla1[[#This Row],[Aplicación]],14,6)</f>
        <v>213</v>
      </c>
    </row>
    <row r="145" spans="1:24" x14ac:dyDescent="0.25">
      <c r="A145" s="49">
        <v>220219001051</v>
      </c>
      <c r="B145" s="50" t="s">
        <v>9</v>
      </c>
      <c r="C145" s="57">
        <v>44562</v>
      </c>
      <c r="D145" s="49">
        <v>22022000482</v>
      </c>
      <c r="E145" s="50" t="s">
        <v>1479</v>
      </c>
      <c r="F145" s="58">
        <v>5000</v>
      </c>
      <c r="G145" s="50" t="s">
        <v>58</v>
      </c>
      <c r="H145" s="50" t="s">
        <v>1558</v>
      </c>
      <c r="I145" s="49" t="s">
        <v>107</v>
      </c>
      <c r="J145" s="50" t="s">
        <v>109</v>
      </c>
      <c r="K145" s="50" t="s">
        <v>109</v>
      </c>
      <c r="L145" s="50" t="s">
        <v>15</v>
      </c>
      <c r="M145" s="50" t="s">
        <v>13</v>
      </c>
      <c r="N145" s="50" t="s">
        <v>14</v>
      </c>
      <c r="O145" s="48" t="s">
        <v>620</v>
      </c>
      <c r="P145" s="45" t="s">
        <v>453</v>
      </c>
      <c r="Q145" s="35" t="str">
        <f>MID(Tabla1[[#This Row],[Aplicación]],14,1)</f>
        <v>2</v>
      </c>
      <c r="R145" s="35" t="s">
        <v>441</v>
      </c>
      <c r="S145" s="35" t="str">
        <f>MID(Tabla1[[#This Row],[Aplicación]],6,2)</f>
        <v>04</v>
      </c>
      <c r="T145" s="35" t="str">
        <f>VLOOKUP(Tabla1[[#This Row],[AREA]],Hoja1!A:B,2,FALSE)</f>
        <v>04. Planificación y recursos</v>
      </c>
      <c r="U145" s="35" t="str">
        <f>MID(Tabla1[[#This Row],[Aplicación]],9,4)</f>
        <v>9321</v>
      </c>
      <c r="V145" s="35" t="str">
        <f>VLOOKUP(Tabla1[[#This Row],[PROGRAMA]],Hoja1!A:B,2,FALSE)</f>
        <v>9321. Gestión de ingresos e inspección</v>
      </c>
      <c r="W145" s="35" t="str">
        <f>MID(Tabla1[[#This Row],[Aplicación]],14,2)</f>
        <v>20</v>
      </c>
      <c r="X145" s="35" t="str">
        <f>MID(Tabla1[[#This Row],[Aplicación]],14,6)</f>
        <v>203</v>
      </c>
    </row>
    <row r="146" spans="1:24" x14ac:dyDescent="0.25">
      <c r="A146" s="49">
        <v>220219001054</v>
      </c>
      <c r="B146" s="50" t="s">
        <v>9</v>
      </c>
      <c r="C146" s="57">
        <v>44562</v>
      </c>
      <c r="D146" s="49">
        <v>22022000483</v>
      </c>
      <c r="E146" s="50" t="s">
        <v>1499</v>
      </c>
      <c r="F146" s="58">
        <v>476.97</v>
      </c>
      <c r="G146" s="50" t="s">
        <v>58</v>
      </c>
      <c r="H146" s="50" t="s">
        <v>1559</v>
      </c>
      <c r="I146" s="49" t="s">
        <v>107</v>
      </c>
      <c r="J146" s="50" t="s">
        <v>109</v>
      </c>
      <c r="K146" s="50" t="s">
        <v>109</v>
      </c>
      <c r="L146" s="50" t="s">
        <v>12</v>
      </c>
      <c r="M146" s="50" t="s">
        <v>13</v>
      </c>
      <c r="N146" s="50" t="s">
        <v>14</v>
      </c>
      <c r="O146" s="48" t="s">
        <v>620</v>
      </c>
      <c r="P146" s="45" t="s">
        <v>453</v>
      </c>
      <c r="Q146" s="35" t="str">
        <f>MID(Tabla1[[#This Row],[Aplicación]],14,1)</f>
        <v>2</v>
      </c>
      <c r="R146" s="35" t="s">
        <v>441</v>
      </c>
      <c r="S146" s="35" t="str">
        <f>MID(Tabla1[[#This Row],[Aplicación]],6,2)</f>
        <v>10</v>
      </c>
      <c r="T146" s="35" t="str">
        <f>VLOOKUP(Tabla1[[#This Row],[AREA]],Hoja1!A:B,2,FALSE)</f>
        <v>10. Servicios sociales y mediación comunitaria</v>
      </c>
      <c r="U146" s="35" t="str">
        <f>MID(Tabla1[[#This Row],[Aplicación]],9,4)</f>
        <v>2316</v>
      </c>
      <c r="V146" s="35" t="str">
        <f>VLOOKUP(Tabla1[[#This Row],[PROGRAMA]],Hoja1!A:B,2,FALSE)</f>
        <v>2316. Mediación comunitaria</v>
      </c>
      <c r="W146" s="35" t="str">
        <f>MID(Tabla1[[#This Row],[Aplicación]],14,2)</f>
        <v>21</v>
      </c>
      <c r="X146" s="35" t="str">
        <f>MID(Tabla1[[#This Row],[Aplicación]],14,6)</f>
        <v>213</v>
      </c>
    </row>
    <row r="147" spans="1:24" x14ac:dyDescent="0.25">
      <c r="A147" s="49">
        <v>220219001055</v>
      </c>
      <c r="B147" s="50" t="s">
        <v>9</v>
      </c>
      <c r="C147" s="57">
        <v>44562</v>
      </c>
      <c r="D147" s="49">
        <v>22022000484</v>
      </c>
      <c r="E147" s="50" t="s">
        <v>1494</v>
      </c>
      <c r="F147" s="58">
        <v>2608.15</v>
      </c>
      <c r="G147" s="50" t="s">
        <v>58</v>
      </c>
      <c r="H147" s="50" t="s">
        <v>1560</v>
      </c>
      <c r="I147" s="49" t="s">
        <v>107</v>
      </c>
      <c r="J147" s="50" t="s">
        <v>109</v>
      </c>
      <c r="K147" s="50" t="s">
        <v>109</v>
      </c>
      <c r="L147" s="50" t="s">
        <v>12</v>
      </c>
      <c r="M147" s="50" t="s">
        <v>13</v>
      </c>
      <c r="N147" s="50" t="s">
        <v>14</v>
      </c>
      <c r="O147" s="48" t="s">
        <v>620</v>
      </c>
      <c r="P147" s="45" t="s">
        <v>453</v>
      </c>
      <c r="Q147" s="35" t="str">
        <f>MID(Tabla1[[#This Row],[Aplicación]],14,1)</f>
        <v>2</v>
      </c>
      <c r="R147" s="35" t="s">
        <v>441</v>
      </c>
      <c r="S147" s="35" t="str">
        <f>MID(Tabla1[[#This Row],[Aplicación]],6,2)</f>
        <v>10</v>
      </c>
      <c r="T147" s="35" t="str">
        <f>VLOOKUP(Tabla1[[#This Row],[AREA]],Hoja1!A:B,2,FALSE)</f>
        <v>10. Servicios sociales y mediación comunitaria</v>
      </c>
      <c r="U147" s="35" t="str">
        <f>MID(Tabla1[[#This Row],[Aplicación]],9,4)</f>
        <v>2313</v>
      </c>
      <c r="V147" s="35" t="str">
        <f>VLOOKUP(Tabla1[[#This Row],[PROGRAMA]],Hoja1!A:B,2,FALSE)</f>
        <v>2313. Dirección del área de servicios sociales</v>
      </c>
      <c r="W147" s="35" t="str">
        <f>MID(Tabla1[[#This Row],[Aplicación]],14,2)</f>
        <v>21</v>
      </c>
      <c r="X147" s="35" t="str">
        <f>MID(Tabla1[[#This Row],[Aplicación]],14,6)</f>
        <v>213</v>
      </c>
    </row>
    <row r="148" spans="1:24" x14ac:dyDescent="0.25">
      <c r="A148" s="49">
        <v>220219001056</v>
      </c>
      <c r="B148" s="50" t="s">
        <v>9</v>
      </c>
      <c r="C148" s="57">
        <v>44562</v>
      </c>
      <c r="D148" s="49">
        <v>22022002572</v>
      </c>
      <c r="E148" s="50" t="s">
        <v>1481</v>
      </c>
      <c r="F148" s="58">
        <v>2392</v>
      </c>
      <c r="G148" s="50" t="s">
        <v>58</v>
      </c>
      <c r="H148" s="50" t="s">
        <v>1561</v>
      </c>
      <c r="I148" s="49" t="s">
        <v>107</v>
      </c>
      <c r="J148" s="50" t="s">
        <v>109</v>
      </c>
      <c r="K148" s="50" t="s">
        <v>109</v>
      </c>
      <c r="L148" s="50" t="s">
        <v>12</v>
      </c>
      <c r="M148" s="50" t="s">
        <v>13</v>
      </c>
      <c r="N148" s="50" t="s">
        <v>14</v>
      </c>
      <c r="O148" s="48" t="s">
        <v>620</v>
      </c>
      <c r="P148" s="45" t="s">
        <v>453</v>
      </c>
      <c r="Q148" s="35" t="str">
        <f>MID(Tabla1[[#This Row],[Aplicación]],14,1)</f>
        <v>2</v>
      </c>
      <c r="R148" s="35" t="s">
        <v>441</v>
      </c>
      <c r="S148" s="35" t="str">
        <f>MID(Tabla1[[#This Row],[Aplicación]],6,2)</f>
        <v>01</v>
      </c>
      <c r="T148" s="35" t="str">
        <f>VLOOKUP(Tabla1[[#This Row],[AREA]],Hoja1!A:B,2,FALSE)</f>
        <v>01. Alcaldía</v>
      </c>
      <c r="U148" s="35" t="str">
        <f>MID(Tabla1[[#This Row],[Aplicación]],9,4)</f>
        <v>9201</v>
      </c>
      <c r="V148" s="35" t="str">
        <f>VLOOKUP(Tabla1[[#This Row],[PROGRAMA]],Hoja1!A:B,2,FALSE)</f>
        <v>9201. Secretaría General</v>
      </c>
      <c r="W148" s="35" t="str">
        <f>MID(Tabla1[[#This Row],[Aplicación]],14,2)</f>
        <v>20</v>
      </c>
      <c r="X148" s="35" t="str">
        <f>MID(Tabla1[[#This Row],[Aplicación]],14,6)</f>
        <v>203</v>
      </c>
    </row>
    <row r="149" spans="1:24" x14ac:dyDescent="0.25">
      <c r="A149" s="49">
        <v>220219001057</v>
      </c>
      <c r="B149" s="50" t="s">
        <v>9</v>
      </c>
      <c r="C149" s="57">
        <v>44562</v>
      </c>
      <c r="D149" s="49">
        <v>22022000485</v>
      </c>
      <c r="E149" s="50" t="s">
        <v>1483</v>
      </c>
      <c r="F149" s="58">
        <v>1787</v>
      </c>
      <c r="G149" s="50" t="s">
        <v>58</v>
      </c>
      <c r="H149" s="50" t="s">
        <v>1562</v>
      </c>
      <c r="I149" s="49" t="s">
        <v>107</v>
      </c>
      <c r="J149" s="50" t="s">
        <v>109</v>
      </c>
      <c r="K149" s="50" t="s">
        <v>109</v>
      </c>
      <c r="L149" s="50" t="s">
        <v>12</v>
      </c>
      <c r="M149" s="50" t="s">
        <v>13</v>
      </c>
      <c r="N149" s="50" t="s">
        <v>14</v>
      </c>
      <c r="O149" s="48" t="s">
        <v>620</v>
      </c>
      <c r="P149" s="45" t="s">
        <v>453</v>
      </c>
      <c r="Q149" s="35" t="str">
        <f>MID(Tabla1[[#This Row],[Aplicación]],14,1)</f>
        <v>2</v>
      </c>
      <c r="R149" s="35" t="s">
        <v>441</v>
      </c>
      <c r="S149" s="35" t="str">
        <f>MID(Tabla1[[#This Row],[Aplicación]],6,2)</f>
        <v>01</v>
      </c>
      <c r="T149" s="35" t="str">
        <f>VLOOKUP(Tabla1[[#This Row],[AREA]],Hoja1!A:B,2,FALSE)</f>
        <v>01. Alcaldía</v>
      </c>
      <c r="U149" s="35" t="str">
        <f>MID(Tabla1[[#This Row],[Aplicación]],9,4)</f>
        <v>9201</v>
      </c>
      <c r="V149" s="35" t="str">
        <f>VLOOKUP(Tabla1[[#This Row],[PROGRAMA]],Hoja1!A:B,2,FALSE)</f>
        <v>9201. Secretaría General</v>
      </c>
      <c r="W149" s="35" t="str">
        <f>MID(Tabla1[[#This Row],[Aplicación]],14,2)</f>
        <v>21</v>
      </c>
      <c r="X149" s="35" t="str">
        <f>MID(Tabla1[[#This Row],[Aplicación]],14,6)</f>
        <v>213</v>
      </c>
    </row>
    <row r="150" spans="1:24" x14ac:dyDescent="0.25">
      <c r="A150" s="49">
        <v>220219001060</v>
      </c>
      <c r="B150" s="50" t="s">
        <v>9</v>
      </c>
      <c r="C150" s="57">
        <v>44562</v>
      </c>
      <c r="D150" s="49">
        <v>22022000488</v>
      </c>
      <c r="E150" s="50" t="s">
        <v>1563</v>
      </c>
      <c r="F150" s="58">
        <v>1503.26</v>
      </c>
      <c r="G150" s="50" t="s">
        <v>58</v>
      </c>
      <c r="H150" s="50" t="s">
        <v>1564</v>
      </c>
      <c r="I150" s="49" t="s">
        <v>107</v>
      </c>
      <c r="J150" s="50" t="s">
        <v>109</v>
      </c>
      <c r="K150" s="50" t="s">
        <v>109</v>
      </c>
      <c r="L150" s="50" t="s">
        <v>12</v>
      </c>
      <c r="M150" s="50" t="s">
        <v>13</v>
      </c>
      <c r="N150" s="50" t="s">
        <v>14</v>
      </c>
      <c r="O150" s="48" t="s">
        <v>620</v>
      </c>
      <c r="P150" s="45" t="s">
        <v>453</v>
      </c>
      <c r="Q150" s="35" t="str">
        <f>MID(Tabla1[[#This Row],[Aplicación]],14,1)</f>
        <v>2</v>
      </c>
      <c r="R150" s="35" t="s">
        <v>441</v>
      </c>
      <c r="S150" s="35" t="str">
        <f>MID(Tabla1[[#This Row],[Aplicación]],6,2)</f>
        <v>04</v>
      </c>
      <c r="T150" s="35" t="str">
        <f>VLOOKUP(Tabla1[[#This Row],[AREA]],Hoja1!A:B,2,FALSE)</f>
        <v>04. Planificación y recursos</v>
      </c>
      <c r="U150" s="35" t="str">
        <f>MID(Tabla1[[#This Row],[Aplicación]],9,4)</f>
        <v>3121</v>
      </c>
      <c r="V150" s="35" t="str">
        <f>VLOOKUP(Tabla1[[#This Row],[PROGRAMA]],Hoja1!A:B,2,FALSE)</f>
        <v>3121. Prevención y salud laboral</v>
      </c>
      <c r="W150" s="35" t="str">
        <f>MID(Tabla1[[#This Row],[Aplicación]],14,2)</f>
        <v>21</v>
      </c>
      <c r="X150" s="35" t="str">
        <f>MID(Tabla1[[#This Row],[Aplicación]],14,6)</f>
        <v>213</v>
      </c>
    </row>
    <row r="151" spans="1:24" x14ac:dyDescent="0.25">
      <c r="A151" s="49">
        <v>220219001061</v>
      </c>
      <c r="B151" s="50" t="s">
        <v>9</v>
      </c>
      <c r="C151" s="57">
        <v>44562</v>
      </c>
      <c r="D151" s="49">
        <v>22022000489</v>
      </c>
      <c r="E151" s="50" t="s">
        <v>1487</v>
      </c>
      <c r="F151" s="58">
        <v>11330</v>
      </c>
      <c r="G151" s="50" t="s">
        <v>58</v>
      </c>
      <c r="H151" s="50" t="s">
        <v>1565</v>
      </c>
      <c r="I151" s="49" t="s">
        <v>107</v>
      </c>
      <c r="J151" s="50" t="s">
        <v>109</v>
      </c>
      <c r="K151" s="50" t="s">
        <v>109</v>
      </c>
      <c r="L151" s="50" t="s">
        <v>12</v>
      </c>
      <c r="M151" s="50" t="s">
        <v>13</v>
      </c>
      <c r="N151" s="50" t="s">
        <v>14</v>
      </c>
      <c r="O151" s="48" t="s">
        <v>620</v>
      </c>
      <c r="P151" s="45" t="s">
        <v>453</v>
      </c>
      <c r="Q151" s="35" t="str">
        <f>MID(Tabla1[[#This Row],[Aplicación]],14,1)</f>
        <v>2</v>
      </c>
      <c r="R151" s="35" t="s">
        <v>441</v>
      </c>
      <c r="S151" s="35" t="str">
        <f>MID(Tabla1[[#This Row],[Aplicación]],6,2)</f>
        <v>07</v>
      </c>
      <c r="T151" s="35" t="str">
        <f>VLOOKUP(Tabla1[[#This Row],[AREA]],Hoja1!A:B,2,FALSE)</f>
        <v>07. Medio ambiente y desarrollo sostenible</v>
      </c>
      <c r="U151" s="35" t="str">
        <f>MID(Tabla1[[#This Row],[Aplicación]],9,4)</f>
        <v>1721</v>
      </c>
      <c r="V151" s="35" t="str">
        <f>VLOOKUP(Tabla1[[#This Row],[PROGRAMA]],Hoja1!A:B,2,FALSE)</f>
        <v>1721. Protección del medio ambiente</v>
      </c>
      <c r="W151" s="35" t="str">
        <f>MID(Tabla1[[#This Row],[Aplicación]],14,2)</f>
        <v>20</v>
      </c>
      <c r="X151" s="35" t="str">
        <f>MID(Tabla1[[#This Row],[Aplicación]],14,6)</f>
        <v>203</v>
      </c>
    </row>
    <row r="152" spans="1:24" x14ac:dyDescent="0.25">
      <c r="A152" s="49">
        <v>220219001062</v>
      </c>
      <c r="B152" s="50" t="s">
        <v>9</v>
      </c>
      <c r="C152" s="57">
        <v>44562</v>
      </c>
      <c r="D152" s="49">
        <v>22022000490</v>
      </c>
      <c r="E152" s="50" t="s">
        <v>1492</v>
      </c>
      <c r="F152" s="58">
        <v>1915.83</v>
      </c>
      <c r="G152" s="50" t="s">
        <v>58</v>
      </c>
      <c r="H152" s="50" t="s">
        <v>1566</v>
      </c>
      <c r="I152" s="49" t="s">
        <v>107</v>
      </c>
      <c r="J152" s="50" t="s">
        <v>109</v>
      </c>
      <c r="K152" s="50" t="s">
        <v>109</v>
      </c>
      <c r="L152" s="50" t="s">
        <v>15</v>
      </c>
      <c r="M152" s="50" t="s">
        <v>13</v>
      </c>
      <c r="N152" s="50" t="s">
        <v>14</v>
      </c>
      <c r="O152" s="48" t="s">
        <v>620</v>
      </c>
      <c r="P152" s="45" t="s">
        <v>453</v>
      </c>
      <c r="Q152" s="35" t="str">
        <f>MID(Tabla1[[#This Row],[Aplicación]],14,1)</f>
        <v>2</v>
      </c>
      <c r="R152" s="35" t="s">
        <v>441</v>
      </c>
      <c r="S152" s="35" t="str">
        <f>MID(Tabla1[[#This Row],[Aplicación]],6,2)</f>
        <v>11</v>
      </c>
      <c r="T152" s="35" t="str">
        <f>VLOOKUP(Tabla1[[#This Row],[AREA]],Hoja1!A:B,2,FALSE)</f>
        <v>11. Salud pública y seguridad ciudadana</v>
      </c>
      <c r="U152" s="35" t="str">
        <f>MID(Tabla1[[#This Row],[Aplicación]],9,4)</f>
        <v>1361</v>
      </c>
      <c r="V152" s="35" t="str">
        <f>VLOOKUP(Tabla1[[#This Row],[PROGRAMA]],Hoja1!A:B,2,FALSE)</f>
        <v>1361. Prevención y extinción de incencios</v>
      </c>
      <c r="W152" s="35" t="str">
        <f>MID(Tabla1[[#This Row],[Aplicación]],14,2)</f>
        <v>21</v>
      </c>
      <c r="X152" s="35" t="str">
        <f>MID(Tabla1[[#This Row],[Aplicación]],14,6)</f>
        <v>213</v>
      </c>
    </row>
    <row r="153" spans="1:24" x14ac:dyDescent="0.25">
      <c r="A153" s="49">
        <v>220220000284</v>
      </c>
      <c r="B153" s="50" t="s">
        <v>26</v>
      </c>
      <c r="C153" s="57">
        <v>44582</v>
      </c>
      <c r="D153" s="49">
        <v>22022000908</v>
      </c>
      <c r="E153" s="50" t="s">
        <v>1439</v>
      </c>
      <c r="F153" s="58">
        <v>30.19</v>
      </c>
      <c r="G153" s="50" t="s">
        <v>58</v>
      </c>
      <c r="H153" s="50" t="s">
        <v>1567</v>
      </c>
      <c r="I153" s="49" t="s">
        <v>197</v>
      </c>
      <c r="J153" s="50" t="s">
        <v>109</v>
      </c>
      <c r="K153" s="50" t="s">
        <v>109</v>
      </c>
      <c r="L153" s="50" t="s">
        <v>12</v>
      </c>
      <c r="M153" s="50" t="s">
        <v>13</v>
      </c>
      <c r="N153" s="50" t="s">
        <v>16</v>
      </c>
      <c r="O153" s="48" t="s">
        <v>620</v>
      </c>
      <c r="P153" s="45" t="s">
        <v>453</v>
      </c>
      <c r="Q153" s="35" t="str">
        <f>MID(Tabla1[[#This Row],[Aplicación]],14,1)</f>
        <v>2</v>
      </c>
      <c r="R153" s="35" t="s">
        <v>441</v>
      </c>
      <c r="S153" s="35" t="str">
        <f>MID(Tabla1[[#This Row],[Aplicación]],6,2)</f>
        <v>03</v>
      </c>
      <c r="T153" s="35" t="str">
        <f>VLOOKUP(Tabla1[[#This Row],[AREA]],Hoja1!A:B,2,FALSE)</f>
        <v>03. Participación ciudadana y deportes</v>
      </c>
      <c r="U153" s="35" t="str">
        <f>MID(Tabla1[[#This Row],[Aplicación]],9,4)</f>
        <v>9241</v>
      </c>
      <c r="V153" s="35" t="str">
        <f>VLOOKUP(Tabla1[[#This Row],[PROGRAMA]],Hoja1!A:B,2,FALSE)</f>
        <v>9241. Participación ciudadana</v>
      </c>
      <c r="W153" s="35" t="str">
        <f>MID(Tabla1[[#This Row],[Aplicación]],14,2)</f>
        <v>20</v>
      </c>
      <c r="X153" s="35" t="str">
        <f>MID(Tabla1[[#This Row],[Aplicación]],14,6)</f>
        <v>203</v>
      </c>
    </row>
    <row r="154" spans="1:24" x14ac:dyDescent="0.25">
      <c r="A154" s="49">
        <v>220220000304</v>
      </c>
      <c r="B154" s="50" t="s">
        <v>26</v>
      </c>
      <c r="C154" s="57">
        <v>44582</v>
      </c>
      <c r="D154" s="49">
        <v>22022001157</v>
      </c>
      <c r="E154" s="50" t="s">
        <v>1446</v>
      </c>
      <c r="F154" s="58">
        <v>102.62</v>
      </c>
      <c r="G154" s="50" t="s">
        <v>58</v>
      </c>
      <c r="H154" s="50" t="s">
        <v>1568</v>
      </c>
      <c r="I154" s="49" t="s">
        <v>197</v>
      </c>
      <c r="J154" s="50" t="s">
        <v>109</v>
      </c>
      <c r="K154" s="50" t="s">
        <v>109</v>
      </c>
      <c r="L154" s="50" t="s">
        <v>15</v>
      </c>
      <c r="M154" s="50" t="s">
        <v>13</v>
      </c>
      <c r="N154" s="50" t="s">
        <v>14</v>
      </c>
      <c r="O154" s="48" t="s">
        <v>620</v>
      </c>
      <c r="P154" s="45" t="s">
        <v>453</v>
      </c>
      <c r="Q154" s="35" t="str">
        <f>MID(Tabla1[[#This Row],[Aplicación]],14,1)</f>
        <v>2</v>
      </c>
      <c r="R154" s="35" t="s">
        <v>441</v>
      </c>
      <c r="S154" s="35" t="str">
        <f>MID(Tabla1[[#This Row],[Aplicación]],6,2)</f>
        <v>04</v>
      </c>
      <c r="T154" s="35" t="str">
        <f>VLOOKUP(Tabla1[[#This Row],[AREA]],Hoja1!A:B,2,FALSE)</f>
        <v>04. Planificación y recursos</v>
      </c>
      <c r="U154" s="35" t="str">
        <f>MID(Tabla1[[#This Row],[Aplicación]],9,4)</f>
        <v>9341</v>
      </c>
      <c r="V154" s="35" t="str">
        <f>VLOOKUP(Tabla1[[#This Row],[PROGRAMA]],Hoja1!A:B,2,FALSE)</f>
        <v>9341. Tesorería y recaudación</v>
      </c>
      <c r="W154" s="35" t="str">
        <f>MID(Tabla1[[#This Row],[Aplicación]],14,2)</f>
        <v>21</v>
      </c>
      <c r="X154" s="35" t="str">
        <f>MID(Tabla1[[#This Row],[Aplicación]],14,6)</f>
        <v>213</v>
      </c>
    </row>
    <row r="155" spans="1:24" x14ac:dyDescent="0.25">
      <c r="A155" s="49">
        <v>220220001603</v>
      </c>
      <c r="B155" s="50" t="s">
        <v>447</v>
      </c>
      <c r="C155" s="57">
        <v>44587</v>
      </c>
      <c r="D155" s="49">
        <v>22022000555</v>
      </c>
      <c r="E155" s="50" t="s">
        <v>1502</v>
      </c>
      <c r="F155" s="58">
        <v>-300</v>
      </c>
      <c r="G155" s="50" t="s">
        <v>58</v>
      </c>
      <c r="H155" s="50" t="s">
        <v>1503</v>
      </c>
      <c r="I155" s="49" t="s">
        <v>107</v>
      </c>
      <c r="J155" s="50" t="s">
        <v>109</v>
      </c>
      <c r="K155" s="50" t="s">
        <v>109</v>
      </c>
      <c r="L155" s="50" t="s">
        <v>12</v>
      </c>
      <c r="M155" s="50" t="s">
        <v>13</v>
      </c>
      <c r="N155" s="50" t="s">
        <v>14</v>
      </c>
      <c r="O155" s="48" t="s">
        <v>620</v>
      </c>
      <c r="P155" s="45" t="s">
        <v>453</v>
      </c>
      <c r="Q155" s="35" t="str">
        <f>MID(Tabla1[[#This Row],[Aplicación]],14,1)</f>
        <v>2</v>
      </c>
      <c r="R155" s="35" t="s">
        <v>441</v>
      </c>
      <c r="S155" s="35" t="str">
        <f>MID(Tabla1[[#This Row],[Aplicación]],6,2)</f>
        <v>10</v>
      </c>
      <c r="T155" s="35" t="str">
        <f>VLOOKUP(Tabla1[[#This Row],[AREA]],Hoja1!A:B,2,FALSE)</f>
        <v>10. Servicios sociales y mediación comunitaria</v>
      </c>
      <c r="U155" s="35" t="str">
        <f>MID(Tabla1[[#This Row],[Aplicación]],9,4)</f>
        <v>2412</v>
      </c>
      <c r="V155" s="35" t="str">
        <f>VLOOKUP(Tabla1[[#This Row],[PROGRAMA]],Hoja1!A:B,2,FALSE)</f>
        <v>2412. Formación para el empleo</v>
      </c>
      <c r="W155" s="35" t="str">
        <f>MID(Tabla1[[#This Row],[Aplicación]],14,2)</f>
        <v>21</v>
      </c>
      <c r="X155" s="35" t="str">
        <f>MID(Tabla1[[#This Row],[Aplicación]],14,6)</f>
        <v>213</v>
      </c>
    </row>
    <row r="156" spans="1:24" x14ac:dyDescent="0.25">
      <c r="A156" s="49">
        <v>220220001604</v>
      </c>
      <c r="B156" s="50" t="s">
        <v>9</v>
      </c>
      <c r="C156" s="57">
        <v>44587</v>
      </c>
      <c r="D156" s="49">
        <v>22022001367</v>
      </c>
      <c r="E156" s="50" t="s">
        <v>1502</v>
      </c>
      <c r="F156" s="58">
        <v>107.14</v>
      </c>
      <c r="G156" s="50" t="s">
        <v>58</v>
      </c>
      <c r="H156" s="50" t="s">
        <v>1569</v>
      </c>
      <c r="I156" s="49" t="s">
        <v>107</v>
      </c>
      <c r="J156" s="50" t="s">
        <v>109</v>
      </c>
      <c r="K156" s="50" t="s">
        <v>109</v>
      </c>
      <c r="L156" s="50" t="s">
        <v>12</v>
      </c>
      <c r="M156" s="50" t="s">
        <v>13</v>
      </c>
      <c r="N156" s="50" t="s">
        <v>14</v>
      </c>
      <c r="O156" s="48" t="s">
        <v>620</v>
      </c>
      <c r="P156" s="45" t="s">
        <v>453</v>
      </c>
      <c r="Q156" s="35" t="str">
        <f>MID(Tabla1[[#This Row],[Aplicación]],14,1)</f>
        <v>2</v>
      </c>
      <c r="R156" s="35" t="s">
        <v>441</v>
      </c>
      <c r="S156" s="35" t="str">
        <f>MID(Tabla1[[#This Row],[Aplicación]],6,2)</f>
        <v>10</v>
      </c>
      <c r="T156" s="35" t="str">
        <f>VLOOKUP(Tabla1[[#This Row],[AREA]],Hoja1!A:B,2,FALSE)</f>
        <v>10. Servicios sociales y mediación comunitaria</v>
      </c>
      <c r="U156" s="35" t="str">
        <f>MID(Tabla1[[#This Row],[Aplicación]],9,4)</f>
        <v>2412</v>
      </c>
      <c r="V156" s="35" t="str">
        <f>VLOOKUP(Tabla1[[#This Row],[PROGRAMA]],Hoja1!A:B,2,FALSE)</f>
        <v>2412. Formación para el empleo</v>
      </c>
      <c r="W156" s="35" t="str">
        <f>MID(Tabla1[[#This Row],[Aplicación]],14,2)</f>
        <v>21</v>
      </c>
      <c r="X156" s="35" t="str">
        <f>MID(Tabla1[[#This Row],[Aplicación]],14,6)</f>
        <v>213</v>
      </c>
    </row>
    <row r="157" spans="1:24" x14ac:dyDescent="0.25">
      <c r="A157" s="49">
        <v>220220001604</v>
      </c>
      <c r="B157" s="50" t="s">
        <v>9</v>
      </c>
      <c r="C157" s="57">
        <v>44587</v>
      </c>
      <c r="D157" s="49">
        <v>22022001368</v>
      </c>
      <c r="E157" s="50" t="s">
        <v>1502</v>
      </c>
      <c r="F157" s="58">
        <v>107.14</v>
      </c>
      <c r="G157" s="50" t="s">
        <v>58</v>
      </c>
      <c r="H157" s="50" t="s">
        <v>1569</v>
      </c>
      <c r="I157" s="49" t="s">
        <v>107</v>
      </c>
      <c r="J157" s="50" t="s">
        <v>109</v>
      </c>
      <c r="K157" s="50" t="s">
        <v>109</v>
      </c>
      <c r="L157" s="50" t="s">
        <v>12</v>
      </c>
      <c r="M157" s="50" t="s">
        <v>13</v>
      </c>
      <c r="N157" s="50" t="s">
        <v>14</v>
      </c>
      <c r="O157" s="48" t="s">
        <v>620</v>
      </c>
      <c r="P157" s="45" t="s">
        <v>453</v>
      </c>
      <c r="Q157" s="35" t="str">
        <f>MID(Tabla1[[#This Row],[Aplicación]],14,1)</f>
        <v>2</v>
      </c>
      <c r="R157" s="35" t="s">
        <v>441</v>
      </c>
      <c r="S157" s="35" t="str">
        <f>MID(Tabla1[[#This Row],[Aplicación]],6,2)</f>
        <v>10</v>
      </c>
      <c r="T157" s="35" t="str">
        <f>VLOOKUP(Tabla1[[#This Row],[AREA]],Hoja1!A:B,2,FALSE)</f>
        <v>10. Servicios sociales y mediación comunitaria</v>
      </c>
      <c r="U157" s="35" t="str">
        <f>MID(Tabla1[[#This Row],[Aplicación]],9,4)</f>
        <v>2412</v>
      </c>
      <c r="V157" s="35" t="str">
        <f>VLOOKUP(Tabla1[[#This Row],[PROGRAMA]],Hoja1!A:B,2,FALSE)</f>
        <v>2412. Formación para el empleo</v>
      </c>
      <c r="W157" s="35" t="str">
        <f>MID(Tabla1[[#This Row],[Aplicación]],14,2)</f>
        <v>21</v>
      </c>
      <c r="X157" s="35" t="str">
        <f>MID(Tabla1[[#This Row],[Aplicación]],14,6)</f>
        <v>213</v>
      </c>
    </row>
    <row r="158" spans="1:24" x14ac:dyDescent="0.25">
      <c r="A158" s="49">
        <v>220220001604</v>
      </c>
      <c r="B158" s="50" t="s">
        <v>9</v>
      </c>
      <c r="C158" s="57">
        <v>44587</v>
      </c>
      <c r="D158" s="49">
        <v>22022001369</v>
      </c>
      <c r="E158" s="50" t="s">
        <v>1502</v>
      </c>
      <c r="F158" s="58">
        <v>85.72</v>
      </c>
      <c r="G158" s="50" t="s">
        <v>58</v>
      </c>
      <c r="H158" s="50" t="s">
        <v>1569</v>
      </c>
      <c r="I158" s="49" t="s">
        <v>107</v>
      </c>
      <c r="J158" s="50" t="s">
        <v>109</v>
      </c>
      <c r="K158" s="50" t="s">
        <v>109</v>
      </c>
      <c r="L158" s="50" t="s">
        <v>12</v>
      </c>
      <c r="M158" s="50" t="s">
        <v>13</v>
      </c>
      <c r="N158" s="50" t="s">
        <v>14</v>
      </c>
      <c r="O158" s="48" t="s">
        <v>620</v>
      </c>
      <c r="P158" s="45" t="s">
        <v>453</v>
      </c>
      <c r="Q158" s="35" t="str">
        <f>MID(Tabla1[[#This Row],[Aplicación]],14,1)</f>
        <v>2</v>
      </c>
      <c r="R158" s="35" t="s">
        <v>441</v>
      </c>
      <c r="S158" s="35" t="str">
        <f>MID(Tabla1[[#This Row],[Aplicación]],6,2)</f>
        <v>10</v>
      </c>
      <c r="T158" s="35" t="str">
        <f>VLOOKUP(Tabla1[[#This Row],[AREA]],Hoja1!A:B,2,FALSE)</f>
        <v>10. Servicios sociales y mediación comunitaria</v>
      </c>
      <c r="U158" s="35" t="str">
        <f>MID(Tabla1[[#This Row],[Aplicación]],9,4)</f>
        <v>2412</v>
      </c>
      <c r="V158" s="35" t="str">
        <f>VLOOKUP(Tabla1[[#This Row],[PROGRAMA]],Hoja1!A:B,2,FALSE)</f>
        <v>2412. Formación para el empleo</v>
      </c>
      <c r="W158" s="35" t="str">
        <f>MID(Tabla1[[#This Row],[Aplicación]],14,2)</f>
        <v>21</v>
      </c>
      <c r="X158" s="35" t="str">
        <f>MID(Tabla1[[#This Row],[Aplicación]],14,6)</f>
        <v>213</v>
      </c>
    </row>
    <row r="159" spans="1:24" x14ac:dyDescent="0.25">
      <c r="A159" s="49">
        <v>220220001605</v>
      </c>
      <c r="B159" s="50" t="s">
        <v>447</v>
      </c>
      <c r="C159" s="57">
        <v>44587</v>
      </c>
      <c r="D159" s="49">
        <v>22022000450</v>
      </c>
      <c r="E159" s="50" t="s">
        <v>1502</v>
      </c>
      <c r="F159" s="58">
        <v>-2775</v>
      </c>
      <c r="G159" s="50" t="s">
        <v>58</v>
      </c>
      <c r="H159" s="50" t="s">
        <v>1520</v>
      </c>
      <c r="I159" s="49" t="s">
        <v>107</v>
      </c>
      <c r="J159" s="50" t="s">
        <v>109</v>
      </c>
      <c r="K159" s="50" t="s">
        <v>109</v>
      </c>
      <c r="L159" s="50" t="s">
        <v>12</v>
      </c>
      <c r="M159" s="50" t="s">
        <v>13</v>
      </c>
      <c r="N159" s="50" t="s">
        <v>14</v>
      </c>
      <c r="O159" s="48" t="s">
        <v>620</v>
      </c>
      <c r="P159" s="45" t="s">
        <v>453</v>
      </c>
      <c r="Q159" s="35" t="str">
        <f>MID(Tabla1[[#This Row],[Aplicación]],14,1)</f>
        <v>2</v>
      </c>
      <c r="R159" s="35" t="s">
        <v>441</v>
      </c>
      <c r="S159" s="35" t="str">
        <f>MID(Tabla1[[#This Row],[Aplicación]],6,2)</f>
        <v>10</v>
      </c>
      <c r="T159" s="35" t="str">
        <f>VLOOKUP(Tabla1[[#This Row],[AREA]],Hoja1!A:B,2,FALSE)</f>
        <v>10. Servicios sociales y mediación comunitaria</v>
      </c>
      <c r="U159" s="35" t="str">
        <f>MID(Tabla1[[#This Row],[Aplicación]],9,4)</f>
        <v>2412</v>
      </c>
      <c r="V159" s="35" t="str">
        <f>VLOOKUP(Tabla1[[#This Row],[PROGRAMA]],Hoja1!A:B,2,FALSE)</f>
        <v>2412. Formación para el empleo</v>
      </c>
      <c r="W159" s="35" t="str">
        <f>MID(Tabla1[[#This Row],[Aplicación]],14,2)</f>
        <v>21</v>
      </c>
      <c r="X159" s="35" t="str">
        <f>MID(Tabla1[[#This Row],[Aplicación]],14,6)</f>
        <v>213</v>
      </c>
    </row>
    <row r="160" spans="1:24" x14ac:dyDescent="0.25">
      <c r="A160" s="49">
        <v>220220001606</v>
      </c>
      <c r="B160" s="50" t="s">
        <v>9</v>
      </c>
      <c r="C160" s="57">
        <v>44587</v>
      </c>
      <c r="D160" s="49">
        <v>22022000450</v>
      </c>
      <c r="E160" s="50" t="s">
        <v>1502</v>
      </c>
      <c r="F160" s="58">
        <v>395.2</v>
      </c>
      <c r="G160" s="50" t="s">
        <v>58</v>
      </c>
      <c r="H160" s="50" t="s">
        <v>1570</v>
      </c>
      <c r="I160" s="49" t="s">
        <v>107</v>
      </c>
      <c r="J160" s="50" t="s">
        <v>109</v>
      </c>
      <c r="K160" s="50" t="s">
        <v>109</v>
      </c>
      <c r="L160" s="50" t="s">
        <v>12</v>
      </c>
      <c r="M160" s="50" t="s">
        <v>13</v>
      </c>
      <c r="N160" s="50" t="s">
        <v>14</v>
      </c>
      <c r="O160" s="48" t="s">
        <v>620</v>
      </c>
      <c r="P160" s="45" t="s">
        <v>453</v>
      </c>
      <c r="Q160" s="35" t="str">
        <f>MID(Tabla1[[#This Row],[Aplicación]],14,1)</f>
        <v>2</v>
      </c>
      <c r="R160" s="35" t="s">
        <v>441</v>
      </c>
      <c r="S160" s="35" t="str">
        <f>MID(Tabla1[[#This Row],[Aplicación]],6,2)</f>
        <v>10</v>
      </c>
      <c r="T160" s="35" t="str">
        <f>VLOOKUP(Tabla1[[#This Row],[AREA]],Hoja1!A:B,2,FALSE)</f>
        <v>10. Servicios sociales y mediación comunitaria</v>
      </c>
      <c r="U160" s="35" t="str">
        <f>MID(Tabla1[[#This Row],[Aplicación]],9,4)</f>
        <v>2412</v>
      </c>
      <c r="V160" s="35" t="str">
        <f>VLOOKUP(Tabla1[[#This Row],[PROGRAMA]],Hoja1!A:B,2,FALSE)</f>
        <v>2412. Formación para el empleo</v>
      </c>
      <c r="W160" s="35" t="str">
        <f>MID(Tabla1[[#This Row],[Aplicación]],14,2)</f>
        <v>21</v>
      </c>
      <c r="X160" s="35" t="str">
        <f>MID(Tabla1[[#This Row],[Aplicación]],14,6)</f>
        <v>213</v>
      </c>
    </row>
    <row r="161" spans="1:24" x14ac:dyDescent="0.25">
      <c r="A161" s="49">
        <v>220220001606</v>
      </c>
      <c r="B161" s="50" t="s">
        <v>9</v>
      </c>
      <c r="C161" s="57">
        <v>44587</v>
      </c>
      <c r="D161" s="49">
        <v>22022001393</v>
      </c>
      <c r="E161" s="50" t="s">
        <v>1502</v>
      </c>
      <c r="F161" s="58">
        <v>296.24</v>
      </c>
      <c r="G161" s="50" t="s">
        <v>58</v>
      </c>
      <c r="H161" s="50" t="s">
        <v>1570</v>
      </c>
      <c r="I161" s="49" t="s">
        <v>107</v>
      </c>
      <c r="J161" s="50" t="s">
        <v>109</v>
      </c>
      <c r="K161" s="50" t="s">
        <v>109</v>
      </c>
      <c r="L161" s="50" t="s">
        <v>12</v>
      </c>
      <c r="M161" s="50" t="s">
        <v>13</v>
      </c>
      <c r="N161" s="50" t="s">
        <v>14</v>
      </c>
      <c r="O161" s="48" t="s">
        <v>620</v>
      </c>
      <c r="P161" s="45" t="s">
        <v>453</v>
      </c>
      <c r="Q161" s="35" t="str">
        <f>MID(Tabla1[[#This Row],[Aplicación]],14,1)</f>
        <v>2</v>
      </c>
      <c r="R161" s="35" t="s">
        <v>441</v>
      </c>
      <c r="S161" s="35" t="str">
        <f>MID(Tabla1[[#This Row],[Aplicación]],6,2)</f>
        <v>10</v>
      </c>
      <c r="T161" s="35" t="str">
        <f>VLOOKUP(Tabla1[[#This Row],[AREA]],Hoja1!A:B,2,FALSE)</f>
        <v>10. Servicios sociales y mediación comunitaria</v>
      </c>
      <c r="U161" s="35" t="str">
        <f>MID(Tabla1[[#This Row],[Aplicación]],9,4)</f>
        <v>2412</v>
      </c>
      <c r="V161" s="35" t="str">
        <f>VLOOKUP(Tabla1[[#This Row],[PROGRAMA]],Hoja1!A:B,2,FALSE)</f>
        <v>2412. Formación para el empleo</v>
      </c>
      <c r="W161" s="35" t="str">
        <f>MID(Tabla1[[#This Row],[Aplicación]],14,2)</f>
        <v>21</v>
      </c>
      <c r="X161" s="35" t="str">
        <f>MID(Tabla1[[#This Row],[Aplicación]],14,6)</f>
        <v>213</v>
      </c>
    </row>
    <row r="162" spans="1:24" x14ac:dyDescent="0.25">
      <c r="A162" s="49">
        <v>220220001606</v>
      </c>
      <c r="B162" s="50" t="s">
        <v>9</v>
      </c>
      <c r="C162" s="57">
        <v>44587</v>
      </c>
      <c r="D162" s="49">
        <v>22022001394</v>
      </c>
      <c r="E162" s="50" t="s">
        <v>1502</v>
      </c>
      <c r="F162" s="58">
        <v>1502.91</v>
      </c>
      <c r="G162" s="50" t="s">
        <v>58</v>
      </c>
      <c r="H162" s="50" t="s">
        <v>1570</v>
      </c>
      <c r="I162" s="49" t="s">
        <v>107</v>
      </c>
      <c r="J162" s="50" t="s">
        <v>109</v>
      </c>
      <c r="K162" s="50" t="s">
        <v>109</v>
      </c>
      <c r="L162" s="50" t="s">
        <v>12</v>
      </c>
      <c r="M162" s="50" t="s">
        <v>13</v>
      </c>
      <c r="N162" s="50" t="s">
        <v>14</v>
      </c>
      <c r="O162" s="48" t="s">
        <v>620</v>
      </c>
      <c r="P162" s="45" t="s">
        <v>453</v>
      </c>
      <c r="Q162" s="35" t="str">
        <f>MID(Tabla1[[#This Row],[Aplicación]],14,1)</f>
        <v>2</v>
      </c>
      <c r="R162" s="35" t="s">
        <v>441</v>
      </c>
      <c r="S162" s="35" t="str">
        <f>MID(Tabla1[[#This Row],[Aplicación]],6,2)</f>
        <v>10</v>
      </c>
      <c r="T162" s="35" t="str">
        <f>VLOOKUP(Tabla1[[#This Row],[AREA]],Hoja1!A:B,2,FALSE)</f>
        <v>10. Servicios sociales y mediación comunitaria</v>
      </c>
      <c r="U162" s="35" t="str">
        <f>MID(Tabla1[[#This Row],[Aplicación]],9,4)</f>
        <v>2412</v>
      </c>
      <c r="V162" s="35" t="str">
        <f>VLOOKUP(Tabla1[[#This Row],[PROGRAMA]],Hoja1!A:B,2,FALSE)</f>
        <v>2412. Formación para el empleo</v>
      </c>
      <c r="W162" s="35" t="str">
        <f>MID(Tabla1[[#This Row],[Aplicación]],14,2)</f>
        <v>21</v>
      </c>
      <c r="X162" s="35" t="str">
        <f>MID(Tabla1[[#This Row],[Aplicación]],14,6)</f>
        <v>213</v>
      </c>
    </row>
    <row r="163" spans="1:24" x14ac:dyDescent="0.25">
      <c r="A163" s="49">
        <v>220220001606</v>
      </c>
      <c r="B163" s="50" t="s">
        <v>9</v>
      </c>
      <c r="C163" s="57">
        <v>44587</v>
      </c>
      <c r="D163" s="49">
        <v>22022001395</v>
      </c>
      <c r="E163" s="50" t="s">
        <v>1502</v>
      </c>
      <c r="F163" s="58">
        <v>580.65</v>
      </c>
      <c r="G163" s="50" t="s">
        <v>58</v>
      </c>
      <c r="H163" s="50" t="s">
        <v>1570</v>
      </c>
      <c r="I163" s="49" t="s">
        <v>107</v>
      </c>
      <c r="J163" s="50" t="s">
        <v>109</v>
      </c>
      <c r="K163" s="50" t="s">
        <v>109</v>
      </c>
      <c r="L163" s="50" t="s">
        <v>12</v>
      </c>
      <c r="M163" s="50" t="s">
        <v>13</v>
      </c>
      <c r="N163" s="50" t="s">
        <v>14</v>
      </c>
      <c r="O163" s="48" t="s">
        <v>620</v>
      </c>
      <c r="P163" s="45" t="s">
        <v>453</v>
      </c>
      <c r="Q163" s="35" t="str">
        <f>MID(Tabla1[[#This Row],[Aplicación]],14,1)</f>
        <v>2</v>
      </c>
      <c r="R163" s="35" t="s">
        <v>441</v>
      </c>
      <c r="S163" s="35" t="str">
        <f>MID(Tabla1[[#This Row],[Aplicación]],6,2)</f>
        <v>10</v>
      </c>
      <c r="T163" s="35" t="str">
        <f>VLOOKUP(Tabla1[[#This Row],[AREA]],Hoja1!A:B,2,FALSE)</f>
        <v>10. Servicios sociales y mediación comunitaria</v>
      </c>
      <c r="U163" s="35" t="str">
        <f>MID(Tabla1[[#This Row],[Aplicación]],9,4)</f>
        <v>2412</v>
      </c>
      <c r="V163" s="35" t="str">
        <f>VLOOKUP(Tabla1[[#This Row],[PROGRAMA]],Hoja1!A:B,2,FALSE)</f>
        <v>2412. Formación para el empleo</v>
      </c>
      <c r="W163" s="35" t="str">
        <f>MID(Tabla1[[#This Row],[Aplicación]],14,2)</f>
        <v>21</v>
      </c>
      <c r="X163" s="35" t="str">
        <f>MID(Tabla1[[#This Row],[Aplicación]],14,6)</f>
        <v>213</v>
      </c>
    </row>
    <row r="164" spans="1:24" x14ac:dyDescent="0.25">
      <c r="A164" s="49">
        <v>220219000191</v>
      </c>
      <c r="B164" s="50" t="s">
        <v>9</v>
      </c>
      <c r="C164" s="57">
        <v>44562</v>
      </c>
      <c r="D164" s="49">
        <v>22022000392</v>
      </c>
      <c r="E164" s="50" t="s">
        <v>1572</v>
      </c>
      <c r="F164" s="58">
        <v>315000</v>
      </c>
      <c r="G164" s="50" t="s">
        <v>35</v>
      </c>
      <c r="H164" s="50" t="s">
        <v>1573</v>
      </c>
      <c r="I164" s="49" t="s">
        <v>107</v>
      </c>
      <c r="J164" s="50" t="s">
        <v>128</v>
      </c>
      <c r="K164" s="50" t="s">
        <v>128</v>
      </c>
      <c r="L164" s="50" t="s">
        <v>15</v>
      </c>
      <c r="M164" s="50" t="s">
        <v>13</v>
      </c>
      <c r="N164" s="50" t="s">
        <v>14</v>
      </c>
      <c r="O164" s="48" t="s">
        <v>620</v>
      </c>
      <c r="P164" s="45" t="s">
        <v>453</v>
      </c>
      <c r="Q164" s="35" t="str">
        <f>MID(Tabla1[[#This Row],[Aplicación]],14,1)</f>
        <v>2</v>
      </c>
      <c r="R164" s="35" t="s">
        <v>441</v>
      </c>
      <c r="S164" s="35" t="str">
        <f>MID(Tabla1[[#This Row],[Aplicación]],6,2)</f>
        <v>03</v>
      </c>
      <c r="T164" s="35" t="str">
        <f>VLOOKUP(Tabla1[[#This Row],[AREA]],Hoja1!A:B,2,FALSE)</f>
        <v>03. Participación ciudadana y deportes</v>
      </c>
      <c r="U164" s="35" t="str">
        <f>MID(Tabla1[[#This Row],[Aplicación]],9,4)</f>
        <v>9241</v>
      </c>
      <c r="V164" s="35" t="str">
        <f>VLOOKUP(Tabla1[[#This Row],[PROGRAMA]],Hoja1!A:B,2,FALSE)</f>
        <v>9241. Participación ciudadana</v>
      </c>
      <c r="W164" s="35" t="str">
        <f>MID(Tabla1[[#This Row],[Aplicación]],14,2)</f>
        <v>22</v>
      </c>
      <c r="X164" s="35" t="str">
        <f>MID(Tabla1[[#This Row],[Aplicación]],14,6)</f>
        <v>22102</v>
      </c>
    </row>
    <row r="165" spans="1:24" x14ac:dyDescent="0.25">
      <c r="A165" s="49">
        <v>220220006733</v>
      </c>
      <c r="B165" s="50" t="s">
        <v>172</v>
      </c>
      <c r="C165" s="57">
        <v>44621</v>
      </c>
      <c r="D165" s="49">
        <v>22022002272</v>
      </c>
      <c r="E165" s="50" t="s">
        <v>1361</v>
      </c>
      <c r="F165" s="58">
        <v>313217.95</v>
      </c>
      <c r="G165" s="50" t="s">
        <v>1574</v>
      </c>
      <c r="H165" s="50" t="s">
        <v>1575</v>
      </c>
      <c r="I165" s="49" t="s">
        <v>173</v>
      </c>
      <c r="J165" s="50" t="s">
        <v>108</v>
      </c>
      <c r="K165" s="50" t="s">
        <v>108</v>
      </c>
      <c r="L165" s="50" t="s">
        <v>12</v>
      </c>
      <c r="M165" s="50" t="s">
        <v>13</v>
      </c>
      <c r="N165" s="50" t="s">
        <v>14</v>
      </c>
      <c r="O165" s="48" t="s">
        <v>620</v>
      </c>
      <c r="P165" s="45" t="s">
        <v>453</v>
      </c>
      <c r="Q165" s="35" t="str">
        <f>MID(Tabla1[[#This Row],[Aplicación]],14,1)</f>
        <v>2</v>
      </c>
      <c r="R165" s="35" t="s">
        <v>441</v>
      </c>
      <c r="S165" s="35" t="str">
        <f>MID(Tabla1[[#This Row],[Aplicación]],6,2)</f>
        <v>10</v>
      </c>
      <c r="T165" s="35" t="str">
        <f>VLOOKUP(Tabla1[[#This Row],[AREA]],Hoja1!A:B,2,FALSE)</f>
        <v>10. Servicios sociales y mediación comunitaria</v>
      </c>
      <c r="U165" s="35" t="str">
        <f>MID(Tabla1[[#This Row],[Aplicación]],9,4)</f>
        <v>2311</v>
      </c>
      <c r="V165" s="35" t="str">
        <f>VLOOKUP(Tabla1[[#This Row],[PROGRAMA]],Hoja1!A:B,2,FALSE)</f>
        <v>2311. Intervención social</v>
      </c>
      <c r="W165" s="35" t="str">
        <f>MID(Tabla1[[#This Row],[Aplicación]],14,2)</f>
        <v>22</v>
      </c>
      <c r="X165" s="35" t="str">
        <f>MID(Tabla1[[#This Row],[Aplicación]],14,6)</f>
        <v>22799</v>
      </c>
    </row>
    <row r="166" spans="1:24" x14ac:dyDescent="0.25">
      <c r="A166" s="49">
        <v>220220005208</v>
      </c>
      <c r="B166" s="50" t="s">
        <v>9</v>
      </c>
      <c r="C166" s="57">
        <v>44614</v>
      </c>
      <c r="D166" s="49">
        <v>22022002224</v>
      </c>
      <c r="E166" s="50" t="s">
        <v>1576</v>
      </c>
      <c r="F166" s="58">
        <v>2065.63</v>
      </c>
      <c r="G166" s="50" t="s">
        <v>236</v>
      </c>
      <c r="H166" s="50" t="s">
        <v>1577</v>
      </c>
      <c r="I166" s="49" t="s">
        <v>107</v>
      </c>
      <c r="J166" s="50" t="s">
        <v>109</v>
      </c>
      <c r="K166" s="50" t="s">
        <v>109</v>
      </c>
      <c r="L166" s="50" t="s">
        <v>12</v>
      </c>
      <c r="M166" s="50" t="s">
        <v>10</v>
      </c>
      <c r="N166" s="50" t="s">
        <v>11</v>
      </c>
      <c r="O166" s="48" t="s">
        <v>632</v>
      </c>
      <c r="P166" s="45" t="s">
        <v>453</v>
      </c>
      <c r="Q166" s="35" t="str">
        <f>MID(Tabla1[[#This Row],[Aplicación]],14,1)</f>
        <v>2</v>
      </c>
      <c r="R166" s="35" t="s">
        <v>441</v>
      </c>
      <c r="S166" s="35" t="str">
        <f>MID(Tabla1[[#This Row],[Aplicación]],6,2)</f>
        <v>01</v>
      </c>
      <c r="T166" s="35" t="str">
        <f>VLOOKUP(Tabla1[[#This Row],[AREA]],Hoja1!A:B,2,FALSE)</f>
        <v>01. Alcaldía</v>
      </c>
      <c r="U166" s="35" t="str">
        <f>MID(Tabla1[[#This Row],[Aplicación]],9,4)</f>
        <v>9203</v>
      </c>
      <c r="V166" s="35" t="str">
        <f>VLOOKUP(Tabla1[[#This Row],[PROGRAMA]],Hoja1!A:B,2,FALSE)</f>
        <v>9203. Unidad de régimen interior</v>
      </c>
      <c r="W166" s="35" t="str">
        <f>MID(Tabla1[[#This Row],[Aplicación]],14,2)</f>
        <v>21</v>
      </c>
      <c r="X166" s="35" t="str">
        <f>MID(Tabla1[[#This Row],[Aplicación]],14,6)</f>
        <v>213</v>
      </c>
    </row>
    <row r="167" spans="1:24" x14ac:dyDescent="0.25">
      <c r="A167" s="49">
        <v>220209000701</v>
      </c>
      <c r="B167" s="50" t="s">
        <v>9</v>
      </c>
      <c r="C167" s="57">
        <v>44562</v>
      </c>
      <c r="D167" s="49">
        <v>22022000249</v>
      </c>
      <c r="E167" s="50" t="s">
        <v>1361</v>
      </c>
      <c r="F167" s="58">
        <v>310000</v>
      </c>
      <c r="G167" s="50" t="s">
        <v>133</v>
      </c>
      <c r="H167" s="50" t="s">
        <v>763</v>
      </c>
      <c r="I167" s="49" t="s">
        <v>107</v>
      </c>
      <c r="J167" s="50" t="s">
        <v>524</v>
      </c>
      <c r="K167" s="50" t="s">
        <v>134</v>
      </c>
      <c r="L167" s="50" t="s">
        <v>12</v>
      </c>
      <c r="M167" s="50" t="s">
        <v>13</v>
      </c>
      <c r="N167" s="50" t="s">
        <v>14</v>
      </c>
      <c r="O167" s="48" t="s">
        <v>620</v>
      </c>
      <c r="P167" s="45" t="s">
        <v>453</v>
      </c>
      <c r="Q167" s="35" t="str">
        <f>MID(Tabla1[[#This Row],[Aplicación]],14,1)</f>
        <v>2</v>
      </c>
      <c r="R167" s="35" t="s">
        <v>441</v>
      </c>
      <c r="S167" s="35" t="str">
        <f>MID(Tabla1[[#This Row],[Aplicación]],6,2)</f>
        <v>10</v>
      </c>
      <c r="T167" s="35" t="str">
        <f>VLOOKUP(Tabla1[[#This Row],[AREA]],Hoja1!A:B,2,FALSE)</f>
        <v>10. Servicios sociales y mediación comunitaria</v>
      </c>
      <c r="U167" s="35" t="str">
        <f>MID(Tabla1[[#This Row],[Aplicación]],9,4)</f>
        <v>2311</v>
      </c>
      <c r="V167" s="35" t="str">
        <f>VLOOKUP(Tabla1[[#This Row],[PROGRAMA]],Hoja1!A:B,2,FALSE)</f>
        <v>2311. Intervención social</v>
      </c>
      <c r="W167" s="35" t="str">
        <f>MID(Tabla1[[#This Row],[Aplicación]],14,2)</f>
        <v>22</v>
      </c>
      <c r="X167" s="35" t="str">
        <f>MID(Tabla1[[#This Row],[Aplicación]],14,6)</f>
        <v>22799</v>
      </c>
    </row>
    <row r="168" spans="1:24" x14ac:dyDescent="0.25">
      <c r="A168" s="49">
        <v>220209000517</v>
      </c>
      <c r="B168" s="50" t="s">
        <v>9</v>
      </c>
      <c r="C168" s="57">
        <v>44562</v>
      </c>
      <c r="D168" s="49">
        <v>22022000204</v>
      </c>
      <c r="E168" s="50" t="s">
        <v>1578</v>
      </c>
      <c r="F168" s="58">
        <v>305083.90000000002</v>
      </c>
      <c r="G168" s="50" t="s">
        <v>93</v>
      </c>
      <c r="H168" s="50" t="s">
        <v>761</v>
      </c>
      <c r="I168" s="49" t="s">
        <v>107</v>
      </c>
      <c r="J168" s="50" t="s">
        <v>109</v>
      </c>
      <c r="K168" s="50" t="s">
        <v>109</v>
      </c>
      <c r="L168" s="50" t="s">
        <v>12</v>
      </c>
      <c r="M168" s="50" t="s">
        <v>13</v>
      </c>
      <c r="N168" s="50" t="s">
        <v>14</v>
      </c>
      <c r="O168" s="48" t="s">
        <v>620</v>
      </c>
      <c r="P168" s="45" t="s">
        <v>453</v>
      </c>
      <c r="Q168" s="35" t="str">
        <f>MID(Tabla1[[#This Row],[Aplicación]],14,1)</f>
        <v>2</v>
      </c>
      <c r="R168" s="35" t="s">
        <v>441</v>
      </c>
      <c r="S168" s="35" t="str">
        <f>MID(Tabla1[[#This Row],[Aplicación]],6,2)</f>
        <v>11</v>
      </c>
      <c r="T168" s="35" t="str">
        <f>VLOOKUP(Tabla1[[#This Row],[AREA]],Hoja1!A:B,2,FALSE)</f>
        <v>11. Salud pública y seguridad ciudadana</v>
      </c>
      <c r="U168" s="35" t="str">
        <f>MID(Tabla1[[#This Row],[Aplicación]],9,4)</f>
        <v>1621</v>
      </c>
      <c r="V168" s="35" t="str">
        <f>VLOOKUP(Tabla1[[#This Row],[PROGRAMA]],Hoja1!A:B,2,FALSE)</f>
        <v>1621. Servicio de limpieza</v>
      </c>
      <c r="W168" s="35" t="str">
        <f>MID(Tabla1[[#This Row],[Aplicación]],14,2)</f>
        <v>22</v>
      </c>
      <c r="X168" s="35" t="str">
        <f>MID(Tabla1[[#This Row],[Aplicación]],14,6)</f>
        <v>22799</v>
      </c>
    </row>
    <row r="169" spans="1:24" x14ac:dyDescent="0.25">
      <c r="A169" s="49">
        <v>220220009372</v>
      </c>
      <c r="B169" s="50" t="s">
        <v>172</v>
      </c>
      <c r="C169" s="57">
        <v>44636</v>
      </c>
      <c r="D169" s="49">
        <v>22022001172</v>
      </c>
      <c r="E169" s="50" t="s">
        <v>1579</v>
      </c>
      <c r="F169" s="58">
        <v>995.62</v>
      </c>
      <c r="G169" s="50" t="s">
        <v>882</v>
      </c>
      <c r="H169" s="50" t="s">
        <v>1580</v>
      </c>
      <c r="I169" s="49" t="s">
        <v>173</v>
      </c>
      <c r="J169" s="50" t="s">
        <v>884</v>
      </c>
      <c r="K169" s="50" t="s">
        <v>109</v>
      </c>
      <c r="L169" s="50" t="s">
        <v>15</v>
      </c>
      <c r="M169" s="50" t="s">
        <v>13</v>
      </c>
      <c r="N169" s="50" t="s">
        <v>14</v>
      </c>
      <c r="O169" s="48" t="s">
        <v>631</v>
      </c>
      <c r="P169" s="45" t="s">
        <v>453</v>
      </c>
      <c r="Q169" s="35" t="str">
        <f>MID(Tabla1[[#This Row],[Aplicación]],14,1)</f>
        <v>2</v>
      </c>
      <c r="R169" s="35" t="s">
        <v>441</v>
      </c>
      <c r="S169" s="35" t="str">
        <f>MID(Tabla1[[#This Row],[Aplicación]],6,2)</f>
        <v>10</v>
      </c>
      <c r="T169" s="35" t="str">
        <f>VLOOKUP(Tabla1[[#This Row],[AREA]],Hoja1!A:B,2,FALSE)</f>
        <v>10. Servicios sociales y mediación comunitaria</v>
      </c>
      <c r="U169" s="35" t="str">
        <f>MID(Tabla1[[#This Row],[Aplicación]],9,4)</f>
        <v>2412</v>
      </c>
      <c r="V169" s="35" t="str">
        <f>VLOOKUP(Tabla1[[#This Row],[PROGRAMA]],Hoja1!A:B,2,FALSE)</f>
        <v>2412. Formación para el empleo</v>
      </c>
      <c r="W169" s="35" t="str">
        <f>MID(Tabla1[[#This Row],[Aplicación]],14,2)</f>
        <v>22</v>
      </c>
      <c r="X169" s="35" t="str">
        <f>MID(Tabla1[[#This Row],[Aplicación]],14,6)</f>
        <v>22199</v>
      </c>
    </row>
    <row r="170" spans="1:24" x14ac:dyDescent="0.25">
      <c r="A170" s="49">
        <v>220220003809</v>
      </c>
      <c r="B170" s="50" t="s">
        <v>172</v>
      </c>
      <c r="C170" s="57">
        <v>44608</v>
      </c>
      <c r="D170" s="49">
        <v>22022001593</v>
      </c>
      <c r="E170" s="50" t="s">
        <v>1581</v>
      </c>
      <c r="F170" s="58">
        <v>604.03</v>
      </c>
      <c r="G170" s="50" t="s">
        <v>882</v>
      </c>
      <c r="H170" s="50" t="s">
        <v>983</v>
      </c>
      <c r="I170" s="49" t="s">
        <v>173</v>
      </c>
      <c r="J170" s="50" t="s">
        <v>884</v>
      </c>
      <c r="K170" s="50" t="s">
        <v>109</v>
      </c>
      <c r="L170" s="50" t="s">
        <v>15</v>
      </c>
      <c r="M170" s="50" t="s">
        <v>13</v>
      </c>
      <c r="N170" s="50" t="s">
        <v>14</v>
      </c>
      <c r="O170" s="48" t="s">
        <v>631</v>
      </c>
      <c r="P170" s="45" t="s">
        <v>453</v>
      </c>
      <c r="Q170" s="35" t="str">
        <f>MID(Tabla1[[#This Row],[Aplicación]],14,1)</f>
        <v>2</v>
      </c>
      <c r="R170" s="35" t="s">
        <v>441</v>
      </c>
      <c r="S170" s="35" t="str">
        <f>MID(Tabla1[[#This Row],[Aplicación]],6,2)</f>
        <v>07</v>
      </c>
      <c r="T170" s="35" t="str">
        <f>VLOOKUP(Tabla1[[#This Row],[AREA]],Hoja1!A:B,2,FALSE)</f>
        <v>07. Medio ambiente y desarrollo sostenible</v>
      </c>
      <c r="U170" s="35" t="str">
        <f>MID(Tabla1[[#This Row],[Aplicación]],9,4)</f>
        <v>1711</v>
      </c>
      <c r="V170" s="35" t="str">
        <f>VLOOKUP(Tabla1[[#This Row],[PROGRAMA]],Hoja1!A:B,2,FALSE)</f>
        <v>1711. Parques y jardines</v>
      </c>
      <c r="W170" s="35" t="str">
        <f>MID(Tabla1[[#This Row],[Aplicación]],14,2)</f>
        <v>22</v>
      </c>
      <c r="X170" s="35" t="str">
        <f>MID(Tabla1[[#This Row],[Aplicación]],14,6)</f>
        <v>22199</v>
      </c>
    </row>
    <row r="171" spans="1:24" x14ac:dyDescent="0.25">
      <c r="A171" s="49">
        <v>220220004096</v>
      </c>
      <c r="B171" s="50" t="s">
        <v>172</v>
      </c>
      <c r="C171" s="57">
        <v>44610</v>
      </c>
      <c r="D171" s="49">
        <v>22022001172</v>
      </c>
      <c r="E171" s="50" t="s">
        <v>1579</v>
      </c>
      <c r="F171" s="58">
        <v>248.6</v>
      </c>
      <c r="G171" s="50" t="s">
        <v>882</v>
      </c>
      <c r="H171" s="50" t="s">
        <v>1582</v>
      </c>
      <c r="I171" s="49" t="s">
        <v>173</v>
      </c>
      <c r="J171" s="50" t="s">
        <v>884</v>
      </c>
      <c r="K171" s="50" t="s">
        <v>109</v>
      </c>
      <c r="L171" s="50" t="s">
        <v>15</v>
      </c>
      <c r="M171" s="50" t="s">
        <v>13</v>
      </c>
      <c r="N171" s="50" t="s">
        <v>14</v>
      </c>
      <c r="O171" s="48" t="s">
        <v>631</v>
      </c>
      <c r="P171" s="45" t="s">
        <v>453</v>
      </c>
      <c r="Q171" s="35" t="str">
        <f>MID(Tabla1[[#This Row],[Aplicación]],14,1)</f>
        <v>2</v>
      </c>
      <c r="R171" s="35" t="s">
        <v>441</v>
      </c>
      <c r="S171" s="35" t="str">
        <f>MID(Tabla1[[#This Row],[Aplicación]],6,2)</f>
        <v>10</v>
      </c>
      <c r="T171" s="35" t="str">
        <f>VLOOKUP(Tabla1[[#This Row],[AREA]],Hoja1!A:B,2,FALSE)</f>
        <v>10. Servicios sociales y mediación comunitaria</v>
      </c>
      <c r="U171" s="35" t="str">
        <f>MID(Tabla1[[#This Row],[Aplicación]],9,4)</f>
        <v>2412</v>
      </c>
      <c r="V171" s="35" t="str">
        <f>VLOOKUP(Tabla1[[#This Row],[PROGRAMA]],Hoja1!A:B,2,FALSE)</f>
        <v>2412. Formación para el empleo</v>
      </c>
      <c r="W171" s="35" t="str">
        <f>MID(Tabla1[[#This Row],[Aplicación]],14,2)</f>
        <v>22</v>
      </c>
      <c r="X171" s="35" t="str">
        <f>MID(Tabla1[[#This Row],[Aplicación]],14,6)</f>
        <v>22199</v>
      </c>
    </row>
    <row r="172" spans="1:24" x14ac:dyDescent="0.25">
      <c r="A172" s="49">
        <v>220219000910</v>
      </c>
      <c r="B172" s="50" t="s">
        <v>9</v>
      </c>
      <c r="C172" s="57">
        <v>44562</v>
      </c>
      <c r="D172" s="49">
        <v>22022000106</v>
      </c>
      <c r="E172" s="50" t="s">
        <v>1583</v>
      </c>
      <c r="F172" s="58">
        <v>250000</v>
      </c>
      <c r="G172" s="50" t="s">
        <v>38</v>
      </c>
      <c r="H172" s="50" t="s">
        <v>1584</v>
      </c>
      <c r="I172" s="49" t="s">
        <v>107</v>
      </c>
      <c r="J172" s="50" t="s">
        <v>129</v>
      </c>
      <c r="K172" s="50" t="s">
        <v>170</v>
      </c>
      <c r="L172" s="50" t="s">
        <v>15</v>
      </c>
      <c r="M172" s="50" t="s">
        <v>13</v>
      </c>
      <c r="N172" s="50" t="s">
        <v>14</v>
      </c>
      <c r="O172" s="48" t="s">
        <v>620</v>
      </c>
      <c r="P172" s="45" t="s">
        <v>453</v>
      </c>
      <c r="Q172" s="35" t="str">
        <f>MID(Tabla1[[#This Row],[Aplicación]],14,1)</f>
        <v>2</v>
      </c>
      <c r="R172" s="35" t="s">
        <v>441</v>
      </c>
      <c r="S172" s="35" t="str">
        <f>MID(Tabla1[[#This Row],[Aplicación]],6,2)</f>
        <v>02</v>
      </c>
      <c r="T172" s="35" t="str">
        <f>VLOOKUP(Tabla1[[#This Row],[AREA]],Hoja1!A:B,2,FALSE)</f>
        <v>02. Planeamiento urbanístico y vivienda</v>
      </c>
      <c r="U172" s="35" t="str">
        <f>MID(Tabla1[[#This Row],[Aplicación]],9,4)</f>
        <v>9332</v>
      </c>
      <c r="V172" s="35" t="str">
        <f>VLOOKUP(Tabla1[[#This Row],[PROGRAMA]],Hoja1!A:B,2,FALSE)</f>
        <v>9332. Mantenimiento de edificios e instalaciones municipales</v>
      </c>
      <c r="W172" s="35" t="str">
        <f>MID(Tabla1[[#This Row],[Aplicación]],14,2)</f>
        <v>22</v>
      </c>
      <c r="X172" s="35" t="str">
        <f>MID(Tabla1[[#This Row],[Aplicación]],14,6)</f>
        <v>22100</v>
      </c>
    </row>
    <row r="173" spans="1:24" x14ac:dyDescent="0.25">
      <c r="A173" s="49">
        <v>220220001745</v>
      </c>
      <c r="B173" s="50" t="s">
        <v>172</v>
      </c>
      <c r="C173" s="57">
        <v>44588</v>
      </c>
      <c r="D173" s="49">
        <v>22022001593</v>
      </c>
      <c r="E173" s="50" t="s">
        <v>1581</v>
      </c>
      <c r="F173" s="58">
        <v>209.89</v>
      </c>
      <c r="G173" s="50" t="s">
        <v>882</v>
      </c>
      <c r="H173" s="50" t="s">
        <v>883</v>
      </c>
      <c r="I173" s="49" t="s">
        <v>173</v>
      </c>
      <c r="J173" s="50" t="s">
        <v>884</v>
      </c>
      <c r="K173" s="50" t="s">
        <v>109</v>
      </c>
      <c r="L173" s="50" t="s">
        <v>15</v>
      </c>
      <c r="M173" s="50" t="s">
        <v>13</v>
      </c>
      <c r="N173" s="50" t="s">
        <v>14</v>
      </c>
      <c r="O173" s="48" t="s">
        <v>631</v>
      </c>
      <c r="P173" s="45" t="s">
        <v>453</v>
      </c>
      <c r="Q173" s="35" t="str">
        <f>MID(Tabla1[[#This Row],[Aplicación]],14,1)</f>
        <v>2</v>
      </c>
      <c r="R173" s="35" t="s">
        <v>441</v>
      </c>
      <c r="S173" s="35" t="str">
        <f>MID(Tabla1[[#This Row],[Aplicación]],6,2)</f>
        <v>07</v>
      </c>
      <c r="T173" s="35" t="str">
        <f>VLOOKUP(Tabla1[[#This Row],[AREA]],Hoja1!A:B,2,FALSE)</f>
        <v>07. Medio ambiente y desarrollo sostenible</v>
      </c>
      <c r="U173" s="35" t="str">
        <f>MID(Tabla1[[#This Row],[Aplicación]],9,4)</f>
        <v>1711</v>
      </c>
      <c r="V173" s="35" t="str">
        <f>VLOOKUP(Tabla1[[#This Row],[PROGRAMA]],Hoja1!A:B,2,FALSE)</f>
        <v>1711. Parques y jardines</v>
      </c>
      <c r="W173" s="35" t="str">
        <f>MID(Tabla1[[#This Row],[Aplicación]],14,2)</f>
        <v>22</v>
      </c>
      <c r="X173" s="35" t="str">
        <f>MID(Tabla1[[#This Row],[Aplicación]],14,6)</f>
        <v>22199</v>
      </c>
    </row>
    <row r="174" spans="1:24" x14ac:dyDescent="0.25">
      <c r="A174" s="49">
        <v>220220004098</v>
      </c>
      <c r="B174" s="50" t="s">
        <v>172</v>
      </c>
      <c r="C174" s="57">
        <v>44610</v>
      </c>
      <c r="D174" s="49">
        <v>22022001172</v>
      </c>
      <c r="E174" s="50" t="s">
        <v>1579</v>
      </c>
      <c r="F174" s="58">
        <v>205.13</v>
      </c>
      <c r="G174" s="50" t="s">
        <v>882</v>
      </c>
      <c r="H174" s="50" t="s">
        <v>1585</v>
      </c>
      <c r="I174" s="49" t="s">
        <v>173</v>
      </c>
      <c r="J174" s="50" t="s">
        <v>884</v>
      </c>
      <c r="K174" s="50" t="s">
        <v>109</v>
      </c>
      <c r="L174" s="50" t="s">
        <v>15</v>
      </c>
      <c r="M174" s="50" t="s">
        <v>13</v>
      </c>
      <c r="N174" s="50" t="s">
        <v>14</v>
      </c>
      <c r="O174" s="48" t="s">
        <v>631</v>
      </c>
      <c r="P174" s="45" t="s">
        <v>453</v>
      </c>
      <c r="Q174" s="35" t="str">
        <f>MID(Tabla1[[#This Row],[Aplicación]],14,1)</f>
        <v>2</v>
      </c>
      <c r="R174" s="35" t="s">
        <v>441</v>
      </c>
      <c r="S174" s="35" t="str">
        <f>MID(Tabla1[[#This Row],[Aplicación]],6,2)</f>
        <v>10</v>
      </c>
      <c r="T174" s="35" t="str">
        <f>VLOOKUP(Tabla1[[#This Row],[AREA]],Hoja1!A:B,2,FALSE)</f>
        <v>10. Servicios sociales y mediación comunitaria</v>
      </c>
      <c r="U174" s="35" t="str">
        <f>MID(Tabla1[[#This Row],[Aplicación]],9,4)</f>
        <v>2412</v>
      </c>
      <c r="V174" s="35" t="str">
        <f>VLOOKUP(Tabla1[[#This Row],[PROGRAMA]],Hoja1!A:B,2,FALSE)</f>
        <v>2412. Formación para el empleo</v>
      </c>
      <c r="W174" s="35" t="str">
        <f>MID(Tabla1[[#This Row],[Aplicación]],14,2)</f>
        <v>22</v>
      </c>
      <c r="X174" s="35" t="str">
        <f>MID(Tabla1[[#This Row],[Aplicación]],14,6)</f>
        <v>22199</v>
      </c>
    </row>
    <row r="175" spans="1:24" x14ac:dyDescent="0.25">
      <c r="A175" s="49">
        <v>220220009934</v>
      </c>
      <c r="B175" s="50" t="s">
        <v>172</v>
      </c>
      <c r="C175" s="57">
        <v>44638</v>
      </c>
      <c r="D175" s="49">
        <v>22022001172</v>
      </c>
      <c r="E175" s="50" t="s">
        <v>1579</v>
      </c>
      <c r="F175" s="58">
        <v>137.77000000000001</v>
      </c>
      <c r="G175" s="50" t="s">
        <v>882</v>
      </c>
      <c r="H175" s="50" t="s">
        <v>1586</v>
      </c>
      <c r="I175" s="49" t="s">
        <v>173</v>
      </c>
      <c r="J175" s="50" t="s">
        <v>884</v>
      </c>
      <c r="K175" s="50" t="s">
        <v>109</v>
      </c>
      <c r="L175" s="50" t="s">
        <v>15</v>
      </c>
      <c r="M175" s="50" t="s">
        <v>13</v>
      </c>
      <c r="N175" s="50" t="s">
        <v>14</v>
      </c>
      <c r="O175" s="48" t="s">
        <v>631</v>
      </c>
      <c r="P175" s="45" t="s">
        <v>453</v>
      </c>
      <c r="Q175" s="35" t="str">
        <f>MID(Tabla1[[#This Row],[Aplicación]],14,1)</f>
        <v>2</v>
      </c>
      <c r="R175" s="35" t="s">
        <v>441</v>
      </c>
      <c r="S175" s="35" t="str">
        <f>MID(Tabla1[[#This Row],[Aplicación]],6,2)</f>
        <v>10</v>
      </c>
      <c r="T175" s="35" t="str">
        <f>VLOOKUP(Tabla1[[#This Row],[AREA]],Hoja1!A:B,2,FALSE)</f>
        <v>10. Servicios sociales y mediación comunitaria</v>
      </c>
      <c r="U175" s="35" t="str">
        <f>MID(Tabla1[[#This Row],[Aplicación]],9,4)</f>
        <v>2412</v>
      </c>
      <c r="V175" s="35" t="str">
        <f>VLOOKUP(Tabla1[[#This Row],[PROGRAMA]],Hoja1!A:B,2,FALSE)</f>
        <v>2412. Formación para el empleo</v>
      </c>
      <c r="W175" s="35" t="str">
        <f>MID(Tabla1[[#This Row],[Aplicación]],14,2)</f>
        <v>22</v>
      </c>
      <c r="X175" s="35" t="str">
        <f>MID(Tabla1[[#This Row],[Aplicación]],14,6)</f>
        <v>22199</v>
      </c>
    </row>
    <row r="176" spans="1:24" x14ac:dyDescent="0.25">
      <c r="A176" s="49">
        <v>220219000738</v>
      </c>
      <c r="B176" s="50" t="s">
        <v>9</v>
      </c>
      <c r="C176" s="57">
        <v>44562</v>
      </c>
      <c r="D176" s="49">
        <v>22022000589</v>
      </c>
      <c r="E176" s="50" t="s">
        <v>1587</v>
      </c>
      <c r="F176" s="58">
        <v>356414.9</v>
      </c>
      <c r="G176" s="50" t="s">
        <v>490</v>
      </c>
      <c r="H176" s="50" t="s">
        <v>1380</v>
      </c>
      <c r="I176" s="49" t="s">
        <v>107</v>
      </c>
      <c r="J176" s="50" t="s">
        <v>491</v>
      </c>
      <c r="K176" s="50" t="s">
        <v>108</v>
      </c>
      <c r="L176" s="50" t="s">
        <v>12</v>
      </c>
      <c r="M176" s="50" t="s">
        <v>13</v>
      </c>
      <c r="N176" s="50" t="s">
        <v>14</v>
      </c>
      <c r="O176" s="48" t="s">
        <v>620</v>
      </c>
      <c r="P176" s="45" t="s">
        <v>453</v>
      </c>
      <c r="Q176" s="35" t="str">
        <f>MID(Tabla1[[#This Row],[Aplicación]],14,1)</f>
        <v>2</v>
      </c>
      <c r="R176" s="35" t="s">
        <v>441</v>
      </c>
      <c r="S176" s="35" t="str">
        <f>MID(Tabla1[[#This Row],[Aplicación]],6,2)</f>
        <v>07</v>
      </c>
      <c r="T176" s="35" t="str">
        <f>VLOOKUP(Tabla1[[#This Row],[AREA]],Hoja1!A:B,2,FALSE)</f>
        <v>07. Medio ambiente y desarrollo sostenible</v>
      </c>
      <c r="U176" s="35" t="str">
        <f>MID(Tabla1[[#This Row],[Aplicación]],9,4)</f>
        <v>1711</v>
      </c>
      <c r="V176" s="35" t="str">
        <f>VLOOKUP(Tabla1[[#This Row],[PROGRAMA]],Hoja1!A:B,2,FALSE)</f>
        <v>1711. Parques y jardines</v>
      </c>
      <c r="W176" s="35" t="str">
        <f>MID(Tabla1[[#This Row],[Aplicación]],14,2)</f>
        <v>22</v>
      </c>
      <c r="X176" s="35" t="str">
        <f>MID(Tabla1[[#This Row],[Aplicación]],14,6)</f>
        <v>22799</v>
      </c>
    </row>
    <row r="177" spans="1:24" x14ac:dyDescent="0.25">
      <c r="A177" s="49">
        <v>220209000334</v>
      </c>
      <c r="B177" s="50" t="s">
        <v>9</v>
      </c>
      <c r="C177" s="57">
        <v>44562</v>
      </c>
      <c r="D177" s="49">
        <v>22022000186</v>
      </c>
      <c r="E177" s="50" t="s">
        <v>1415</v>
      </c>
      <c r="F177" s="58">
        <v>92000</v>
      </c>
      <c r="G177" s="50" t="s">
        <v>143</v>
      </c>
      <c r="H177" s="50" t="s">
        <v>637</v>
      </c>
      <c r="I177" s="49" t="s">
        <v>107</v>
      </c>
      <c r="J177" s="50" t="s">
        <v>109</v>
      </c>
      <c r="K177" s="50" t="s">
        <v>109</v>
      </c>
      <c r="L177" s="50" t="s">
        <v>12</v>
      </c>
      <c r="M177" s="50" t="s">
        <v>13</v>
      </c>
      <c r="N177" s="50" t="s">
        <v>14</v>
      </c>
      <c r="O177" s="48" t="s">
        <v>620</v>
      </c>
      <c r="P177" s="45" t="s">
        <v>453</v>
      </c>
      <c r="Q177" s="35" t="str">
        <f>MID(Tabla1[[#This Row],[Aplicación]],14,1)</f>
        <v>2</v>
      </c>
      <c r="R177" s="35" t="s">
        <v>441</v>
      </c>
      <c r="S177" s="35" t="str">
        <f>MID(Tabla1[[#This Row],[Aplicación]],6,2)</f>
        <v>06</v>
      </c>
      <c r="T177" s="35" t="str">
        <f>VLOOKUP(Tabla1[[#This Row],[AREA]],Hoja1!A:B,2,FALSE)</f>
        <v>06. Educación, infancia, juventud e igualdad</v>
      </c>
      <c r="U177" s="35" t="str">
        <f>MID(Tabla1[[#This Row],[Aplicación]],9,4)</f>
        <v>3261</v>
      </c>
      <c r="V177" s="35" t="str">
        <f>VLOOKUP(Tabla1[[#This Row],[PROGRAMA]],Hoja1!A:B,2,FALSE)</f>
        <v>3261. Servicios complementarios de educación</v>
      </c>
      <c r="W177" s="35" t="str">
        <f>MID(Tabla1[[#This Row],[Aplicación]],14,2)</f>
        <v>22</v>
      </c>
      <c r="X177" s="35" t="str">
        <f>MID(Tabla1[[#This Row],[Aplicación]],14,6)</f>
        <v>22799</v>
      </c>
    </row>
    <row r="178" spans="1:24" x14ac:dyDescent="0.25">
      <c r="A178" s="49">
        <v>220220007049</v>
      </c>
      <c r="B178" s="50" t="s">
        <v>172</v>
      </c>
      <c r="C178" s="57">
        <v>44623</v>
      </c>
      <c r="D178" s="49">
        <v>22022001172</v>
      </c>
      <c r="E178" s="50" t="s">
        <v>1579</v>
      </c>
      <c r="F178" s="58">
        <v>129.47999999999999</v>
      </c>
      <c r="G178" s="50" t="s">
        <v>882</v>
      </c>
      <c r="H178" s="50" t="s">
        <v>1588</v>
      </c>
      <c r="I178" s="49" t="s">
        <v>173</v>
      </c>
      <c r="J178" s="50" t="s">
        <v>884</v>
      </c>
      <c r="K178" s="50" t="s">
        <v>109</v>
      </c>
      <c r="L178" s="50" t="s">
        <v>15</v>
      </c>
      <c r="M178" s="50" t="s">
        <v>13</v>
      </c>
      <c r="N178" s="50" t="s">
        <v>14</v>
      </c>
      <c r="O178" s="48" t="s">
        <v>631</v>
      </c>
      <c r="P178" s="45" t="s">
        <v>453</v>
      </c>
      <c r="Q178" s="35" t="str">
        <f>MID(Tabla1[[#This Row],[Aplicación]],14,1)</f>
        <v>2</v>
      </c>
      <c r="R178" s="35" t="s">
        <v>441</v>
      </c>
      <c r="S178" s="35" t="str">
        <f>MID(Tabla1[[#This Row],[Aplicación]],6,2)</f>
        <v>10</v>
      </c>
      <c r="T178" s="35" t="str">
        <f>VLOOKUP(Tabla1[[#This Row],[AREA]],Hoja1!A:B,2,FALSE)</f>
        <v>10. Servicios sociales y mediación comunitaria</v>
      </c>
      <c r="U178" s="35" t="str">
        <f>MID(Tabla1[[#This Row],[Aplicación]],9,4)</f>
        <v>2412</v>
      </c>
      <c r="V178" s="35" t="str">
        <f>VLOOKUP(Tabla1[[#This Row],[PROGRAMA]],Hoja1!A:B,2,FALSE)</f>
        <v>2412. Formación para el empleo</v>
      </c>
      <c r="W178" s="35" t="str">
        <f>MID(Tabla1[[#This Row],[Aplicación]],14,2)</f>
        <v>22</v>
      </c>
      <c r="X178" s="35" t="str">
        <f>MID(Tabla1[[#This Row],[Aplicación]],14,6)</f>
        <v>22199</v>
      </c>
    </row>
    <row r="179" spans="1:24" x14ac:dyDescent="0.25">
      <c r="A179" s="49">
        <v>220220008417</v>
      </c>
      <c r="B179" s="50" t="s">
        <v>172</v>
      </c>
      <c r="C179" s="57">
        <v>44631</v>
      </c>
      <c r="D179" s="49">
        <v>22022001593</v>
      </c>
      <c r="E179" s="50" t="s">
        <v>1581</v>
      </c>
      <c r="F179" s="58">
        <v>110.11</v>
      </c>
      <c r="G179" s="50" t="s">
        <v>882</v>
      </c>
      <c r="H179" s="50" t="s">
        <v>883</v>
      </c>
      <c r="I179" s="49" t="s">
        <v>173</v>
      </c>
      <c r="J179" s="50" t="s">
        <v>884</v>
      </c>
      <c r="K179" s="50" t="s">
        <v>109</v>
      </c>
      <c r="L179" s="50" t="s">
        <v>15</v>
      </c>
      <c r="M179" s="50" t="s">
        <v>13</v>
      </c>
      <c r="N179" s="50" t="s">
        <v>14</v>
      </c>
      <c r="O179" s="48" t="s">
        <v>631</v>
      </c>
      <c r="P179" s="45" t="s">
        <v>453</v>
      </c>
      <c r="Q179" s="35" t="str">
        <f>MID(Tabla1[[#This Row],[Aplicación]],14,1)</f>
        <v>2</v>
      </c>
      <c r="R179" s="35" t="s">
        <v>441</v>
      </c>
      <c r="S179" s="35" t="str">
        <f>MID(Tabla1[[#This Row],[Aplicación]],6,2)</f>
        <v>07</v>
      </c>
      <c r="T179" s="35" t="str">
        <f>VLOOKUP(Tabla1[[#This Row],[AREA]],Hoja1!A:B,2,FALSE)</f>
        <v>07. Medio ambiente y desarrollo sostenible</v>
      </c>
      <c r="U179" s="35" t="str">
        <f>MID(Tabla1[[#This Row],[Aplicación]],9,4)</f>
        <v>1711</v>
      </c>
      <c r="V179" s="35" t="str">
        <f>VLOOKUP(Tabla1[[#This Row],[PROGRAMA]],Hoja1!A:B,2,FALSE)</f>
        <v>1711. Parques y jardines</v>
      </c>
      <c r="W179" s="35" t="str">
        <f>MID(Tabla1[[#This Row],[Aplicación]],14,2)</f>
        <v>22</v>
      </c>
      <c r="X179" s="35" t="str">
        <f>MID(Tabla1[[#This Row],[Aplicación]],14,6)</f>
        <v>22199</v>
      </c>
    </row>
    <row r="180" spans="1:24" x14ac:dyDescent="0.25">
      <c r="A180" s="49">
        <v>220220000110</v>
      </c>
      <c r="B180" s="50" t="s">
        <v>9</v>
      </c>
      <c r="C180" s="57">
        <v>44581</v>
      </c>
      <c r="D180" s="49">
        <v>22022001268</v>
      </c>
      <c r="E180" s="50" t="s">
        <v>1361</v>
      </c>
      <c r="F180" s="58">
        <v>6000</v>
      </c>
      <c r="G180" s="50" t="s">
        <v>1589</v>
      </c>
      <c r="H180" s="50" t="s">
        <v>1590</v>
      </c>
      <c r="I180" s="49" t="s">
        <v>107</v>
      </c>
      <c r="J180" s="50" t="s">
        <v>108</v>
      </c>
      <c r="K180" s="50" t="s">
        <v>108</v>
      </c>
      <c r="L180" s="50" t="s">
        <v>12</v>
      </c>
      <c r="M180" s="50" t="s">
        <v>10</v>
      </c>
      <c r="N180" s="50" t="s">
        <v>11</v>
      </c>
      <c r="O180" s="48" t="s">
        <v>632</v>
      </c>
      <c r="P180" s="45" t="s">
        <v>453</v>
      </c>
      <c r="Q180" s="35" t="str">
        <f>MID(Tabla1[[#This Row],[Aplicación]],14,1)</f>
        <v>2</v>
      </c>
      <c r="R180" s="35" t="s">
        <v>441</v>
      </c>
      <c r="S180" s="35" t="str">
        <f>MID(Tabla1[[#This Row],[Aplicación]],6,2)</f>
        <v>10</v>
      </c>
      <c r="T180" s="35" t="str">
        <f>VLOOKUP(Tabla1[[#This Row],[AREA]],Hoja1!A:B,2,FALSE)</f>
        <v>10. Servicios sociales y mediación comunitaria</v>
      </c>
      <c r="U180" s="35" t="str">
        <f>MID(Tabla1[[#This Row],[Aplicación]],9,4)</f>
        <v>2311</v>
      </c>
      <c r="V180" s="35" t="str">
        <f>VLOOKUP(Tabla1[[#This Row],[PROGRAMA]],Hoja1!A:B,2,FALSE)</f>
        <v>2311. Intervención social</v>
      </c>
      <c r="W180" s="35" t="str">
        <f>MID(Tabla1[[#This Row],[Aplicación]],14,2)</f>
        <v>22</v>
      </c>
      <c r="X180" s="35" t="str">
        <f>MID(Tabla1[[#This Row],[Aplicación]],14,6)</f>
        <v>22799</v>
      </c>
    </row>
    <row r="181" spans="1:24" x14ac:dyDescent="0.25">
      <c r="A181" s="49">
        <v>220219000929</v>
      </c>
      <c r="B181" s="50" t="s">
        <v>9</v>
      </c>
      <c r="C181" s="57">
        <v>44562</v>
      </c>
      <c r="D181" s="49">
        <v>22022000125</v>
      </c>
      <c r="E181" s="50" t="s">
        <v>1591</v>
      </c>
      <c r="F181" s="58">
        <v>210000</v>
      </c>
      <c r="G181" s="50" t="s">
        <v>38</v>
      </c>
      <c r="H181" s="50" t="s">
        <v>1592</v>
      </c>
      <c r="I181" s="49" t="s">
        <v>107</v>
      </c>
      <c r="J181" s="50" t="s">
        <v>129</v>
      </c>
      <c r="K181" s="50" t="s">
        <v>170</v>
      </c>
      <c r="L181" s="50" t="s">
        <v>15</v>
      </c>
      <c r="M181" s="50" t="s">
        <v>13</v>
      </c>
      <c r="N181" s="50" t="s">
        <v>14</v>
      </c>
      <c r="O181" s="48" t="s">
        <v>620</v>
      </c>
      <c r="P181" s="45" t="s">
        <v>453</v>
      </c>
      <c r="Q181" s="35" t="str">
        <f>MID(Tabla1[[#This Row],[Aplicación]],14,1)</f>
        <v>2</v>
      </c>
      <c r="R181" s="35" t="s">
        <v>441</v>
      </c>
      <c r="S181" s="35" t="str">
        <f>MID(Tabla1[[#This Row],[Aplicación]],6,2)</f>
        <v>08</v>
      </c>
      <c r="T181" s="35" t="str">
        <f>VLOOKUP(Tabla1[[#This Row],[AREA]],Hoja1!A:B,2,FALSE)</f>
        <v>08. Movilidad y espacio urbano</v>
      </c>
      <c r="U181" s="35" t="str">
        <f>MID(Tabla1[[#This Row],[Aplicación]],9,4)</f>
        <v>1341</v>
      </c>
      <c r="V181" s="35" t="str">
        <f>VLOOKUP(Tabla1[[#This Row],[PROGRAMA]],Hoja1!A:B,2,FALSE)</f>
        <v>1341. Movilidad</v>
      </c>
      <c r="W181" s="35" t="str">
        <f>MID(Tabla1[[#This Row],[Aplicación]],14,2)</f>
        <v>22</v>
      </c>
      <c r="X181" s="35" t="str">
        <f>MID(Tabla1[[#This Row],[Aplicación]],14,6)</f>
        <v>22100</v>
      </c>
    </row>
    <row r="182" spans="1:24" x14ac:dyDescent="0.25">
      <c r="A182" s="49">
        <v>220219001234</v>
      </c>
      <c r="B182" s="50" t="s">
        <v>9</v>
      </c>
      <c r="C182" s="57">
        <v>44562</v>
      </c>
      <c r="D182" s="49">
        <v>22022001483</v>
      </c>
      <c r="E182" s="50" t="s">
        <v>1593</v>
      </c>
      <c r="F182" s="58">
        <v>282222.11</v>
      </c>
      <c r="G182" s="50" t="s">
        <v>93</v>
      </c>
      <c r="H182" s="50" t="s">
        <v>1357</v>
      </c>
      <c r="I182" s="49" t="s">
        <v>107</v>
      </c>
      <c r="J182" s="50" t="s">
        <v>109</v>
      </c>
      <c r="K182" s="50" t="s">
        <v>109</v>
      </c>
      <c r="L182" s="50" t="s">
        <v>12</v>
      </c>
      <c r="M182" s="50" t="s">
        <v>13</v>
      </c>
      <c r="N182" s="50" t="s">
        <v>14</v>
      </c>
      <c r="O182" s="48" t="s">
        <v>620</v>
      </c>
      <c r="P182" s="45" t="s">
        <v>453</v>
      </c>
      <c r="Q182" s="35" t="str">
        <f>MID(Tabla1[[#This Row],[Aplicación]],14,1)</f>
        <v>6</v>
      </c>
      <c r="R182" s="35" t="s">
        <v>442</v>
      </c>
      <c r="S182" s="35" t="str">
        <f>MID(Tabla1[[#This Row],[Aplicación]],6,2)</f>
        <v>07</v>
      </c>
      <c r="T182" s="35" t="str">
        <f>VLOOKUP(Tabla1[[#This Row],[AREA]],Hoja1!A:B,2,FALSE)</f>
        <v>07. Medio ambiente y desarrollo sostenible</v>
      </c>
      <c r="U182" s="35" t="str">
        <f>MID(Tabla1[[#This Row],[Aplicación]],9,4)</f>
        <v>1711</v>
      </c>
      <c r="V182" s="35" t="str">
        <f>VLOOKUP(Tabla1[[#This Row],[PROGRAMA]],Hoja1!A:B,2,FALSE)</f>
        <v>1711. Parques y jardines</v>
      </c>
      <c r="W182" s="35" t="str">
        <f>MID(Tabla1[[#This Row],[Aplicación]],14,2)</f>
        <v>61</v>
      </c>
      <c r="X182" s="35" t="str">
        <f>MID(Tabla1[[#This Row],[Aplicación]],14,6)</f>
        <v>619</v>
      </c>
    </row>
    <row r="183" spans="1:24" x14ac:dyDescent="0.25">
      <c r="A183" s="49">
        <v>220220013281</v>
      </c>
      <c r="B183" s="50" t="s">
        <v>26</v>
      </c>
      <c r="C183" s="57">
        <v>44650</v>
      </c>
      <c r="D183" s="49">
        <v>22022002929</v>
      </c>
      <c r="E183" s="50" t="s">
        <v>1594</v>
      </c>
      <c r="F183" s="58">
        <v>281599.88</v>
      </c>
      <c r="G183" s="50" t="s">
        <v>1042</v>
      </c>
      <c r="H183" s="50" t="s">
        <v>1595</v>
      </c>
      <c r="I183" s="49" t="s">
        <v>1596</v>
      </c>
      <c r="J183" s="50" t="s">
        <v>109</v>
      </c>
      <c r="K183" s="50" t="s">
        <v>109</v>
      </c>
      <c r="L183" s="50" t="s">
        <v>12</v>
      </c>
      <c r="M183" s="50" t="s">
        <v>13</v>
      </c>
      <c r="N183" s="50" t="s">
        <v>14</v>
      </c>
      <c r="O183" s="48" t="s">
        <v>620</v>
      </c>
      <c r="P183" s="45" t="s">
        <v>453</v>
      </c>
      <c r="Q183" s="35" t="str">
        <f>MID(Tabla1[[#This Row],[Aplicación]],14,1)</f>
        <v>2</v>
      </c>
      <c r="R183" s="35" t="s">
        <v>441</v>
      </c>
      <c r="S183" s="35" t="str">
        <f>MID(Tabla1[[#This Row],[Aplicación]],6,2)</f>
        <v>07</v>
      </c>
      <c r="T183" s="35" t="str">
        <f>VLOOKUP(Tabla1[[#This Row],[AREA]],Hoja1!A:B,2,FALSE)</f>
        <v>07. Medio ambiente y desarrollo sostenible</v>
      </c>
      <c r="U183" s="35" t="str">
        <f>MID(Tabla1[[#This Row],[Aplicación]],9,4)</f>
        <v>1623</v>
      </c>
      <c r="V183" s="35" t="str">
        <f>VLOOKUP(Tabla1[[#This Row],[PROGRAMA]],Hoja1!A:B,2,FALSE)</f>
        <v>1623. Tratamiento de residuos</v>
      </c>
      <c r="W183" s="35" t="str">
        <f>MID(Tabla1[[#This Row],[Aplicación]],14,2)</f>
        <v>22</v>
      </c>
      <c r="X183" s="35" t="str">
        <f>MID(Tabla1[[#This Row],[Aplicación]],14,6)</f>
        <v>22700</v>
      </c>
    </row>
    <row r="184" spans="1:24" x14ac:dyDescent="0.25">
      <c r="A184" s="49">
        <v>220220003440</v>
      </c>
      <c r="B184" s="50" t="s">
        <v>9</v>
      </c>
      <c r="C184" s="57">
        <v>44603</v>
      </c>
      <c r="D184" s="49">
        <v>22022002037</v>
      </c>
      <c r="E184" s="50" t="s">
        <v>1597</v>
      </c>
      <c r="F184" s="58">
        <v>740</v>
      </c>
      <c r="G184" s="50" t="s">
        <v>493</v>
      </c>
      <c r="H184" s="50" t="s">
        <v>1598</v>
      </c>
      <c r="I184" s="49" t="s">
        <v>107</v>
      </c>
      <c r="J184" s="50" t="s">
        <v>536</v>
      </c>
      <c r="K184" s="50" t="s">
        <v>118</v>
      </c>
      <c r="L184" s="50" t="s">
        <v>12</v>
      </c>
      <c r="M184" s="50" t="s">
        <v>10</v>
      </c>
      <c r="N184" s="50" t="s">
        <v>11</v>
      </c>
      <c r="O184" s="48" t="s">
        <v>632</v>
      </c>
      <c r="P184" s="45" t="s">
        <v>453</v>
      </c>
      <c r="Q184" s="35" t="str">
        <f>MID(Tabla1[[#This Row],[Aplicación]],14,1)</f>
        <v>2</v>
      </c>
      <c r="R184" s="35" t="s">
        <v>441</v>
      </c>
      <c r="S184" s="35" t="str">
        <f>MID(Tabla1[[#This Row],[Aplicación]],6,2)</f>
        <v>11</v>
      </c>
      <c r="T184" s="35" t="str">
        <f>VLOOKUP(Tabla1[[#This Row],[AREA]],Hoja1!A:B,2,FALSE)</f>
        <v>11. Salud pública y seguridad ciudadana</v>
      </c>
      <c r="U184" s="35" t="str">
        <f>MID(Tabla1[[#This Row],[Aplicación]],9,4)</f>
        <v>1621</v>
      </c>
      <c r="V184" s="35" t="str">
        <f>VLOOKUP(Tabla1[[#This Row],[PROGRAMA]],Hoja1!A:B,2,FALSE)</f>
        <v>1621. Servicio de limpieza</v>
      </c>
      <c r="W184" s="35" t="str">
        <f>MID(Tabla1[[#This Row],[Aplicación]],14,2)</f>
        <v>20</v>
      </c>
      <c r="X184" s="35" t="str">
        <f>MID(Tabla1[[#This Row],[Aplicación]],14,6)</f>
        <v>203</v>
      </c>
    </row>
    <row r="185" spans="1:24" x14ac:dyDescent="0.25">
      <c r="A185" s="49">
        <v>220220006707</v>
      </c>
      <c r="B185" s="50" t="s">
        <v>9</v>
      </c>
      <c r="C185" s="57">
        <v>44617</v>
      </c>
      <c r="D185" s="49">
        <v>22022002519</v>
      </c>
      <c r="E185" s="50" t="s">
        <v>1599</v>
      </c>
      <c r="F185" s="58">
        <v>600</v>
      </c>
      <c r="G185" s="50" t="s">
        <v>493</v>
      </c>
      <c r="H185" s="50" t="s">
        <v>1600</v>
      </c>
      <c r="I185" s="49" t="s">
        <v>107</v>
      </c>
      <c r="J185" s="50" t="s">
        <v>536</v>
      </c>
      <c r="K185" s="50" t="s">
        <v>118</v>
      </c>
      <c r="L185" s="50" t="s">
        <v>1601</v>
      </c>
      <c r="M185" s="50" t="s">
        <v>10</v>
      </c>
      <c r="N185" s="50" t="s">
        <v>11</v>
      </c>
      <c r="O185" s="48" t="s">
        <v>632</v>
      </c>
      <c r="P185" s="45" t="s">
        <v>453</v>
      </c>
      <c r="Q185" s="35" t="str">
        <f>MID(Tabla1[[#This Row],[Aplicación]],14,1)</f>
        <v>2</v>
      </c>
      <c r="R185" s="35" t="s">
        <v>441</v>
      </c>
      <c r="S185" s="35" t="str">
        <f>MID(Tabla1[[#This Row],[Aplicación]],6,2)</f>
        <v>01</v>
      </c>
      <c r="T185" s="35" t="str">
        <f>VLOOKUP(Tabla1[[#This Row],[AREA]],Hoja1!A:B,2,FALSE)</f>
        <v>01. Alcaldía</v>
      </c>
      <c r="U185" s="35" t="str">
        <f>MID(Tabla1[[#This Row],[Aplicación]],9,4)</f>
        <v>9312</v>
      </c>
      <c r="V185" s="35" t="str">
        <f>VLOOKUP(Tabla1[[#This Row],[PROGRAMA]],Hoja1!A:B,2,FALSE)</f>
        <v>9312. Intervención general</v>
      </c>
      <c r="W185" s="35" t="str">
        <f>MID(Tabla1[[#This Row],[Aplicación]],14,2)</f>
        <v>22</v>
      </c>
      <c r="X185" s="35" t="str">
        <f>MID(Tabla1[[#This Row],[Aplicación]],14,6)</f>
        <v>22699</v>
      </c>
    </row>
    <row r="186" spans="1:24" x14ac:dyDescent="0.25">
      <c r="A186" s="49">
        <v>220210066693</v>
      </c>
      <c r="B186" s="50" t="s">
        <v>9</v>
      </c>
      <c r="C186" s="57">
        <v>44620</v>
      </c>
      <c r="D186" s="49">
        <v>22021003909</v>
      </c>
      <c r="E186" s="50" t="s">
        <v>1602</v>
      </c>
      <c r="F186" s="58">
        <v>277944.45</v>
      </c>
      <c r="G186" s="50" t="s">
        <v>1170</v>
      </c>
      <c r="H186" s="50" t="s">
        <v>1171</v>
      </c>
      <c r="I186" s="49" t="s">
        <v>107</v>
      </c>
      <c r="J186" s="50" t="s">
        <v>108</v>
      </c>
      <c r="K186" s="50" t="s">
        <v>108</v>
      </c>
      <c r="L186" s="50" t="s">
        <v>25</v>
      </c>
      <c r="M186" s="50" t="s">
        <v>13</v>
      </c>
      <c r="N186" s="50" t="s">
        <v>16</v>
      </c>
      <c r="O186" s="48" t="s">
        <v>620</v>
      </c>
      <c r="P186" s="45" t="s">
        <v>453</v>
      </c>
      <c r="Q186" s="35" t="str">
        <f>MID(Tabla1[[#This Row],[Aplicación]],14,1)</f>
        <v>6</v>
      </c>
      <c r="R186" s="35" t="s">
        <v>442</v>
      </c>
      <c r="S186" s="35" t="str">
        <f>MID(Tabla1[[#This Row],[Aplicación]],6,2)</f>
        <v>05</v>
      </c>
      <c r="T186" s="35" t="str">
        <f>VLOOKUP(Tabla1[[#This Row],[AREA]],Hoja1!A:B,2,FALSE)</f>
        <v>05. Innovación, desarrollo económico, empleo y comercio</v>
      </c>
      <c r="U186" s="35" t="str">
        <f>MID(Tabla1[[#This Row],[Aplicación]],9,4)</f>
        <v>4331</v>
      </c>
      <c r="V186" s="35" t="str">
        <f>VLOOKUP(Tabla1[[#This Row],[PROGRAMA]],Hoja1!A:B,2,FALSE)</f>
        <v>4331. Desarrollo empresarial</v>
      </c>
      <c r="W186" s="35" t="str">
        <f>MID(Tabla1[[#This Row],[Aplicación]],14,2)</f>
        <v>60</v>
      </c>
      <c r="X186" s="35" t="str">
        <f>MID(Tabla1[[#This Row],[Aplicación]],14,6)</f>
        <v>609</v>
      </c>
    </row>
    <row r="187" spans="1:24" x14ac:dyDescent="0.25">
      <c r="A187" s="49">
        <v>220219000978</v>
      </c>
      <c r="B187" s="50" t="s">
        <v>9</v>
      </c>
      <c r="C187" s="57">
        <v>44562</v>
      </c>
      <c r="D187" s="49">
        <v>22022002159</v>
      </c>
      <c r="E187" s="50" t="s">
        <v>1603</v>
      </c>
      <c r="F187" s="58">
        <v>272250</v>
      </c>
      <c r="G187" s="50" t="s">
        <v>1604</v>
      </c>
      <c r="H187" s="50" t="s">
        <v>1605</v>
      </c>
      <c r="I187" s="49" t="s">
        <v>107</v>
      </c>
      <c r="J187" s="50" t="s">
        <v>1175</v>
      </c>
      <c r="K187" s="50" t="s">
        <v>1175</v>
      </c>
      <c r="L187" s="50" t="s">
        <v>12</v>
      </c>
      <c r="M187" s="50" t="s">
        <v>13</v>
      </c>
      <c r="N187" s="50" t="s">
        <v>16</v>
      </c>
      <c r="O187" s="48" t="s">
        <v>620</v>
      </c>
      <c r="P187" s="45" t="s">
        <v>453</v>
      </c>
      <c r="Q187" s="35" t="str">
        <f>MID(Tabla1[[#This Row],[Aplicación]],14,1)</f>
        <v>2</v>
      </c>
      <c r="R187" s="35" t="s">
        <v>441</v>
      </c>
      <c r="S187" s="35" t="str">
        <f>MID(Tabla1[[#This Row],[Aplicación]],6,2)</f>
        <v>06</v>
      </c>
      <c r="T187" s="35" t="str">
        <f>VLOOKUP(Tabla1[[#This Row],[AREA]],Hoja1!A:B,2,FALSE)</f>
        <v>06. Educación, infancia, juventud e igualdad</v>
      </c>
      <c r="U187" s="35" t="str">
        <f>MID(Tabla1[[#This Row],[Aplicación]],9,4)</f>
        <v>3321</v>
      </c>
      <c r="V187" s="35" t="str">
        <f>VLOOKUP(Tabla1[[#This Row],[PROGRAMA]],Hoja1!A:B,2,FALSE)</f>
        <v>3321. Bibliotecas públicas</v>
      </c>
      <c r="W187" s="35" t="str">
        <f>MID(Tabla1[[#This Row],[Aplicación]],14,2)</f>
        <v>22</v>
      </c>
      <c r="X187" s="35" t="str">
        <f>MID(Tabla1[[#This Row],[Aplicación]],14,6)</f>
        <v>22799</v>
      </c>
    </row>
    <row r="188" spans="1:24" x14ac:dyDescent="0.25">
      <c r="A188" s="49">
        <v>220220005214</v>
      </c>
      <c r="B188" s="50" t="s">
        <v>9</v>
      </c>
      <c r="C188" s="57">
        <v>44614</v>
      </c>
      <c r="D188" s="49">
        <v>22022002266</v>
      </c>
      <c r="E188" s="50" t="s">
        <v>1606</v>
      </c>
      <c r="F188" s="58">
        <v>1427.8</v>
      </c>
      <c r="G188" s="50" t="s">
        <v>1303</v>
      </c>
      <c r="H188" s="50" t="s">
        <v>1607</v>
      </c>
      <c r="I188" s="49" t="s">
        <v>107</v>
      </c>
      <c r="J188" s="50" t="s">
        <v>667</v>
      </c>
      <c r="K188" s="50" t="s">
        <v>486</v>
      </c>
      <c r="L188" s="50" t="s">
        <v>15</v>
      </c>
      <c r="M188" s="50" t="s">
        <v>10</v>
      </c>
      <c r="N188" s="50" t="s">
        <v>11</v>
      </c>
      <c r="O188" s="48" t="s">
        <v>632</v>
      </c>
      <c r="P188" s="45" t="s">
        <v>453</v>
      </c>
      <c r="Q188" s="35" t="str">
        <f>MID(Tabla1[[#This Row],[Aplicación]],14,1)</f>
        <v>2</v>
      </c>
      <c r="R188" s="35" t="s">
        <v>441</v>
      </c>
      <c r="S188" s="35" t="str">
        <f>MID(Tabla1[[#This Row],[Aplicación]],6,2)</f>
        <v>11</v>
      </c>
      <c r="T188" s="35" t="str">
        <f>VLOOKUP(Tabla1[[#This Row],[AREA]],Hoja1!A:B,2,FALSE)</f>
        <v>11. Salud pública y seguridad ciudadana</v>
      </c>
      <c r="U188" s="35" t="str">
        <f>MID(Tabla1[[#This Row],[Aplicación]],9,4)</f>
        <v>1361</v>
      </c>
      <c r="V188" s="35" t="str">
        <f>VLOOKUP(Tabla1[[#This Row],[PROGRAMA]],Hoja1!A:B,2,FALSE)</f>
        <v>1361. Prevención y extinción de incencios</v>
      </c>
      <c r="W188" s="35" t="str">
        <f>MID(Tabla1[[#This Row],[Aplicación]],14,2)</f>
        <v>22</v>
      </c>
      <c r="X188" s="35" t="str">
        <f>MID(Tabla1[[#This Row],[Aplicación]],14,6)</f>
        <v>22199</v>
      </c>
    </row>
    <row r="189" spans="1:24" x14ac:dyDescent="0.25">
      <c r="A189" s="49">
        <v>220220006359</v>
      </c>
      <c r="B189" s="50" t="s">
        <v>172</v>
      </c>
      <c r="C189" s="57">
        <v>44617</v>
      </c>
      <c r="D189" s="49">
        <v>22022001453</v>
      </c>
      <c r="E189" s="50" t="s">
        <v>1608</v>
      </c>
      <c r="F189" s="58">
        <v>840.42</v>
      </c>
      <c r="G189" s="50" t="s">
        <v>650</v>
      </c>
      <c r="H189" s="50" t="s">
        <v>1609</v>
      </c>
      <c r="I189" s="49" t="s">
        <v>173</v>
      </c>
      <c r="J189" s="50" t="s">
        <v>109</v>
      </c>
      <c r="K189" s="50" t="s">
        <v>109</v>
      </c>
      <c r="L189" s="50" t="s">
        <v>12</v>
      </c>
      <c r="M189" s="50" t="s">
        <v>13</v>
      </c>
      <c r="N189" s="50" t="s">
        <v>14</v>
      </c>
      <c r="O189" s="48" t="s">
        <v>631</v>
      </c>
      <c r="P189" s="45" t="s">
        <v>453</v>
      </c>
      <c r="Q189" s="35" t="str">
        <f>MID(Tabla1[[#This Row],[Aplicación]],14,1)</f>
        <v>2</v>
      </c>
      <c r="R189" s="35" t="s">
        <v>441</v>
      </c>
      <c r="S189" s="35" t="str">
        <f>MID(Tabla1[[#This Row],[Aplicación]],6,2)</f>
        <v>11</v>
      </c>
      <c r="T189" s="35" t="str">
        <f>VLOOKUP(Tabla1[[#This Row],[AREA]],Hoja1!A:B,2,FALSE)</f>
        <v>11. Salud pública y seguridad ciudadana</v>
      </c>
      <c r="U189" s="35" t="str">
        <f>MID(Tabla1[[#This Row],[Aplicación]],9,4)</f>
        <v>1321</v>
      </c>
      <c r="V189" s="35" t="str">
        <f>VLOOKUP(Tabla1[[#This Row],[PROGRAMA]],Hoja1!A:B,2,FALSE)</f>
        <v>1321. Policía municipal</v>
      </c>
      <c r="W189" s="35" t="str">
        <f>MID(Tabla1[[#This Row],[Aplicación]],14,2)</f>
        <v>21</v>
      </c>
      <c r="X189" s="35" t="str">
        <f>MID(Tabla1[[#This Row],[Aplicación]],14,6)</f>
        <v>214</v>
      </c>
    </row>
    <row r="190" spans="1:24" x14ac:dyDescent="0.25">
      <c r="A190" s="49">
        <v>220220006361</v>
      </c>
      <c r="B190" s="50" t="s">
        <v>172</v>
      </c>
      <c r="C190" s="57">
        <v>44617</v>
      </c>
      <c r="D190" s="49">
        <v>22022001453</v>
      </c>
      <c r="E190" s="50" t="s">
        <v>1608</v>
      </c>
      <c r="F190" s="58">
        <v>410.8</v>
      </c>
      <c r="G190" s="50" t="s">
        <v>650</v>
      </c>
      <c r="H190" s="50" t="s">
        <v>1610</v>
      </c>
      <c r="I190" s="49" t="s">
        <v>173</v>
      </c>
      <c r="J190" s="50" t="s">
        <v>109</v>
      </c>
      <c r="K190" s="50" t="s">
        <v>109</v>
      </c>
      <c r="L190" s="50" t="s">
        <v>12</v>
      </c>
      <c r="M190" s="50" t="s">
        <v>13</v>
      </c>
      <c r="N190" s="50" t="s">
        <v>14</v>
      </c>
      <c r="O190" s="48" t="s">
        <v>631</v>
      </c>
      <c r="P190" s="45" t="s">
        <v>453</v>
      </c>
      <c r="Q190" s="35" t="str">
        <f>MID(Tabla1[[#This Row],[Aplicación]],14,1)</f>
        <v>2</v>
      </c>
      <c r="R190" s="35" t="s">
        <v>441</v>
      </c>
      <c r="S190" s="35" t="str">
        <f>MID(Tabla1[[#This Row],[Aplicación]],6,2)</f>
        <v>11</v>
      </c>
      <c r="T190" s="35" t="str">
        <f>VLOOKUP(Tabla1[[#This Row],[AREA]],Hoja1!A:B,2,FALSE)</f>
        <v>11. Salud pública y seguridad ciudadana</v>
      </c>
      <c r="U190" s="35" t="str">
        <f>MID(Tabla1[[#This Row],[Aplicación]],9,4)</f>
        <v>1321</v>
      </c>
      <c r="V190" s="35" t="str">
        <f>VLOOKUP(Tabla1[[#This Row],[PROGRAMA]],Hoja1!A:B,2,FALSE)</f>
        <v>1321. Policía municipal</v>
      </c>
      <c r="W190" s="35" t="str">
        <f>MID(Tabla1[[#This Row],[Aplicación]],14,2)</f>
        <v>21</v>
      </c>
      <c r="X190" s="35" t="str">
        <f>MID(Tabla1[[#This Row],[Aplicación]],14,6)</f>
        <v>214</v>
      </c>
    </row>
    <row r="191" spans="1:24" x14ac:dyDescent="0.25">
      <c r="A191" s="49">
        <v>220209000462</v>
      </c>
      <c r="B191" s="50" t="s">
        <v>9</v>
      </c>
      <c r="C191" s="57">
        <v>44562</v>
      </c>
      <c r="D191" s="49">
        <v>22022000194</v>
      </c>
      <c r="E191" s="50" t="s">
        <v>1429</v>
      </c>
      <c r="F191" s="58">
        <v>268640</v>
      </c>
      <c r="G191" s="50" t="s">
        <v>123</v>
      </c>
      <c r="H191" s="50" t="s">
        <v>707</v>
      </c>
      <c r="I191" s="49" t="s">
        <v>107</v>
      </c>
      <c r="J191" s="50" t="s">
        <v>109</v>
      </c>
      <c r="K191" s="50" t="s">
        <v>109</v>
      </c>
      <c r="L191" s="50" t="s">
        <v>12</v>
      </c>
      <c r="M191" s="50" t="s">
        <v>13</v>
      </c>
      <c r="N191" s="50" t="s">
        <v>14</v>
      </c>
      <c r="O191" s="48" t="s">
        <v>620</v>
      </c>
      <c r="P191" s="45" t="s">
        <v>453</v>
      </c>
      <c r="Q191" s="35" t="str">
        <f>MID(Tabla1[[#This Row],[Aplicación]],14,1)</f>
        <v>2</v>
      </c>
      <c r="R191" s="35" t="s">
        <v>441</v>
      </c>
      <c r="S191" s="35" t="str">
        <f>MID(Tabla1[[#This Row],[Aplicación]],6,2)</f>
        <v>06</v>
      </c>
      <c r="T191" s="35" t="str">
        <f>VLOOKUP(Tabla1[[#This Row],[AREA]],Hoja1!A:B,2,FALSE)</f>
        <v>06. Educación, infancia, juventud e igualdad</v>
      </c>
      <c r="U191" s="35" t="str">
        <f>MID(Tabla1[[#This Row],[Aplicación]],9,4)</f>
        <v>3231</v>
      </c>
      <c r="V191" s="35" t="str">
        <f>VLOOKUP(Tabla1[[#This Row],[PROGRAMA]],Hoja1!A:B,2,FALSE)</f>
        <v>3231. Escuelas infantiles</v>
      </c>
      <c r="W191" s="35" t="str">
        <f>MID(Tabla1[[#This Row],[Aplicación]],14,2)</f>
        <v>22</v>
      </c>
      <c r="X191" s="35" t="str">
        <f>MID(Tabla1[[#This Row],[Aplicación]],14,6)</f>
        <v>22799</v>
      </c>
    </row>
    <row r="192" spans="1:24" x14ac:dyDescent="0.25">
      <c r="A192" s="49">
        <v>220220003454</v>
      </c>
      <c r="B192" s="50" t="s">
        <v>9</v>
      </c>
      <c r="C192" s="57">
        <v>44603</v>
      </c>
      <c r="D192" s="49">
        <v>22022000852</v>
      </c>
      <c r="E192" s="50" t="s">
        <v>1611</v>
      </c>
      <c r="F192" s="58">
        <v>9275.67</v>
      </c>
      <c r="G192" s="50" t="s">
        <v>54</v>
      </c>
      <c r="H192" s="50" t="s">
        <v>1612</v>
      </c>
      <c r="I192" s="49" t="s">
        <v>107</v>
      </c>
      <c r="J192" s="50" t="s">
        <v>151</v>
      </c>
      <c r="K192" s="50" t="s">
        <v>151</v>
      </c>
      <c r="L192" s="50" t="s">
        <v>12</v>
      </c>
      <c r="M192" s="50" t="s">
        <v>10</v>
      </c>
      <c r="N192" s="50" t="s">
        <v>11</v>
      </c>
      <c r="O192" s="48" t="s">
        <v>632</v>
      </c>
      <c r="P192" s="45" t="s">
        <v>453</v>
      </c>
      <c r="Q192" s="35" t="str">
        <f>MID(Tabla1[[#This Row],[Aplicación]],14,1)</f>
        <v>2</v>
      </c>
      <c r="R192" s="35" t="s">
        <v>441</v>
      </c>
      <c r="S192" s="35" t="str">
        <f>MID(Tabla1[[#This Row],[Aplicación]],6,2)</f>
        <v>01</v>
      </c>
      <c r="T192" s="35" t="str">
        <f>VLOOKUP(Tabla1[[#This Row],[AREA]],Hoja1!A:B,2,FALSE)</f>
        <v>01. Alcaldía</v>
      </c>
      <c r="U192" s="35" t="str">
        <f>MID(Tabla1[[#This Row],[Aplicación]],9,4)</f>
        <v>9207</v>
      </c>
      <c r="V192" s="35" t="str">
        <f>VLOOKUP(Tabla1[[#This Row],[PROGRAMA]],Hoja1!A:B,2,FALSE)</f>
        <v>9207. Gobierno y relaciones</v>
      </c>
      <c r="W192" s="35" t="str">
        <f>MID(Tabla1[[#This Row],[Aplicación]],14,2)</f>
        <v>22</v>
      </c>
      <c r="X192" s="35" t="str">
        <f>MID(Tabla1[[#This Row],[Aplicación]],14,6)</f>
        <v>22001</v>
      </c>
    </row>
    <row r="193" spans="1:24" x14ac:dyDescent="0.25">
      <c r="A193" s="49">
        <v>220220002188</v>
      </c>
      <c r="B193" s="50" t="s">
        <v>9</v>
      </c>
      <c r="C193" s="57">
        <v>44592</v>
      </c>
      <c r="D193" s="49">
        <v>22022000851</v>
      </c>
      <c r="E193" s="50" t="s">
        <v>1611</v>
      </c>
      <c r="F193" s="58">
        <v>10950.84</v>
      </c>
      <c r="G193" s="50" t="s">
        <v>53</v>
      </c>
      <c r="H193" s="50" t="s">
        <v>1613</v>
      </c>
      <c r="I193" s="49" t="s">
        <v>107</v>
      </c>
      <c r="J193" s="50" t="s">
        <v>108</v>
      </c>
      <c r="K193" s="50" t="s">
        <v>108</v>
      </c>
      <c r="L193" s="50" t="s">
        <v>12</v>
      </c>
      <c r="M193" s="50" t="s">
        <v>10</v>
      </c>
      <c r="N193" s="50" t="s">
        <v>11</v>
      </c>
      <c r="O193" s="48" t="s">
        <v>632</v>
      </c>
      <c r="P193" s="45" t="s">
        <v>453</v>
      </c>
      <c r="Q193" s="35" t="str">
        <f>MID(Tabla1[[#This Row],[Aplicación]],14,1)</f>
        <v>2</v>
      </c>
      <c r="R193" s="35" t="s">
        <v>441</v>
      </c>
      <c r="S193" s="35" t="str">
        <f>MID(Tabla1[[#This Row],[Aplicación]],6,2)</f>
        <v>01</v>
      </c>
      <c r="T193" s="35" t="str">
        <f>VLOOKUP(Tabla1[[#This Row],[AREA]],Hoja1!A:B,2,FALSE)</f>
        <v>01. Alcaldía</v>
      </c>
      <c r="U193" s="35" t="str">
        <f>MID(Tabla1[[#This Row],[Aplicación]],9,4)</f>
        <v>9207</v>
      </c>
      <c r="V193" s="35" t="str">
        <f>VLOOKUP(Tabla1[[#This Row],[PROGRAMA]],Hoja1!A:B,2,FALSE)</f>
        <v>9207. Gobierno y relaciones</v>
      </c>
      <c r="W193" s="35" t="str">
        <f>MID(Tabla1[[#This Row],[Aplicación]],14,2)</f>
        <v>22</v>
      </c>
      <c r="X193" s="35" t="str">
        <f>MID(Tabla1[[#This Row],[Aplicación]],14,6)</f>
        <v>22001</v>
      </c>
    </row>
    <row r="194" spans="1:24" x14ac:dyDescent="0.25">
      <c r="A194" s="49">
        <v>220220005804</v>
      </c>
      <c r="B194" s="50" t="s">
        <v>9</v>
      </c>
      <c r="C194" s="57">
        <v>44615</v>
      </c>
      <c r="D194" s="49">
        <v>22022002395</v>
      </c>
      <c r="E194" s="50" t="s">
        <v>1614</v>
      </c>
      <c r="F194" s="58">
        <v>2000</v>
      </c>
      <c r="G194" s="50" t="s">
        <v>639</v>
      </c>
      <c r="H194" s="50" t="s">
        <v>1615</v>
      </c>
      <c r="I194" s="49" t="s">
        <v>107</v>
      </c>
      <c r="J194" s="50" t="s">
        <v>543</v>
      </c>
      <c r="K194" s="50" t="s">
        <v>108</v>
      </c>
      <c r="L194" s="50" t="s">
        <v>15</v>
      </c>
      <c r="M194" s="50" t="s">
        <v>10</v>
      </c>
      <c r="N194" s="50" t="s">
        <v>11</v>
      </c>
      <c r="O194" s="48" t="s">
        <v>632</v>
      </c>
      <c r="P194" s="45" t="s">
        <v>453</v>
      </c>
      <c r="Q194" s="35" t="str">
        <f>MID(Tabla1[[#This Row],[Aplicación]],14,1)</f>
        <v>2</v>
      </c>
      <c r="R194" s="35" t="s">
        <v>441</v>
      </c>
      <c r="S194" s="35" t="str">
        <f>MID(Tabla1[[#This Row],[Aplicación]],6,2)</f>
        <v>07</v>
      </c>
      <c r="T194" s="35" t="str">
        <f>VLOOKUP(Tabla1[[#This Row],[AREA]],Hoja1!A:B,2,FALSE)</f>
        <v>07. Medio ambiente y desarrollo sostenible</v>
      </c>
      <c r="U194" s="35" t="str">
        <f>MID(Tabla1[[#This Row],[Aplicación]],9,4)</f>
        <v>1721</v>
      </c>
      <c r="V194" s="35" t="str">
        <f>VLOOKUP(Tabla1[[#This Row],[PROGRAMA]],Hoja1!A:B,2,FALSE)</f>
        <v>1721. Protección del medio ambiente</v>
      </c>
      <c r="W194" s="35" t="str">
        <f>MID(Tabla1[[#This Row],[Aplicación]],14,2)</f>
        <v>22</v>
      </c>
      <c r="X194" s="35" t="str">
        <f>MID(Tabla1[[#This Row],[Aplicación]],14,6)</f>
        <v>22199</v>
      </c>
    </row>
    <row r="195" spans="1:24" x14ac:dyDescent="0.25">
      <c r="A195" s="49">
        <v>220219000333</v>
      </c>
      <c r="B195" s="50" t="s">
        <v>9</v>
      </c>
      <c r="C195" s="57">
        <v>44562</v>
      </c>
      <c r="D195" s="49">
        <v>22022001977</v>
      </c>
      <c r="E195" s="50" t="s">
        <v>1616</v>
      </c>
      <c r="F195" s="58">
        <v>266200</v>
      </c>
      <c r="G195" s="50" t="s">
        <v>973</v>
      </c>
      <c r="H195" s="50" t="s">
        <v>1617</v>
      </c>
      <c r="I195" s="49" t="s">
        <v>107</v>
      </c>
      <c r="J195" s="50" t="s">
        <v>108</v>
      </c>
      <c r="K195" s="50" t="s">
        <v>108</v>
      </c>
      <c r="L195" s="50" t="s">
        <v>15</v>
      </c>
      <c r="M195" s="50" t="s">
        <v>13</v>
      </c>
      <c r="N195" s="50" t="s">
        <v>14</v>
      </c>
      <c r="O195" s="48" t="s">
        <v>620</v>
      </c>
      <c r="P195" s="45" t="s">
        <v>453</v>
      </c>
      <c r="Q195" s="35" t="str">
        <f>MID(Tabla1[[#This Row],[Aplicación]],14,1)</f>
        <v>6</v>
      </c>
      <c r="R195" s="35" t="s">
        <v>442</v>
      </c>
      <c r="S195" s="35" t="str">
        <f>MID(Tabla1[[#This Row],[Aplicación]],6,2)</f>
        <v>04</v>
      </c>
      <c r="T195" s="35" t="str">
        <f>VLOOKUP(Tabla1[[#This Row],[AREA]],Hoja1!A:B,2,FALSE)</f>
        <v>04. Planificación y recursos</v>
      </c>
      <c r="U195" s="35" t="str">
        <f>MID(Tabla1[[#This Row],[Aplicación]],9,4)</f>
        <v>9204</v>
      </c>
      <c r="V195" s="35" t="str">
        <f>VLOOKUP(Tabla1[[#This Row],[PROGRAMA]],Hoja1!A:B,2,FALSE)</f>
        <v>9204. Tecnologías de la información y comunicación</v>
      </c>
      <c r="W195" s="35" t="str">
        <f>MID(Tabla1[[#This Row],[Aplicación]],14,2)</f>
        <v>62</v>
      </c>
      <c r="X195" s="35" t="str">
        <f>MID(Tabla1[[#This Row],[Aplicación]],14,6)</f>
        <v>626</v>
      </c>
    </row>
    <row r="196" spans="1:24" x14ac:dyDescent="0.25">
      <c r="A196" s="49">
        <v>220220002307</v>
      </c>
      <c r="B196" s="50" t="s">
        <v>9</v>
      </c>
      <c r="C196" s="57">
        <v>44594</v>
      </c>
      <c r="D196" s="49">
        <v>22022001791</v>
      </c>
      <c r="E196" s="50" t="s">
        <v>1579</v>
      </c>
      <c r="F196" s="58">
        <v>262.89999999999998</v>
      </c>
      <c r="G196" s="50" t="s">
        <v>641</v>
      </c>
      <c r="H196" s="50" t="s">
        <v>1618</v>
      </c>
      <c r="I196" s="49" t="s">
        <v>107</v>
      </c>
      <c r="J196" s="50" t="s">
        <v>513</v>
      </c>
      <c r="K196" s="50" t="s">
        <v>108</v>
      </c>
      <c r="L196" s="50" t="s">
        <v>15</v>
      </c>
      <c r="M196" s="50" t="s">
        <v>10</v>
      </c>
      <c r="N196" s="50" t="s">
        <v>11</v>
      </c>
      <c r="O196" s="48" t="s">
        <v>632</v>
      </c>
      <c r="P196" s="45" t="s">
        <v>453</v>
      </c>
      <c r="Q196" s="35" t="str">
        <f>MID(Tabla1[[#This Row],[Aplicación]],14,1)</f>
        <v>2</v>
      </c>
      <c r="R196" s="35" t="s">
        <v>441</v>
      </c>
      <c r="S196" s="35" t="str">
        <f>MID(Tabla1[[#This Row],[Aplicación]],6,2)</f>
        <v>10</v>
      </c>
      <c r="T196" s="35" t="str">
        <f>VLOOKUP(Tabla1[[#This Row],[AREA]],Hoja1!A:B,2,FALSE)</f>
        <v>10. Servicios sociales y mediación comunitaria</v>
      </c>
      <c r="U196" s="35" t="str">
        <f>MID(Tabla1[[#This Row],[Aplicación]],9,4)</f>
        <v>2412</v>
      </c>
      <c r="V196" s="35" t="str">
        <f>VLOOKUP(Tabla1[[#This Row],[PROGRAMA]],Hoja1!A:B,2,FALSE)</f>
        <v>2412. Formación para el empleo</v>
      </c>
      <c r="W196" s="35" t="str">
        <f>MID(Tabla1[[#This Row],[Aplicación]],14,2)</f>
        <v>22</v>
      </c>
      <c r="X196" s="35" t="str">
        <f>MID(Tabla1[[#This Row],[Aplicación]],14,6)</f>
        <v>22199</v>
      </c>
    </row>
    <row r="197" spans="1:24" x14ac:dyDescent="0.25">
      <c r="A197" s="49">
        <v>220220008287</v>
      </c>
      <c r="B197" s="50" t="s">
        <v>9</v>
      </c>
      <c r="C197" s="57">
        <v>44630</v>
      </c>
      <c r="D197" s="49">
        <v>22022002729</v>
      </c>
      <c r="E197" s="50" t="s">
        <v>1619</v>
      </c>
      <c r="F197" s="58">
        <v>1225</v>
      </c>
      <c r="G197" s="50" t="s">
        <v>478</v>
      </c>
      <c r="H197" s="50" t="s">
        <v>1620</v>
      </c>
      <c r="I197" s="49" t="s">
        <v>107</v>
      </c>
      <c r="J197" s="50" t="s">
        <v>568</v>
      </c>
      <c r="K197" s="50" t="s">
        <v>108</v>
      </c>
      <c r="L197" s="50" t="s">
        <v>15</v>
      </c>
      <c r="M197" s="50" t="s">
        <v>10</v>
      </c>
      <c r="N197" s="50" t="s">
        <v>11</v>
      </c>
      <c r="O197" s="48" t="s">
        <v>632</v>
      </c>
      <c r="P197" s="45" t="s">
        <v>453</v>
      </c>
      <c r="Q197" s="35" t="str">
        <f>MID(Tabla1[[#This Row],[Aplicación]],14,1)</f>
        <v>2</v>
      </c>
      <c r="R197" s="35" t="s">
        <v>441</v>
      </c>
      <c r="S197" s="35" t="str">
        <f>MID(Tabla1[[#This Row],[Aplicación]],6,2)</f>
        <v>11</v>
      </c>
      <c r="T197" s="35" t="str">
        <f>VLOOKUP(Tabla1[[#This Row],[AREA]],Hoja1!A:B,2,FALSE)</f>
        <v>11. Salud pública y seguridad ciudadana</v>
      </c>
      <c r="U197" s="35" t="str">
        <f>MID(Tabla1[[#This Row],[Aplicación]],9,4)</f>
        <v>1631</v>
      </c>
      <c r="V197" s="35" t="str">
        <f>VLOOKUP(Tabla1[[#This Row],[PROGRAMA]],Hoja1!A:B,2,FALSE)</f>
        <v>1631. Limpieza viaria</v>
      </c>
      <c r="W197" s="35" t="str">
        <f>MID(Tabla1[[#This Row],[Aplicación]],14,2)</f>
        <v>22</v>
      </c>
      <c r="X197" s="35" t="str">
        <f>MID(Tabla1[[#This Row],[Aplicación]],14,6)</f>
        <v>22110</v>
      </c>
    </row>
    <row r="198" spans="1:24" x14ac:dyDescent="0.25">
      <c r="A198" s="49">
        <v>220220012769</v>
      </c>
      <c r="B198" s="50" t="s">
        <v>9</v>
      </c>
      <c r="C198" s="57">
        <v>44644</v>
      </c>
      <c r="D198" s="49">
        <v>22022002918</v>
      </c>
      <c r="E198" s="50" t="s">
        <v>1456</v>
      </c>
      <c r="F198" s="58">
        <v>520</v>
      </c>
      <c r="G198" s="50" t="s">
        <v>82</v>
      </c>
      <c r="H198" s="50" t="s">
        <v>1621</v>
      </c>
      <c r="I198" s="49" t="s">
        <v>107</v>
      </c>
      <c r="J198" s="50" t="s">
        <v>108</v>
      </c>
      <c r="K198" s="50" t="s">
        <v>108</v>
      </c>
      <c r="L198" s="50" t="s">
        <v>12</v>
      </c>
      <c r="M198" s="50" t="s">
        <v>10</v>
      </c>
      <c r="N198" s="50" t="s">
        <v>11</v>
      </c>
      <c r="O198" s="48" t="s">
        <v>632</v>
      </c>
      <c r="P198" s="45" t="s">
        <v>453</v>
      </c>
      <c r="Q198" s="35" t="str">
        <f>MID(Tabla1[[#This Row],[Aplicación]],14,1)</f>
        <v>2</v>
      </c>
      <c r="R198" s="35" t="s">
        <v>441</v>
      </c>
      <c r="S198" s="35" t="str">
        <f>MID(Tabla1[[#This Row],[Aplicación]],6,2)</f>
        <v>05</v>
      </c>
      <c r="T198" s="35" t="str">
        <f>VLOOKUP(Tabla1[[#This Row],[AREA]],Hoja1!A:B,2,FALSE)</f>
        <v>05. Innovación, desarrollo económico, empleo y comercio</v>
      </c>
      <c r="U198" s="35" t="str">
        <f>MID(Tabla1[[#This Row],[Aplicación]],9,4)</f>
        <v>4331</v>
      </c>
      <c r="V198" s="35" t="str">
        <f>VLOOKUP(Tabla1[[#This Row],[PROGRAMA]],Hoja1!A:B,2,FALSE)</f>
        <v>4331. Desarrollo empresarial</v>
      </c>
      <c r="W198" s="35" t="str">
        <f>MID(Tabla1[[#This Row],[Aplicación]],14,2)</f>
        <v>20</v>
      </c>
      <c r="X198" s="35" t="str">
        <f>MID(Tabla1[[#This Row],[Aplicación]],14,6)</f>
        <v>203</v>
      </c>
    </row>
    <row r="199" spans="1:24" x14ac:dyDescent="0.25">
      <c r="A199" s="49">
        <v>220220002517</v>
      </c>
      <c r="B199" s="50" t="s">
        <v>26</v>
      </c>
      <c r="C199" s="57">
        <v>44594</v>
      </c>
      <c r="D199" s="49">
        <v>22022001837</v>
      </c>
      <c r="E199" s="50" t="s">
        <v>1456</v>
      </c>
      <c r="F199" s="58">
        <v>39.81</v>
      </c>
      <c r="G199" s="50" t="s">
        <v>82</v>
      </c>
      <c r="H199" s="50" t="s">
        <v>1622</v>
      </c>
      <c r="I199" s="49" t="s">
        <v>197</v>
      </c>
      <c r="J199" s="50" t="s">
        <v>108</v>
      </c>
      <c r="K199" s="50" t="s">
        <v>108</v>
      </c>
      <c r="L199" s="50" t="s">
        <v>12</v>
      </c>
      <c r="M199" s="50" t="s">
        <v>10</v>
      </c>
      <c r="N199" s="50" t="s">
        <v>11</v>
      </c>
      <c r="O199" s="48" t="s">
        <v>632</v>
      </c>
      <c r="P199" s="45" t="s">
        <v>453</v>
      </c>
      <c r="Q199" s="35" t="str">
        <f>MID(Tabla1[[#This Row],[Aplicación]],14,1)</f>
        <v>2</v>
      </c>
      <c r="R199" s="35" t="s">
        <v>441</v>
      </c>
      <c r="S199" s="35" t="str">
        <f>MID(Tabla1[[#This Row],[Aplicación]],6,2)</f>
        <v>05</v>
      </c>
      <c r="T199" s="35" t="str">
        <f>VLOOKUP(Tabla1[[#This Row],[AREA]],Hoja1!A:B,2,FALSE)</f>
        <v>05. Innovación, desarrollo económico, empleo y comercio</v>
      </c>
      <c r="U199" s="35" t="str">
        <f>MID(Tabla1[[#This Row],[Aplicación]],9,4)</f>
        <v>4331</v>
      </c>
      <c r="V199" s="35" t="str">
        <f>VLOOKUP(Tabla1[[#This Row],[PROGRAMA]],Hoja1!A:B,2,FALSE)</f>
        <v>4331. Desarrollo empresarial</v>
      </c>
      <c r="W199" s="35" t="str">
        <f>MID(Tabla1[[#This Row],[Aplicación]],14,2)</f>
        <v>20</v>
      </c>
      <c r="X199" s="35" t="str">
        <f>MID(Tabla1[[#This Row],[Aplicación]],14,6)</f>
        <v>203</v>
      </c>
    </row>
    <row r="200" spans="1:24" x14ac:dyDescent="0.25">
      <c r="A200" s="49">
        <v>220220006818</v>
      </c>
      <c r="B200" s="50" t="s">
        <v>26</v>
      </c>
      <c r="C200" s="57">
        <v>44622</v>
      </c>
      <c r="D200" s="49">
        <v>22022002510</v>
      </c>
      <c r="E200" s="50" t="s">
        <v>1456</v>
      </c>
      <c r="F200" s="58">
        <v>39.81</v>
      </c>
      <c r="G200" s="50" t="s">
        <v>82</v>
      </c>
      <c r="H200" s="50" t="s">
        <v>1624</v>
      </c>
      <c r="I200" s="49" t="s">
        <v>197</v>
      </c>
      <c r="J200" s="50" t="s">
        <v>108</v>
      </c>
      <c r="K200" s="50" t="s">
        <v>108</v>
      </c>
      <c r="L200" s="50" t="s">
        <v>12</v>
      </c>
      <c r="M200" s="50" t="s">
        <v>10</v>
      </c>
      <c r="N200" s="50" t="s">
        <v>11</v>
      </c>
      <c r="O200" s="48" t="s">
        <v>632</v>
      </c>
      <c r="P200" s="45" t="s">
        <v>453</v>
      </c>
      <c r="Q200" s="35" t="str">
        <f>MID(Tabla1[[#This Row],[Aplicación]],14,1)</f>
        <v>2</v>
      </c>
      <c r="R200" s="35" t="s">
        <v>441</v>
      </c>
      <c r="S200" s="35" t="str">
        <f>MID(Tabla1[[#This Row],[Aplicación]],6,2)</f>
        <v>05</v>
      </c>
      <c r="T200" s="35" t="str">
        <f>VLOOKUP(Tabla1[[#This Row],[AREA]],Hoja1!A:B,2,FALSE)</f>
        <v>05. Innovación, desarrollo económico, empleo y comercio</v>
      </c>
      <c r="U200" s="35" t="str">
        <f>MID(Tabla1[[#This Row],[Aplicación]],9,4)</f>
        <v>4331</v>
      </c>
      <c r="V200" s="35" t="str">
        <f>VLOOKUP(Tabla1[[#This Row],[PROGRAMA]],Hoja1!A:B,2,FALSE)</f>
        <v>4331. Desarrollo empresarial</v>
      </c>
      <c r="W200" s="35" t="str">
        <f>MID(Tabla1[[#This Row],[Aplicación]],14,2)</f>
        <v>20</v>
      </c>
      <c r="X200" s="35" t="str">
        <f>MID(Tabla1[[#This Row],[Aplicación]],14,6)</f>
        <v>203</v>
      </c>
    </row>
    <row r="201" spans="1:24" x14ac:dyDescent="0.25">
      <c r="A201" s="49">
        <v>220219000859</v>
      </c>
      <c r="B201" s="50" t="s">
        <v>9</v>
      </c>
      <c r="C201" s="57">
        <v>44562</v>
      </c>
      <c r="D201" s="49">
        <v>22022000098</v>
      </c>
      <c r="E201" s="50" t="s">
        <v>1625</v>
      </c>
      <c r="F201" s="58">
        <v>12464.47</v>
      </c>
      <c r="G201" s="50" t="s">
        <v>918</v>
      </c>
      <c r="H201" s="50" t="s">
        <v>1626</v>
      </c>
      <c r="I201" s="49" t="s">
        <v>107</v>
      </c>
      <c r="J201" s="50" t="s">
        <v>108</v>
      </c>
      <c r="K201" s="50" t="s">
        <v>108</v>
      </c>
      <c r="L201" s="55" t="s">
        <v>12</v>
      </c>
      <c r="M201" s="55" t="s">
        <v>13</v>
      </c>
      <c r="N201" s="55" t="s">
        <v>14</v>
      </c>
      <c r="O201" s="48" t="s">
        <v>631</v>
      </c>
      <c r="P201" s="45" t="s">
        <v>453</v>
      </c>
      <c r="Q201" s="35" t="str">
        <f>MID(Tabla1[[#This Row],[Aplicación]],14,1)</f>
        <v>1</v>
      </c>
      <c r="R201" s="35" t="s">
        <v>450</v>
      </c>
      <c r="S201" s="35" t="str">
        <f>MID(Tabla1[[#This Row],[Aplicación]],6,2)</f>
        <v>04</v>
      </c>
      <c r="T201" s="35" t="str">
        <f>VLOOKUP(Tabla1[[#This Row],[AREA]],Hoja1!A:B,2,FALSE)</f>
        <v>04. Planificación y recursos</v>
      </c>
      <c r="U201" s="35" t="str">
        <f>MID(Tabla1[[#This Row],[Aplicación]],9,4)</f>
        <v>9202</v>
      </c>
      <c r="V201" s="35" t="str">
        <f>VLOOKUP(Tabla1[[#This Row],[PROGRAMA]],Hoja1!A:B,2,FALSE)</f>
        <v>9202. Gestión de recursos humanos</v>
      </c>
      <c r="W201" s="35" t="str">
        <f>MID(Tabla1[[#This Row],[Aplicación]],14,2)</f>
        <v>16</v>
      </c>
      <c r="X201" s="35" t="str">
        <f>MID(Tabla1[[#This Row],[Aplicación]],14,6)</f>
        <v>16205</v>
      </c>
    </row>
    <row r="202" spans="1:24" x14ac:dyDescent="0.25">
      <c r="A202" s="49">
        <v>220220003279</v>
      </c>
      <c r="B202" s="50" t="s">
        <v>9</v>
      </c>
      <c r="C202" s="57">
        <v>44602</v>
      </c>
      <c r="D202" s="49">
        <v>22022001537</v>
      </c>
      <c r="E202" s="50" t="s">
        <v>1627</v>
      </c>
      <c r="F202" s="58">
        <v>2884.76</v>
      </c>
      <c r="G202" s="50" t="s">
        <v>1198</v>
      </c>
      <c r="H202" s="50" t="s">
        <v>1628</v>
      </c>
      <c r="I202" s="49" t="s">
        <v>107</v>
      </c>
      <c r="J202" s="50" t="s">
        <v>109</v>
      </c>
      <c r="K202" s="50" t="s">
        <v>109</v>
      </c>
      <c r="L202" s="50" t="s">
        <v>12</v>
      </c>
      <c r="M202" s="50" t="s">
        <v>10</v>
      </c>
      <c r="N202" s="50" t="s">
        <v>11</v>
      </c>
      <c r="O202" s="48" t="s">
        <v>632</v>
      </c>
      <c r="P202" s="45" t="s">
        <v>453</v>
      </c>
      <c r="Q202" s="35" t="str">
        <f>MID(Tabla1[[#This Row],[Aplicación]],14,1)</f>
        <v>2</v>
      </c>
      <c r="R202" s="35" t="s">
        <v>441</v>
      </c>
      <c r="S202" s="35" t="str">
        <f>MID(Tabla1[[#This Row],[Aplicación]],6,2)</f>
        <v>07</v>
      </c>
      <c r="T202" s="35" t="str">
        <f>VLOOKUP(Tabla1[[#This Row],[AREA]],Hoja1!A:B,2,FALSE)</f>
        <v>07. Medio ambiente y desarrollo sostenible</v>
      </c>
      <c r="U202" s="35" t="str">
        <f>MID(Tabla1[[#This Row],[Aplicación]],9,4)</f>
        <v>1721</v>
      </c>
      <c r="V202" s="35" t="str">
        <f>VLOOKUP(Tabla1[[#This Row],[PROGRAMA]],Hoja1!A:B,2,FALSE)</f>
        <v>1721. Protección del medio ambiente</v>
      </c>
      <c r="W202" s="35" t="str">
        <f>MID(Tabla1[[#This Row],[Aplicación]],14,2)</f>
        <v>22</v>
      </c>
      <c r="X202" s="35" t="str">
        <f>MID(Tabla1[[#This Row],[Aplicación]],14,6)</f>
        <v>22799</v>
      </c>
    </row>
    <row r="203" spans="1:24" x14ac:dyDescent="0.25">
      <c r="A203" s="49">
        <v>220220003844</v>
      </c>
      <c r="B203" s="50" t="s">
        <v>9</v>
      </c>
      <c r="C203" s="57">
        <v>44608</v>
      </c>
      <c r="D203" s="49">
        <v>22022002267</v>
      </c>
      <c r="E203" s="50" t="s">
        <v>1629</v>
      </c>
      <c r="F203" s="58">
        <v>726</v>
      </c>
      <c r="G203" s="50" t="s">
        <v>1199</v>
      </c>
      <c r="H203" s="50" t="s">
        <v>1630</v>
      </c>
      <c r="I203" s="49" t="s">
        <v>107</v>
      </c>
      <c r="J203" s="50" t="s">
        <v>1631</v>
      </c>
      <c r="K203" s="50" t="s">
        <v>109</v>
      </c>
      <c r="L203" s="50" t="s">
        <v>12</v>
      </c>
      <c r="M203" s="50" t="s">
        <v>10</v>
      </c>
      <c r="N203" s="50" t="s">
        <v>11</v>
      </c>
      <c r="O203" s="48" t="s">
        <v>632</v>
      </c>
      <c r="P203" s="45" t="s">
        <v>453</v>
      </c>
      <c r="Q203" s="35" t="str">
        <f>MID(Tabla1[[#This Row],[Aplicación]],14,1)</f>
        <v>2</v>
      </c>
      <c r="R203" s="35" t="s">
        <v>441</v>
      </c>
      <c r="S203" s="35" t="str">
        <f>MID(Tabla1[[#This Row],[Aplicación]],6,2)</f>
        <v>06</v>
      </c>
      <c r="T203" s="35" t="str">
        <f>VLOOKUP(Tabla1[[#This Row],[AREA]],Hoja1!A:B,2,FALSE)</f>
        <v>06. Educación, infancia, juventud e igualdad</v>
      </c>
      <c r="U203" s="35" t="str">
        <f>MID(Tabla1[[#This Row],[Aplicación]],9,4)</f>
        <v>2315</v>
      </c>
      <c r="V203" s="35" t="str">
        <f>VLOOKUP(Tabla1[[#This Row],[PROGRAMA]],Hoja1!A:B,2,FALSE)</f>
        <v>2315. Políticas de Igualdad e infancia</v>
      </c>
      <c r="W203" s="35" t="str">
        <f>MID(Tabla1[[#This Row],[Aplicación]],14,2)</f>
        <v>22</v>
      </c>
      <c r="X203" s="35" t="str">
        <f>MID(Tabla1[[#This Row],[Aplicación]],14,6)</f>
        <v>22611</v>
      </c>
    </row>
    <row r="204" spans="1:24" x14ac:dyDescent="0.25">
      <c r="A204" s="49">
        <v>220209000689</v>
      </c>
      <c r="B204" s="50" t="s">
        <v>9</v>
      </c>
      <c r="C204" s="57">
        <v>44562</v>
      </c>
      <c r="D204" s="49">
        <v>22022000243</v>
      </c>
      <c r="E204" s="50" t="s">
        <v>1632</v>
      </c>
      <c r="F204" s="58">
        <v>261021.69</v>
      </c>
      <c r="G204" s="50" t="s">
        <v>84</v>
      </c>
      <c r="H204" s="50" t="s">
        <v>734</v>
      </c>
      <c r="I204" s="49" t="s">
        <v>107</v>
      </c>
      <c r="J204" s="50" t="s">
        <v>109</v>
      </c>
      <c r="K204" s="50" t="s">
        <v>109</v>
      </c>
      <c r="L204" s="50" t="s">
        <v>12</v>
      </c>
      <c r="M204" s="50" t="s">
        <v>13</v>
      </c>
      <c r="N204" s="50" t="s">
        <v>14</v>
      </c>
      <c r="O204" s="48" t="s">
        <v>620</v>
      </c>
      <c r="P204" s="45" t="s">
        <v>453</v>
      </c>
      <c r="Q204" s="35" t="str">
        <f>MID(Tabla1[[#This Row],[Aplicación]],14,1)</f>
        <v>2</v>
      </c>
      <c r="R204" s="35" t="s">
        <v>441</v>
      </c>
      <c r="S204" s="35" t="str">
        <f>MID(Tabla1[[#This Row],[Aplicación]],6,2)</f>
        <v>02</v>
      </c>
      <c r="T204" s="35" t="str">
        <f>VLOOKUP(Tabla1[[#This Row],[AREA]],Hoja1!A:B,2,FALSE)</f>
        <v>02. Planeamiento urbanístico y vivienda</v>
      </c>
      <c r="U204" s="35" t="str">
        <f>MID(Tabla1[[#This Row],[Aplicación]],9,4)</f>
        <v>9332</v>
      </c>
      <c r="V204" s="35" t="str">
        <f>VLOOKUP(Tabla1[[#This Row],[PROGRAMA]],Hoja1!A:B,2,FALSE)</f>
        <v>9332. Mantenimiento de edificios e instalaciones municipales</v>
      </c>
      <c r="W204" s="35" t="str">
        <f>MID(Tabla1[[#This Row],[Aplicación]],14,2)</f>
        <v>22</v>
      </c>
      <c r="X204" s="35" t="str">
        <f>MID(Tabla1[[#This Row],[Aplicación]],14,6)</f>
        <v>22700</v>
      </c>
    </row>
    <row r="205" spans="1:24" x14ac:dyDescent="0.25">
      <c r="A205" s="49">
        <v>220219000339</v>
      </c>
      <c r="B205" s="50" t="s">
        <v>9</v>
      </c>
      <c r="C205" s="57">
        <v>44562</v>
      </c>
      <c r="D205" s="49">
        <v>22022000503</v>
      </c>
      <c r="E205" s="50" t="s">
        <v>1412</v>
      </c>
      <c r="F205" s="58">
        <v>259256.92</v>
      </c>
      <c r="G205" s="50" t="s">
        <v>964</v>
      </c>
      <c r="H205" s="50" t="s">
        <v>1633</v>
      </c>
      <c r="I205" s="49" t="s">
        <v>107</v>
      </c>
      <c r="J205" s="50" t="s">
        <v>144</v>
      </c>
      <c r="K205" s="50" t="s">
        <v>144</v>
      </c>
      <c r="L205" s="50" t="s">
        <v>12</v>
      </c>
      <c r="M205" s="50" t="s">
        <v>13</v>
      </c>
      <c r="N205" s="50" t="s">
        <v>14</v>
      </c>
      <c r="O205" s="48" t="s">
        <v>620</v>
      </c>
      <c r="P205" s="45" t="s">
        <v>453</v>
      </c>
      <c r="Q205" s="35" t="str">
        <f>MID(Tabla1[[#This Row],[Aplicación]],14,1)</f>
        <v>2</v>
      </c>
      <c r="R205" s="35" t="s">
        <v>441</v>
      </c>
      <c r="S205" s="35" t="str">
        <f>MID(Tabla1[[#This Row],[Aplicación]],6,2)</f>
        <v>11</v>
      </c>
      <c r="T205" s="35" t="str">
        <f>VLOOKUP(Tabla1[[#This Row],[AREA]],Hoja1!A:B,2,FALSE)</f>
        <v>11. Salud pública y seguridad ciudadana</v>
      </c>
      <c r="U205" s="35" t="str">
        <f>MID(Tabla1[[#This Row],[Aplicación]],9,4)</f>
        <v>1321</v>
      </c>
      <c r="V205" s="35" t="str">
        <f>VLOOKUP(Tabla1[[#This Row],[PROGRAMA]],Hoja1!A:B,2,FALSE)</f>
        <v>1321. Policía municipal</v>
      </c>
      <c r="W205" s="35" t="str">
        <f>MID(Tabla1[[#This Row],[Aplicación]],14,2)</f>
        <v>22</v>
      </c>
      <c r="X205" s="35" t="str">
        <f>MID(Tabla1[[#This Row],[Aplicación]],14,6)</f>
        <v>22799</v>
      </c>
    </row>
    <row r="206" spans="1:24" x14ac:dyDescent="0.25">
      <c r="A206" s="49">
        <v>220219000779</v>
      </c>
      <c r="B206" s="50" t="s">
        <v>9</v>
      </c>
      <c r="C206" s="57">
        <v>44562</v>
      </c>
      <c r="D206" s="49">
        <v>22022002007</v>
      </c>
      <c r="E206" s="50" t="s">
        <v>1368</v>
      </c>
      <c r="F206" s="58">
        <v>259236.79</v>
      </c>
      <c r="G206" s="50" t="s">
        <v>890</v>
      </c>
      <c r="H206" s="50" t="s">
        <v>1634</v>
      </c>
      <c r="I206" s="49" t="s">
        <v>107</v>
      </c>
      <c r="J206" s="50" t="s">
        <v>109</v>
      </c>
      <c r="K206" s="50" t="s">
        <v>109</v>
      </c>
      <c r="L206" s="50" t="s">
        <v>25</v>
      </c>
      <c r="M206" s="50" t="s">
        <v>13</v>
      </c>
      <c r="N206" s="50" t="s">
        <v>16</v>
      </c>
      <c r="O206" s="48" t="s">
        <v>620</v>
      </c>
      <c r="P206" s="45" t="s">
        <v>453</v>
      </c>
      <c r="Q206" s="35" t="str">
        <f>MID(Tabla1[[#This Row],[Aplicación]],14,1)</f>
        <v>6</v>
      </c>
      <c r="R206" s="35" t="s">
        <v>442</v>
      </c>
      <c r="S206" s="35" t="str">
        <f>MID(Tabla1[[#This Row],[Aplicación]],6,2)</f>
        <v>08</v>
      </c>
      <c r="T206" s="35" t="str">
        <f>VLOOKUP(Tabla1[[#This Row],[AREA]],Hoja1!A:B,2,FALSE)</f>
        <v>08. Movilidad y espacio urbano</v>
      </c>
      <c r="U206" s="35" t="str">
        <f>MID(Tabla1[[#This Row],[Aplicación]],9,4)</f>
        <v>1532</v>
      </c>
      <c r="V206" s="35" t="str">
        <f>VLOOKUP(Tabla1[[#This Row],[PROGRAMA]],Hoja1!A:B,2,FALSE)</f>
        <v>1532. Pavimentación vias públicas y otros servicios urbanísticos</v>
      </c>
      <c r="W206" s="35" t="str">
        <f>MID(Tabla1[[#This Row],[Aplicación]],14,2)</f>
        <v>61</v>
      </c>
      <c r="X206" s="35" t="str">
        <f>MID(Tabla1[[#This Row],[Aplicación]],14,6)</f>
        <v>619</v>
      </c>
    </row>
    <row r="207" spans="1:24" x14ac:dyDescent="0.25">
      <c r="A207" s="49">
        <v>220220000312</v>
      </c>
      <c r="B207" s="50" t="s">
        <v>26</v>
      </c>
      <c r="C207" s="57">
        <v>44582</v>
      </c>
      <c r="D207" s="49">
        <v>22022001271</v>
      </c>
      <c r="E207" s="50" t="s">
        <v>1635</v>
      </c>
      <c r="F207" s="58">
        <v>70.48</v>
      </c>
      <c r="G207" s="50" t="s">
        <v>238</v>
      </c>
      <c r="H207" s="50" t="s">
        <v>1636</v>
      </c>
      <c r="I207" s="49" t="s">
        <v>197</v>
      </c>
      <c r="J207" s="50" t="s">
        <v>109</v>
      </c>
      <c r="K207" s="50" t="s">
        <v>109</v>
      </c>
      <c r="L207" s="50" t="s">
        <v>15</v>
      </c>
      <c r="M207" s="50" t="s">
        <v>10</v>
      </c>
      <c r="N207" s="50" t="s">
        <v>11</v>
      </c>
      <c r="O207" s="48" t="s">
        <v>632</v>
      </c>
      <c r="P207" s="45" t="s">
        <v>453</v>
      </c>
      <c r="Q207" s="35" t="str">
        <f>MID(Tabla1[[#This Row],[Aplicación]],14,1)</f>
        <v>2</v>
      </c>
      <c r="R207" s="35" t="s">
        <v>441</v>
      </c>
      <c r="S207" s="35" t="str">
        <f>MID(Tabla1[[#This Row],[Aplicación]],6,2)</f>
        <v>03</v>
      </c>
      <c r="T207" s="35" t="str">
        <f>VLOOKUP(Tabla1[[#This Row],[AREA]],Hoja1!A:B,2,FALSE)</f>
        <v>03. Participación ciudadana y deportes</v>
      </c>
      <c r="U207" s="35" t="str">
        <f>MID(Tabla1[[#This Row],[Aplicación]],9,4)</f>
        <v>9241</v>
      </c>
      <c r="V207" s="35" t="str">
        <f>VLOOKUP(Tabla1[[#This Row],[PROGRAMA]],Hoja1!A:B,2,FALSE)</f>
        <v>9241. Participación ciudadana</v>
      </c>
      <c r="W207" s="35" t="str">
        <f>MID(Tabla1[[#This Row],[Aplicación]],14,2)</f>
        <v>21</v>
      </c>
      <c r="X207" s="35" t="str">
        <f>MID(Tabla1[[#This Row],[Aplicación]],14,6)</f>
        <v>212</v>
      </c>
    </row>
    <row r="208" spans="1:24" x14ac:dyDescent="0.25">
      <c r="A208" s="49">
        <v>220219000097</v>
      </c>
      <c r="B208" s="50" t="s">
        <v>9</v>
      </c>
      <c r="C208" s="57">
        <v>44562</v>
      </c>
      <c r="D208" s="49">
        <v>22022000034</v>
      </c>
      <c r="E208" s="50" t="s">
        <v>1637</v>
      </c>
      <c r="F208" s="58">
        <v>207428.52</v>
      </c>
      <c r="G208" s="50" t="s">
        <v>132</v>
      </c>
      <c r="H208" s="50" t="s">
        <v>1638</v>
      </c>
      <c r="I208" s="49" t="s">
        <v>107</v>
      </c>
      <c r="J208" s="50" t="s">
        <v>109</v>
      </c>
      <c r="K208" s="50" t="s">
        <v>109</v>
      </c>
      <c r="L208" s="50" t="s">
        <v>12</v>
      </c>
      <c r="M208" s="50" t="s">
        <v>13</v>
      </c>
      <c r="N208" s="50" t="s">
        <v>14</v>
      </c>
      <c r="O208" s="48" t="s">
        <v>620</v>
      </c>
      <c r="P208" s="45" t="s">
        <v>453</v>
      </c>
      <c r="Q208" s="35" t="str">
        <f>MID(Tabla1[[#This Row],[Aplicación]],14,1)</f>
        <v>2</v>
      </c>
      <c r="R208" s="35" t="s">
        <v>441</v>
      </c>
      <c r="S208" s="35" t="str">
        <f>MID(Tabla1[[#This Row],[Aplicación]],6,2)</f>
        <v>06</v>
      </c>
      <c r="T208" s="35" t="str">
        <f>VLOOKUP(Tabla1[[#This Row],[AREA]],Hoja1!A:B,2,FALSE)</f>
        <v>06. Educación, infancia, juventud e igualdad</v>
      </c>
      <c r="U208" s="35" t="str">
        <f>MID(Tabla1[[#This Row],[Aplicación]],9,4)</f>
        <v>2314</v>
      </c>
      <c r="V208" s="35" t="str">
        <f>VLOOKUP(Tabla1[[#This Row],[PROGRAMA]],Hoja1!A:B,2,FALSE)</f>
        <v>2314. Centro de programas juveniles</v>
      </c>
      <c r="W208" s="35" t="str">
        <f>MID(Tabla1[[#This Row],[Aplicación]],14,2)</f>
        <v>22</v>
      </c>
      <c r="X208" s="35" t="str">
        <f>MID(Tabla1[[#This Row],[Aplicación]],14,6)</f>
        <v>22799</v>
      </c>
    </row>
    <row r="209" spans="1:24" x14ac:dyDescent="0.25">
      <c r="A209" s="49">
        <v>220219001221</v>
      </c>
      <c r="B209" s="50" t="s">
        <v>9</v>
      </c>
      <c r="C209" s="57">
        <v>44562</v>
      </c>
      <c r="D209" s="49">
        <v>22022001490</v>
      </c>
      <c r="E209" s="50" t="s">
        <v>1639</v>
      </c>
      <c r="F209" s="58">
        <v>197128</v>
      </c>
      <c r="G209" s="50" t="s">
        <v>132</v>
      </c>
      <c r="H209" s="50" t="s">
        <v>1640</v>
      </c>
      <c r="I209" s="49" t="s">
        <v>107</v>
      </c>
      <c r="J209" s="50" t="s">
        <v>109</v>
      </c>
      <c r="K209" s="50" t="s">
        <v>109</v>
      </c>
      <c r="L209" s="50" t="s">
        <v>12</v>
      </c>
      <c r="M209" s="50" t="s">
        <v>13</v>
      </c>
      <c r="N209" s="50" t="s">
        <v>16</v>
      </c>
      <c r="O209" s="48" t="s">
        <v>620</v>
      </c>
      <c r="P209" s="45" t="s">
        <v>453</v>
      </c>
      <c r="Q209" s="35" t="str">
        <f>MID(Tabla1[[#This Row],[Aplicación]],14,1)</f>
        <v>2</v>
      </c>
      <c r="R209" s="35" t="s">
        <v>441</v>
      </c>
      <c r="S209" s="35" t="str">
        <f>MID(Tabla1[[#This Row],[Aplicación]],6,2)</f>
        <v>03</v>
      </c>
      <c r="T209" s="35" t="str">
        <f>VLOOKUP(Tabla1[[#This Row],[AREA]],Hoja1!A:B,2,FALSE)</f>
        <v>03. Participación ciudadana y deportes</v>
      </c>
      <c r="U209" s="35" t="str">
        <f>MID(Tabla1[[#This Row],[Aplicación]],9,4)</f>
        <v>9241</v>
      </c>
      <c r="V209" s="35" t="str">
        <f>VLOOKUP(Tabla1[[#This Row],[PROGRAMA]],Hoja1!A:B,2,FALSE)</f>
        <v>9241. Participación ciudadana</v>
      </c>
      <c r="W209" s="35" t="str">
        <f>MID(Tabla1[[#This Row],[Aplicación]],14,2)</f>
        <v>22</v>
      </c>
      <c r="X209" s="35" t="str">
        <f>MID(Tabla1[[#This Row],[Aplicación]],14,6)</f>
        <v>22799</v>
      </c>
    </row>
    <row r="210" spans="1:24" x14ac:dyDescent="0.25">
      <c r="A210" s="49">
        <v>220219000863</v>
      </c>
      <c r="B210" s="50" t="s">
        <v>9</v>
      </c>
      <c r="C210" s="57">
        <v>44562</v>
      </c>
      <c r="D210" s="49">
        <v>22022000608</v>
      </c>
      <c r="E210" s="50" t="s">
        <v>1485</v>
      </c>
      <c r="F210" s="58">
        <v>545</v>
      </c>
      <c r="G210" s="50" t="s">
        <v>1159</v>
      </c>
      <c r="H210" s="50" t="s">
        <v>1160</v>
      </c>
      <c r="I210" s="49" t="s">
        <v>107</v>
      </c>
      <c r="J210" s="50" t="s">
        <v>1161</v>
      </c>
      <c r="K210" s="50" t="s">
        <v>109</v>
      </c>
      <c r="L210" s="50" t="s">
        <v>15</v>
      </c>
      <c r="M210" s="50" t="s">
        <v>10</v>
      </c>
      <c r="N210" s="50" t="s">
        <v>11</v>
      </c>
      <c r="O210" s="48" t="s">
        <v>632</v>
      </c>
      <c r="P210" s="45" t="s">
        <v>453</v>
      </c>
      <c r="Q210" s="35" t="str">
        <f>MID(Tabla1[[#This Row],[Aplicación]],14,1)</f>
        <v>2</v>
      </c>
      <c r="R210" s="35" t="s">
        <v>441</v>
      </c>
      <c r="S210" s="35" t="str">
        <f>MID(Tabla1[[#This Row],[Aplicación]],6,2)</f>
        <v>11</v>
      </c>
      <c r="T210" s="35" t="str">
        <f>VLOOKUP(Tabla1[[#This Row],[AREA]],Hoja1!A:B,2,FALSE)</f>
        <v>11. Salud pública y seguridad ciudadana</v>
      </c>
      <c r="U210" s="35" t="str">
        <f>MID(Tabla1[[#This Row],[Aplicación]],9,4)</f>
        <v>3111</v>
      </c>
      <c r="V210" s="35" t="str">
        <f>VLOOKUP(Tabla1[[#This Row],[PROGRAMA]],Hoja1!A:B,2,FALSE)</f>
        <v>3111. Protección de la salubridad pública</v>
      </c>
      <c r="W210" s="35" t="str">
        <f>MID(Tabla1[[#This Row],[Aplicación]],14,2)</f>
        <v>20</v>
      </c>
      <c r="X210" s="35" t="str">
        <f>MID(Tabla1[[#This Row],[Aplicación]],14,6)</f>
        <v>203</v>
      </c>
    </row>
    <row r="211" spans="1:24" x14ac:dyDescent="0.25">
      <c r="A211" s="49">
        <v>220220010317</v>
      </c>
      <c r="B211" s="50" t="s">
        <v>9</v>
      </c>
      <c r="C211" s="57">
        <v>44641</v>
      </c>
      <c r="D211" s="49">
        <v>22022002891</v>
      </c>
      <c r="E211" s="50" t="s">
        <v>1436</v>
      </c>
      <c r="F211" s="58">
        <v>880</v>
      </c>
      <c r="G211" s="50" t="s">
        <v>57</v>
      </c>
      <c r="H211" s="50" t="s">
        <v>1641</v>
      </c>
      <c r="I211" s="49" t="s">
        <v>107</v>
      </c>
      <c r="J211" s="50" t="s">
        <v>109</v>
      </c>
      <c r="K211" s="50" t="s">
        <v>109</v>
      </c>
      <c r="L211" s="50" t="s">
        <v>12</v>
      </c>
      <c r="M211" s="50" t="s">
        <v>10</v>
      </c>
      <c r="N211" s="50" t="s">
        <v>11</v>
      </c>
      <c r="O211" s="48" t="s">
        <v>632</v>
      </c>
      <c r="P211" s="45" t="s">
        <v>453</v>
      </c>
      <c r="Q211" s="35" t="str">
        <f>MID(Tabla1[[#This Row],[Aplicación]],14,1)</f>
        <v>2</v>
      </c>
      <c r="R211" s="35" t="s">
        <v>441</v>
      </c>
      <c r="S211" s="35" t="str">
        <f>MID(Tabla1[[#This Row],[Aplicación]],6,2)</f>
        <v>03</v>
      </c>
      <c r="T211" s="35" t="str">
        <f>VLOOKUP(Tabla1[[#This Row],[AREA]],Hoja1!A:B,2,FALSE)</f>
        <v>03. Participación ciudadana y deportes</v>
      </c>
      <c r="U211" s="35" t="str">
        <f>MID(Tabla1[[#This Row],[Aplicación]],9,4)</f>
        <v>9241</v>
      </c>
      <c r="V211" s="35" t="str">
        <f>VLOOKUP(Tabla1[[#This Row],[PROGRAMA]],Hoja1!A:B,2,FALSE)</f>
        <v>9241. Participación ciudadana</v>
      </c>
      <c r="W211" s="35" t="str">
        <f>MID(Tabla1[[#This Row],[Aplicación]],14,2)</f>
        <v>22</v>
      </c>
      <c r="X211" s="35" t="str">
        <f>MID(Tabla1[[#This Row],[Aplicación]],14,6)</f>
        <v>22609</v>
      </c>
    </row>
    <row r="212" spans="1:24" x14ac:dyDescent="0.25">
      <c r="A212" s="49">
        <v>220220003450</v>
      </c>
      <c r="B212" s="50" t="s">
        <v>9</v>
      </c>
      <c r="C212" s="57">
        <v>44603</v>
      </c>
      <c r="D212" s="49">
        <v>22022002128</v>
      </c>
      <c r="E212" s="50" t="s">
        <v>1471</v>
      </c>
      <c r="F212" s="58">
        <v>2000</v>
      </c>
      <c r="G212" s="50" t="s">
        <v>1642</v>
      </c>
      <c r="H212" s="50" t="s">
        <v>1643</v>
      </c>
      <c r="I212" s="49" t="s">
        <v>107</v>
      </c>
      <c r="J212" s="50" t="s">
        <v>1282</v>
      </c>
      <c r="K212" s="50" t="s">
        <v>138</v>
      </c>
      <c r="L212" s="50" t="s">
        <v>12</v>
      </c>
      <c r="M212" s="50" t="s">
        <v>10</v>
      </c>
      <c r="N212" s="50" t="s">
        <v>11</v>
      </c>
      <c r="O212" s="48" t="s">
        <v>632</v>
      </c>
      <c r="P212" s="45" t="s">
        <v>453</v>
      </c>
      <c r="Q212" s="35" t="str">
        <f>MID(Tabla1[[#This Row],[Aplicación]],14,1)</f>
        <v>2</v>
      </c>
      <c r="R212" s="35" t="s">
        <v>441</v>
      </c>
      <c r="S212" s="35" t="str">
        <f>MID(Tabla1[[#This Row],[Aplicación]],6,2)</f>
        <v>11</v>
      </c>
      <c r="T212" s="35" t="str">
        <f>VLOOKUP(Tabla1[[#This Row],[AREA]],Hoja1!A:B,2,FALSE)</f>
        <v>11. Salud pública y seguridad ciudadana</v>
      </c>
      <c r="U212" s="35" t="str">
        <f>MID(Tabla1[[#This Row],[Aplicación]],9,4)</f>
        <v>1321</v>
      </c>
      <c r="V212" s="35" t="str">
        <f>VLOOKUP(Tabla1[[#This Row],[PROGRAMA]],Hoja1!A:B,2,FALSE)</f>
        <v>1321. Policía municipal</v>
      </c>
      <c r="W212" s="35" t="str">
        <f>MID(Tabla1[[#This Row],[Aplicación]],14,2)</f>
        <v>21</v>
      </c>
      <c r="X212" s="35" t="str">
        <f>MID(Tabla1[[#This Row],[Aplicación]],14,6)</f>
        <v>213</v>
      </c>
    </row>
    <row r="213" spans="1:24" x14ac:dyDescent="0.25">
      <c r="A213" s="49">
        <v>220220004182</v>
      </c>
      <c r="B213" s="50" t="s">
        <v>172</v>
      </c>
      <c r="C213" s="57">
        <v>44610</v>
      </c>
      <c r="D213" s="49">
        <v>22022000026</v>
      </c>
      <c r="E213" s="50" t="s">
        <v>1644</v>
      </c>
      <c r="F213" s="58">
        <v>1634.23</v>
      </c>
      <c r="G213" s="50" t="s">
        <v>227</v>
      </c>
      <c r="H213" s="50" t="s">
        <v>1645</v>
      </c>
      <c r="I213" s="49" t="s">
        <v>173</v>
      </c>
      <c r="J213" s="50" t="s">
        <v>109</v>
      </c>
      <c r="K213" s="50" t="s">
        <v>109</v>
      </c>
      <c r="L213" s="50" t="s">
        <v>15</v>
      </c>
      <c r="M213" s="50" t="s">
        <v>13</v>
      </c>
      <c r="N213" s="50" t="s">
        <v>14</v>
      </c>
      <c r="O213" s="48" t="s">
        <v>631</v>
      </c>
      <c r="P213" s="45" t="s">
        <v>453</v>
      </c>
      <c r="Q213" s="35" t="str">
        <f>MID(Tabla1[[#This Row],[Aplicación]],14,1)</f>
        <v>2</v>
      </c>
      <c r="R213" s="35" t="s">
        <v>441</v>
      </c>
      <c r="S213" s="35" t="str">
        <f>MID(Tabla1[[#This Row],[Aplicación]],6,2)</f>
        <v>11</v>
      </c>
      <c r="T213" s="35" t="str">
        <f>VLOOKUP(Tabla1[[#This Row],[AREA]],Hoja1!A:B,2,FALSE)</f>
        <v>11. Salud pública y seguridad ciudadana</v>
      </c>
      <c r="U213" s="35" t="str">
        <f>MID(Tabla1[[#This Row],[Aplicación]],9,4)</f>
        <v>1621</v>
      </c>
      <c r="V213" s="35" t="str">
        <f>VLOOKUP(Tabla1[[#This Row],[PROGRAMA]],Hoja1!A:B,2,FALSE)</f>
        <v>1621. Servicio de limpieza</v>
      </c>
      <c r="W213" s="35" t="str">
        <f>MID(Tabla1[[#This Row],[Aplicación]],14,2)</f>
        <v>21</v>
      </c>
      <c r="X213" s="35" t="str">
        <f>MID(Tabla1[[#This Row],[Aplicación]],14,6)</f>
        <v>214</v>
      </c>
    </row>
    <row r="214" spans="1:24" x14ac:dyDescent="0.25">
      <c r="A214" s="49">
        <v>220220004204</v>
      </c>
      <c r="B214" s="50" t="s">
        <v>172</v>
      </c>
      <c r="C214" s="57">
        <v>44610</v>
      </c>
      <c r="D214" s="49">
        <v>22022000026</v>
      </c>
      <c r="E214" s="50" t="s">
        <v>1644</v>
      </c>
      <c r="F214" s="58">
        <v>1248.07</v>
      </c>
      <c r="G214" s="50" t="s">
        <v>227</v>
      </c>
      <c r="H214" s="50" t="s">
        <v>1646</v>
      </c>
      <c r="I214" s="49" t="s">
        <v>173</v>
      </c>
      <c r="J214" s="50" t="s">
        <v>109</v>
      </c>
      <c r="K214" s="50" t="s">
        <v>109</v>
      </c>
      <c r="L214" s="50" t="s">
        <v>15</v>
      </c>
      <c r="M214" s="50" t="s">
        <v>13</v>
      </c>
      <c r="N214" s="50" t="s">
        <v>14</v>
      </c>
      <c r="O214" s="48" t="s">
        <v>631</v>
      </c>
      <c r="P214" s="45" t="s">
        <v>453</v>
      </c>
      <c r="Q214" s="35" t="str">
        <f>MID(Tabla1[[#This Row],[Aplicación]],14,1)</f>
        <v>2</v>
      </c>
      <c r="R214" s="35" t="s">
        <v>441</v>
      </c>
      <c r="S214" s="35" t="str">
        <f>MID(Tabla1[[#This Row],[Aplicación]],6,2)</f>
        <v>11</v>
      </c>
      <c r="T214" s="35" t="str">
        <f>VLOOKUP(Tabla1[[#This Row],[AREA]],Hoja1!A:B,2,FALSE)</f>
        <v>11. Salud pública y seguridad ciudadana</v>
      </c>
      <c r="U214" s="35" t="str">
        <f>MID(Tabla1[[#This Row],[Aplicación]],9,4)</f>
        <v>1621</v>
      </c>
      <c r="V214" s="35" t="str">
        <f>VLOOKUP(Tabla1[[#This Row],[PROGRAMA]],Hoja1!A:B,2,FALSE)</f>
        <v>1621. Servicio de limpieza</v>
      </c>
      <c r="W214" s="35" t="str">
        <f>MID(Tabla1[[#This Row],[Aplicación]],14,2)</f>
        <v>21</v>
      </c>
      <c r="X214" s="35" t="str">
        <f>MID(Tabla1[[#This Row],[Aplicación]],14,6)</f>
        <v>214</v>
      </c>
    </row>
    <row r="215" spans="1:24" x14ac:dyDescent="0.25">
      <c r="A215" s="49">
        <v>220220008377</v>
      </c>
      <c r="B215" s="50" t="s">
        <v>172</v>
      </c>
      <c r="C215" s="57">
        <v>44631</v>
      </c>
      <c r="D215" s="49">
        <v>22022000026</v>
      </c>
      <c r="E215" s="50" t="s">
        <v>1644</v>
      </c>
      <c r="F215" s="58">
        <v>686.14</v>
      </c>
      <c r="G215" s="50" t="s">
        <v>227</v>
      </c>
      <c r="H215" s="50" t="s">
        <v>1647</v>
      </c>
      <c r="I215" s="49" t="s">
        <v>173</v>
      </c>
      <c r="J215" s="50" t="s">
        <v>109</v>
      </c>
      <c r="K215" s="50" t="s">
        <v>109</v>
      </c>
      <c r="L215" s="50" t="s">
        <v>15</v>
      </c>
      <c r="M215" s="50" t="s">
        <v>13</v>
      </c>
      <c r="N215" s="50" t="s">
        <v>14</v>
      </c>
      <c r="O215" s="48" t="s">
        <v>631</v>
      </c>
      <c r="P215" s="45" t="s">
        <v>453</v>
      </c>
      <c r="Q215" s="35" t="str">
        <f>MID(Tabla1[[#This Row],[Aplicación]],14,1)</f>
        <v>2</v>
      </c>
      <c r="R215" s="35" t="s">
        <v>441</v>
      </c>
      <c r="S215" s="35" t="str">
        <f>MID(Tabla1[[#This Row],[Aplicación]],6,2)</f>
        <v>11</v>
      </c>
      <c r="T215" s="35" t="str">
        <f>VLOOKUP(Tabla1[[#This Row],[AREA]],Hoja1!A:B,2,FALSE)</f>
        <v>11. Salud pública y seguridad ciudadana</v>
      </c>
      <c r="U215" s="35" t="str">
        <f>MID(Tabla1[[#This Row],[Aplicación]],9,4)</f>
        <v>1621</v>
      </c>
      <c r="V215" s="35" t="str">
        <f>VLOOKUP(Tabla1[[#This Row],[PROGRAMA]],Hoja1!A:B,2,FALSE)</f>
        <v>1621. Servicio de limpieza</v>
      </c>
      <c r="W215" s="35" t="str">
        <f>MID(Tabla1[[#This Row],[Aplicación]],14,2)</f>
        <v>21</v>
      </c>
      <c r="X215" s="35" t="str">
        <f>MID(Tabla1[[#This Row],[Aplicación]],14,6)</f>
        <v>214</v>
      </c>
    </row>
    <row r="216" spans="1:24" x14ac:dyDescent="0.25">
      <c r="A216" s="49">
        <v>220220008563</v>
      </c>
      <c r="B216" s="50" t="s">
        <v>172</v>
      </c>
      <c r="C216" s="57">
        <v>44631</v>
      </c>
      <c r="D216" s="49">
        <v>22022000026</v>
      </c>
      <c r="E216" s="50" t="s">
        <v>1644</v>
      </c>
      <c r="F216" s="58">
        <v>594.91999999999996</v>
      </c>
      <c r="G216" s="50" t="s">
        <v>227</v>
      </c>
      <c r="H216" s="50" t="s">
        <v>1648</v>
      </c>
      <c r="I216" s="49" t="s">
        <v>173</v>
      </c>
      <c r="J216" s="50" t="s">
        <v>109</v>
      </c>
      <c r="K216" s="50" t="s">
        <v>109</v>
      </c>
      <c r="L216" s="50" t="s">
        <v>15</v>
      </c>
      <c r="M216" s="50" t="s">
        <v>13</v>
      </c>
      <c r="N216" s="50" t="s">
        <v>14</v>
      </c>
      <c r="O216" s="48" t="s">
        <v>631</v>
      </c>
      <c r="P216" s="45" t="s">
        <v>453</v>
      </c>
      <c r="Q216" s="35" t="str">
        <f>MID(Tabla1[[#This Row],[Aplicación]],14,1)</f>
        <v>2</v>
      </c>
      <c r="R216" s="35" t="s">
        <v>441</v>
      </c>
      <c r="S216" s="35" t="str">
        <f>MID(Tabla1[[#This Row],[Aplicación]],6,2)</f>
        <v>11</v>
      </c>
      <c r="T216" s="35" t="str">
        <f>VLOOKUP(Tabla1[[#This Row],[AREA]],Hoja1!A:B,2,FALSE)</f>
        <v>11. Salud pública y seguridad ciudadana</v>
      </c>
      <c r="U216" s="35" t="str">
        <f>MID(Tabla1[[#This Row],[Aplicación]],9,4)</f>
        <v>1621</v>
      </c>
      <c r="V216" s="35" t="str">
        <f>VLOOKUP(Tabla1[[#This Row],[PROGRAMA]],Hoja1!A:B,2,FALSE)</f>
        <v>1621. Servicio de limpieza</v>
      </c>
      <c r="W216" s="35" t="str">
        <f>MID(Tabla1[[#This Row],[Aplicación]],14,2)</f>
        <v>21</v>
      </c>
      <c r="X216" s="35" t="str">
        <f>MID(Tabla1[[#This Row],[Aplicación]],14,6)</f>
        <v>214</v>
      </c>
    </row>
    <row r="217" spans="1:24" x14ac:dyDescent="0.25">
      <c r="A217" s="49">
        <v>220220005938</v>
      </c>
      <c r="B217" s="50" t="s">
        <v>9</v>
      </c>
      <c r="C217" s="57">
        <v>44616</v>
      </c>
      <c r="D217" s="49">
        <v>22022002442</v>
      </c>
      <c r="E217" s="50" t="s">
        <v>1649</v>
      </c>
      <c r="F217" s="58">
        <v>36</v>
      </c>
      <c r="G217" s="50" t="s">
        <v>227</v>
      </c>
      <c r="H217" s="50" t="s">
        <v>1650</v>
      </c>
      <c r="I217" s="49" t="s">
        <v>107</v>
      </c>
      <c r="J217" s="50" t="s">
        <v>109</v>
      </c>
      <c r="K217" s="50" t="s">
        <v>109</v>
      </c>
      <c r="L217" s="50" t="s">
        <v>15</v>
      </c>
      <c r="M217" s="50" t="s">
        <v>13</v>
      </c>
      <c r="N217" s="50" t="s">
        <v>14</v>
      </c>
      <c r="O217" s="48" t="s">
        <v>631</v>
      </c>
      <c r="P217" s="45" t="s">
        <v>453</v>
      </c>
      <c r="Q217" s="35" t="str">
        <f>MID(Tabla1[[#This Row],[Aplicación]],14,1)</f>
        <v>2</v>
      </c>
      <c r="R217" s="35" t="s">
        <v>441</v>
      </c>
      <c r="S217" s="35" t="str">
        <f>MID(Tabla1[[#This Row],[Aplicación]],6,2)</f>
        <v>05</v>
      </c>
      <c r="T217" s="35" t="str">
        <f>VLOOKUP(Tabla1[[#This Row],[AREA]],Hoja1!A:B,2,FALSE)</f>
        <v>05. Innovación, desarrollo económico, empleo y comercio</v>
      </c>
      <c r="U217" s="35" t="str">
        <f>MID(Tabla1[[#This Row],[Aplicación]],9,4)</f>
        <v>4312</v>
      </c>
      <c r="V217" s="35" t="str">
        <f>VLOOKUP(Tabla1[[#This Row],[PROGRAMA]],Hoja1!A:B,2,FALSE)</f>
        <v>4312. Mercados, abastos y lonjas</v>
      </c>
      <c r="W217" s="35" t="str">
        <f>MID(Tabla1[[#This Row],[Aplicación]],14,2)</f>
        <v>22</v>
      </c>
      <c r="X217" s="35" t="str">
        <f>MID(Tabla1[[#This Row],[Aplicación]],14,6)</f>
        <v>22199</v>
      </c>
    </row>
    <row r="218" spans="1:24" x14ac:dyDescent="0.25">
      <c r="A218" s="49">
        <v>220220000364</v>
      </c>
      <c r="B218" s="50" t="s">
        <v>9</v>
      </c>
      <c r="C218" s="57">
        <v>44585</v>
      </c>
      <c r="D218" s="49">
        <v>22022001521</v>
      </c>
      <c r="E218" s="50" t="s">
        <v>1635</v>
      </c>
      <c r="F218" s="58">
        <v>2940.3</v>
      </c>
      <c r="G218" s="50" t="s">
        <v>1050</v>
      </c>
      <c r="H218" s="50" t="s">
        <v>1651</v>
      </c>
      <c r="I218" s="49" t="s">
        <v>107</v>
      </c>
      <c r="J218" s="50" t="s">
        <v>109</v>
      </c>
      <c r="K218" s="50" t="s">
        <v>109</v>
      </c>
      <c r="L218" s="50" t="s">
        <v>15</v>
      </c>
      <c r="M218" s="50" t="s">
        <v>10</v>
      </c>
      <c r="N218" s="50" t="s">
        <v>11</v>
      </c>
      <c r="O218" s="48" t="s">
        <v>632</v>
      </c>
      <c r="P218" s="45" t="s">
        <v>453</v>
      </c>
      <c r="Q218" s="35" t="str">
        <f>MID(Tabla1[[#This Row],[Aplicación]],14,1)</f>
        <v>2</v>
      </c>
      <c r="R218" s="35" t="s">
        <v>441</v>
      </c>
      <c r="S218" s="35" t="str">
        <f>MID(Tabla1[[#This Row],[Aplicación]],6,2)</f>
        <v>03</v>
      </c>
      <c r="T218" s="35" t="str">
        <f>VLOOKUP(Tabla1[[#This Row],[AREA]],Hoja1!A:B,2,FALSE)</f>
        <v>03. Participación ciudadana y deportes</v>
      </c>
      <c r="U218" s="35" t="str">
        <f>MID(Tabla1[[#This Row],[Aplicación]],9,4)</f>
        <v>9241</v>
      </c>
      <c r="V218" s="35" t="str">
        <f>VLOOKUP(Tabla1[[#This Row],[PROGRAMA]],Hoja1!A:B,2,FALSE)</f>
        <v>9241. Participación ciudadana</v>
      </c>
      <c r="W218" s="35" t="str">
        <f>MID(Tabla1[[#This Row],[Aplicación]],14,2)</f>
        <v>21</v>
      </c>
      <c r="X218" s="35" t="str">
        <f>MID(Tabla1[[#This Row],[Aplicación]],14,6)</f>
        <v>212</v>
      </c>
    </row>
    <row r="219" spans="1:24" x14ac:dyDescent="0.25">
      <c r="A219" s="49">
        <v>220209000459</v>
      </c>
      <c r="B219" s="50" t="s">
        <v>9</v>
      </c>
      <c r="C219" s="57">
        <v>44562</v>
      </c>
      <c r="D219" s="49">
        <v>22022000191</v>
      </c>
      <c r="E219" s="50" t="s">
        <v>1429</v>
      </c>
      <c r="F219" s="58">
        <v>255333.33</v>
      </c>
      <c r="G219" s="50" t="s">
        <v>121</v>
      </c>
      <c r="H219" s="50" t="s">
        <v>662</v>
      </c>
      <c r="I219" s="49" t="s">
        <v>107</v>
      </c>
      <c r="J219" s="50" t="s">
        <v>109</v>
      </c>
      <c r="K219" s="50" t="s">
        <v>109</v>
      </c>
      <c r="L219" s="50" t="s">
        <v>12</v>
      </c>
      <c r="M219" s="50" t="s">
        <v>13</v>
      </c>
      <c r="N219" s="50" t="s">
        <v>14</v>
      </c>
      <c r="O219" s="48" t="s">
        <v>620</v>
      </c>
      <c r="P219" s="45" t="s">
        <v>453</v>
      </c>
      <c r="Q219" s="35" t="str">
        <f>MID(Tabla1[[#This Row],[Aplicación]],14,1)</f>
        <v>2</v>
      </c>
      <c r="R219" s="35" t="s">
        <v>441</v>
      </c>
      <c r="S219" s="35" t="str">
        <f>MID(Tabla1[[#This Row],[Aplicación]],6,2)</f>
        <v>06</v>
      </c>
      <c r="T219" s="35" t="str">
        <f>VLOOKUP(Tabla1[[#This Row],[AREA]],Hoja1!A:B,2,FALSE)</f>
        <v>06. Educación, infancia, juventud e igualdad</v>
      </c>
      <c r="U219" s="35" t="str">
        <f>MID(Tabla1[[#This Row],[Aplicación]],9,4)</f>
        <v>3231</v>
      </c>
      <c r="V219" s="35" t="str">
        <f>VLOOKUP(Tabla1[[#This Row],[PROGRAMA]],Hoja1!A:B,2,FALSE)</f>
        <v>3231. Escuelas infantiles</v>
      </c>
      <c r="W219" s="35" t="str">
        <f>MID(Tabla1[[#This Row],[Aplicación]],14,2)</f>
        <v>22</v>
      </c>
      <c r="X219" s="35" t="str">
        <f>MID(Tabla1[[#This Row],[Aplicación]],14,6)</f>
        <v>22799</v>
      </c>
    </row>
    <row r="220" spans="1:24" x14ac:dyDescent="0.25">
      <c r="A220" s="49">
        <v>220210059033</v>
      </c>
      <c r="B220" s="50" t="s">
        <v>9</v>
      </c>
      <c r="C220" s="57">
        <v>44620</v>
      </c>
      <c r="D220" s="49">
        <v>22021004333</v>
      </c>
      <c r="E220" s="50" t="s">
        <v>1652</v>
      </c>
      <c r="F220" s="58">
        <v>243158.73</v>
      </c>
      <c r="G220" s="50" t="s">
        <v>930</v>
      </c>
      <c r="H220" s="50" t="s">
        <v>1153</v>
      </c>
      <c r="I220" s="49" t="s">
        <v>107</v>
      </c>
      <c r="J220" s="50" t="s">
        <v>109</v>
      </c>
      <c r="K220" s="50" t="s">
        <v>109</v>
      </c>
      <c r="L220" s="50" t="s">
        <v>25</v>
      </c>
      <c r="M220" s="50" t="s">
        <v>13</v>
      </c>
      <c r="N220" s="50" t="s">
        <v>14</v>
      </c>
      <c r="O220" s="48" t="s">
        <v>620</v>
      </c>
      <c r="P220" s="45" t="s">
        <v>453</v>
      </c>
      <c r="Q220" s="35" t="str">
        <f>MID(Tabla1[[#This Row],[Aplicación]],14,1)</f>
        <v>6</v>
      </c>
      <c r="R220" s="35" t="s">
        <v>442</v>
      </c>
      <c r="S220" s="35" t="str">
        <f>MID(Tabla1[[#This Row],[Aplicación]],6,2)</f>
        <v>09</v>
      </c>
      <c r="T220" s="35" t="str">
        <f>VLOOKUP(Tabla1[[#This Row],[AREA]],Hoja1!A:B,2,FALSE)</f>
        <v>09. Cultura y turismo</v>
      </c>
      <c r="U220" s="35" t="str">
        <f>MID(Tabla1[[#This Row],[Aplicación]],9,4)</f>
        <v>3341</v>
      </c>
      <c r="V220" s="35" t="str">
        <f>VLOOKUP(Tabla1[[#This Row],[PROGRAMA]],Hoja1!A:B,2,FALSE)</f>
        <v>3341. Coordinación de políticas culturales</v>
      </c>
      <c r="W220" s="35" t="str">
        <f>MID(Tabla1[[#This Row],[Aplicación]],14,2)</f>
        <v>63</v>
      </c>
      <c r="X220" s="35" t="str">
        <f>MID(Tabla1[[#This Row],[Aplicación]],14,6)</f>
        <v>632</v>
      </c>
    </row>
    <row r="221" spans="1:24" x14ac:dyDescent="0.25">
      <c r="A221" s="49">
        <v>220220001709</v>
      </c>
      <c r="B221" s="50" t="s">
        <v>9</v>
      </c>
      <c r="C221" s="57">
        <v>44588</v>
      </c>
      <c r="D221" s="49">
        <v>22022001625</v>
      </c>
      <c r="E221" s="50" t="s">
        <v>1653</v>
      </c>
      <c r="F221" s="58">
        <v>81.31</v>
      </c>
      <c r="G221" s="50" t="s">
        <v>1050</v>
      </c>
      <c r="H221" s="50" t="s">
        <v>1654</v>
      </c>
      <c r="I221" s="49" t="s">
        <v>107</v>
      </c>
      <c r="J221" s="50" t="s">
        <v>109</v>
      </c>
      <c r="K221" s="50" t="s">
        <v>109</v>
      </c>
      <c r="L221" s="50" t="s">
        <v>15</v>
      </c>
      <c r="M221" s="50" t="s">
        <v>10</v>
      </c>
      <c r="N221" s="50" t="s">
        <v>11</v>
      </c>
      <c r="O221" s="48" t="s">
        <v>632</v>
      </c>
      <c r="P221" s="45" t="s">
        <v>453</v>
      </c>
      <c r="Q221" s="35" t="str">
        <f>MID(Tabla1[[#This Row],[Aplicación]],14,1)</f>
        <v>2</v>
      </c>
      <c r="R221" s="35" t="s">
        <v>441</v>
      </c>
      <c r="S221" s="35" t="str">
        <f>MID(Tabla1[[#This Row],[Aplicación]],6,2)</f>
        <v>10</v>
      </c>
      <c r="T221" s="35" t="str">
        <f>VLOOKUP(Tabla1[[#This Row],[AREA]],Hoja1!A:B,2,FALSE)</f>
        <v>10. Servicios sociales y mediación comunitaria</v>
      </c>
      <c r="U221" s="35" t="str">
        <f>MID(Tabla1[[#This Row],[Aplicación]],9,4)</f>
        <v>2311</v>
      </c>
      <c r="V221" s="35" t="str">
        <f>VLOOKUP(Tabla1[[#This Row],[PROGRAMA]],Hoja1!A:B,2,FALSE)</f>
        <v>2311. Intervención social</v>
      </c>
      <c r="W221" s="35" t="str">
        <f>MID(Tabla1[[#This Row],[Aplicación]],14,2)</f>
        <v>21</v>
      </c>
      <c r="X221" s="35" t="str">
        <f>MID(Tabla1[[#This Row],[Aplicación]],14,6)</f>
        <v>212</v>
      </c>
    </row>
    <row r="222" spans="1:24" x14ac:dyDescent="0.25">
      <c r="A222" s="49">
        <v>220220000366</v>
      </c>
      <c r="B222" s="50" t="s">
        <v>9</v>
      </c>
      <c r="C222" s="57">
        <v>44585</v>
      </c>
      <c r="D222" s="49">
        <v>22022001527</v>
      </c>
      <c r="E222" s="50" t="s">
        <v>1655</v>
      </c>
      <c r="F222" s="58">
        <v>1100</v>
      </c>
      <c r="G222" s="50" t="s">
        <v>254</v>
      </c>
      <c r="H222" s="50" t="s">
        <v>1656</v>
      </c>
      <c r="I222" s="49" t="s">
        <v>107</v>
      </c>
      <c r="J222" s="50" t="s">
        <v>109</v>
      </c>
      <c r="K222" s="50" t="s">
        <v>109</v>
      </c>
      <c r="L222" s="50" t="s">
        <v>15</v>
      </c>
      <c r="M222" s="50" t="s">
        <v>10</v>
      </c>
      <c r="N222" s="50" t="s">
        <v>11</v>
      </c>
      <c r="O222" s="48" t="s">
        <v>632</v>
      </c>
      <c r="P222" s="45" t="s">
        <v>453</v>
      </c>
      <c r="Q222" s="35" t="str">
        <f>MID(Tabla1[[#This Row],[Aplicación]],14,1)</f>
        <v>2</v>
      </c>
      <c r="R222" s="35" t="s">
        <v>441</v>
      </c>
      <c r="S222" s="35" t="str">
        <f>MID(Tabla1[[#This Row],[Aplicación]],6,2)</f>
        <v>08</v>
      </c>
      <c r="T222" s="35" t="str">
        <f>VLOOKUP(Tabla1[[#This Row],[AREA]],Hoja1!A:B,2,FALSE)</f>
        <v>08. Movilidad y espacio urbano</v>
      </c>
      <c r="U222" s="35" t="str">
        <f>MID(Tabla1[[#This Row],[Aplicación]],9,4)</f>
        <v>1532</v>
      </c>
      <c r="V222" s="35" t="str">
        <f>VLOOKUP(Tabla1[[#This Row],[PROGRAMA]],Hoja1!A:B,2,FALSE)</f>
        <v>1532. Pavimentación vias públicas y otros servicios urbanísticos</v>
      </c>
      <c r="W222" s="35" t="str">
        <f>MID(Tabla1[[#This Row],[Aplicación]],14,2)</f>
        <v>22</v>
      </c>
      <c r="X222" s="35" t="str">
        <f>MID(Tabla1[[#This Row],[Aplicación]],14,6)</f>
        <v>22199</v>
      </c>
    </row>
    <row r="223" spans="1:24" x14ac:dyDescent="0.25">
      <c r="A223" s="49">
        <v>220219000579</v>
      </c>
      <c r="B223" s="50" t="s">
        <v>9</v>
      </c>
      <c r="C223" s="57">
        <v>44562</v>
      </c>
      <c r="D223" s="49">
        <v>22022000568</v>
      </c>
      <c r="E223" s="50" t="s">
        <v>1657</v>
      </c>
      <c r="F223" s="58">
        <v>236250</v>
      </c>
      <c r="G223" s="50" t="s">
        <v>101</v>
      </c>
      <c r="H223" s="50" t="s">
        <v>1658</v>
      </c>
      <c r="I223" s="49" t="s">
        <v>107</v>
      </c>
      <c r="J223" s="50" t="s">
        <v>109</v>
      </c>
      <c r="K223" s="50" t="s">
        <v>109</v>
      </c>
      <c r="L223" s="50" t="s">
        <v>12</v>
      </c>
      <c r="M223" s="50" t="s">
        <v>13</v>
      </c>
      <c r="N223" s="50" t="s">
        <v>14</v>
      </c>
      <c r="O223" s="48" t="s">
        <v>620</v>
      </c>
      <c r="P223" s="45" t="s">
        <v>453</v>
      </c>
      <c r="Q223" s="35" t="str">
        <f>MID(Tabla1[[#This Row],[Aplicación]],14,1)</f>
        <v>2</v>
      </c>
      <c r="R223" s="35" t="s">
        <v>441</v>
      </c>
      <c r="S223" s="35" t="str">
        <f>MID(Tabla1[[#This Row],[Aplicación]],6,2)</f>
        <v>04</v>
      </c>
      <c r="T223" s="35" t="str">
        <f>VLOOKUP(Tabla1[[#This Row],[AREA]],Hoja1!A:B,2,FALSE)</f>
        <v>04. Planificación y recursos</v>
      </c>
      <c r="U223" s="35" t="str">
        <f>MID(Tabla1[[#This Row],[Aplicación]],9,4)</f>
        <v>9231</v>
      </c>
      <c r="V223" s="35" t="str">
        <f>VLOOKUP(Tabla1[[#This Row],[PROGRAMA]],Hoja1!A:B,2,FALSE)</f>
        <v>9231. Información, registro y gestión del padrón</v>
      </c>
      <c r="W223" s="35" t="str">
        <f>MID(Tabla1[[#This Row],[Aplicación]],14,2)</f>
        <v>22</v>
      </c>
      <c r="X223" s="35" t="str">
        <f>MID(Tabla1[[#This Row],[Aplicación]],14,6)</f>
        <v>22799</v>
      </c>
    </row>
    <row r="224" spans="1:24" x14ac:dyDescent="0.25">
      <c r="A224" s="49">
        <v>220220008969</v>
      </c>
      <c r="B224" s="50" t="s">
        <v>9</v>
      </c>
      <c r="C224" s="57">
        <v>44635</v>
      </c>
      <c r="D224" s="49">
        <v>22022002570</v>
      </c>
      <c r="E224" s="50" t="s">
        <v>1659</v>
      </c>
      <c r="F224" s="58">
        <v>15609</v>
      </c>
      <c r="G224" s="50" t="s">
        <v>1660</v>
      </c>
      <c r="H224" s="50" t="s">
        <v>1661</v>
      </c>
      <c r="I224" s="49" t="s">
        <v>107</v>
      </c>
      <c r="J224" s="50" t="s">
        <v>108</v>
      </c>
      <c r="K224" s="50" t="s">
        <v>108</v>
      </c>
      <c r="L224" s="50" t="s">
        <v>12</v>
      </c>
      <c r="M224" s="50" t="s">
        <v>10</v>
      </c>
      <c r="N224" s="50" t="s">
        <v>11</v>
      </c>
      <c r="O224" s="48" t="s">
        <v>632</v>
      </c>
      <c r="P224" s="45" t="s">
        <v>453</v>
      </c>
      <c r="Q224" s="35" t="str">
        <f>MID(Tabla1[[#This Row],[Aplicación]],14,1)</f>
        <v>2</v>
      </c>
      <c r="R224" s="35" t="s">
        <v>441</v>
      </c>
      <c r="S224" s="35" t="str">
        <f>MID(Tabla1[[#This Row],[Aplicación]],6,2)</f>
        <v>05</v>
      </c>
      <c r="T224" s="35" t="str">
        <f>VLOOKUP(Tabla1[[#This Row],[AREA]],Hoja1!A:B,2,FALSE)</f>
        <v>05. Innovación, desarrollo económico, empleo y comercio</v>
      </c>
      <c r="U224" s="35" t="str">
        <f>MID(Tabla1[[#This Row],[Aplicación]],9,4)</f>
        <v>4331</v>
      </c>
      <c r="V224" s="35" t="str">
        <f>VLOOKUP(Tabla1[[#This Row],[PROGRAMA]],Hoja1!A:B,2,FALSE)</f>
        <v>4331. Desarrollo empresarial</v>
      </c>
      <c r="W224" s="35" t="str">
        <f>MID(Tabla1[[#This Row],[Aplicación]],14,2)</f>
        <v>22</v>
      </c>
      <c r="X224" s="35" t="str">
        <f>MID(Tabla1[[#This Row],[Aplicación]],14,6)</f>
        <v>22799</v>
      </c>
    </row>
    <row r="225" spans="1:24" x14ac:dyDescent="0.25">
      <c r="A225" s="49">
        <v>220220010180</v>
      </c>
      <c r="B225" s="50" t="s">
        <v>172</v>
      </c>
      <c r="C225" s="57">
        <v>44638</v>
      </c>
      <c r="D225" s="49">
        <v>22022000672</v>
      </c>
      <c r="E225" s="50" t="s">
        <v>1386</v>
      </c>
      <c r="F225" s="58">
        <v>236000</v>
      </c>
      <c r="G225" s="50" t="s">
        <v>1662</v>
      </c>
      <c r="H225" s="50" t="s">
        <v>1663</v>
      </c>
      <c r="I225" s="49" t="s">
        <v>173</v>
      </c>
      <c r="J225" s="50" t="s">
        <v>568</v>
      </c>
      <c r="K225" s="50" t="s">
        <v>108</v>
      </c>
      <c r="L225" s="50" t="s">
        <v>12</v>
      </c>
      <c r="M225" s="50" t="s">
        <v>13</v>
      </c>
      <c r="N225" s="50" t="s">
        <v>14</v>
      </c>
      <c r="O225" s="48" t="s">
        <v>620</v>
      </c>
      <c r="P225" s="45" t="s">
        <v>453</v>
      </c>
      <c r="Q225" s="35" t="str">
        <f>MID(Tabla1[[#This Row],[Aplicación]],14,1)</f>
        <v>2</v>
      </c>
      <c r="R225" s="35" t="s">
        <v>441</v>
      </c>
      <c r="S225" s="35" t="str">
        <f>MID(Tabla1[[#This Row],[Aplicación]],6,2)</f>
        <v>04</v>
      </c>
      <c r="T225" s="35" t="str">
        <f>VLOOKUP(Tabla1[[#This Row],[AREA]],Hoja1!A:B,2,FALSE)</f>
        <v>04. Planificación y recursos</v>
      </c>
      <c r="U225" s="35" t="str">
        <f>MID(Tabla1[[#This Row],[Aplicación]],9,4)</f>
        <v>9231</v>
      </c>
      <c r="V225" s="35" t="str">
        <f>VLOOKUP(Tabla1[[#This Row],[PROGRAMA]],Hoja1!A:B,2,FALSE)</f>
        <v>9231. Información, registro y gestión del padrón</v>
      </c>
      <c r="W225" s="35" t="str">
        <f>MID(Tabla1[[#This Row],[Aplicación]],14,2)</f>
        <v>22</v>
      </c>
      <c r="X225" s="35" t="str">
        <f>MID(Tabla1[[#This Row],[Aplicación]],14,6)</f>
        <v>22201</v>
      </c>
    </row>
    <row r="226" spans="1:24" x14ac:dyDescent="0.25">
      <c r="A226" s="49">
        <v>220220001789</v>
      </c>
      <c r="B226" s="50" t="s">
        <v>9</v>
      </c>
      <c r="C226" s="57">
        <v>44589</v>
      </c>
      <c r="D226" s="49">
        <v>22022001647</v>
      </c>
      <c r="E226" s="50" t="s">
        <v>1471</v>
      </c>
      <c r="F226" s="58">
        <v>7247.9</v>
      </c>
      <c r="G226" s="50" t="s">
        <v>71</v>
      </c>
      <c r="H226" s="50" t="s">
        <v>1664</v>
      </c>
      <c r="I226" s="49" t="s">
        <v>107</v>
      </c>
      <c r="J226" s="50" t="s">
        <v>136</v>
      </c>
      <c r="K226" s="50" t="s">
        <v>136</v>
      </c>
      <c r="L226" s="50" t="s">
        <v>12</v>
      </c>
      <c r="M226" s="50" t="s">
        <v>10</v>
      </c>
      <c r="N226" s="50" t="s">
        <v>11</v>
      </c>
      <c r="O226" s="48" t="s">
        <v>632</v>
      </c>
      <c r="P226" s="45" t="s">
        <v>453</v>
      </c>
      <c r="Q226" s="35" t="str">
        <f>MID(Tabla1[[#This Row],[Aplicación]],14,1)</f>
        <v>2</v>
      </c>
      <c r="R226" s="35" t="s">
        <v>441</v>
      </c>
      <c r="S226" s="35" t="str">
        <f>MID(Tabla1[[#This Row],[Aplicación]],6,2)</f>
        <v>11</v>
      </c>
      <c r="T226" s="35" t="str">
        <f>VLOOKUP(Tabla1[[#This Row],[AREA]],Hoja1!A:B,2,FALSE)</f>
        <v>11. Salud pública y seguridad ciudadana</v>
      </c>
      <c r="U226" s="35" t="str">
        <f>MID(Tabla1[[#This Row],[Aplicación]],9,4)</f>
        <v>1321</v>
      </c>
      <c r="V226" s="35" t="str">
        <f>VLOOKUP(Tabla1[[#This Row],[PROGRAMA]],Hoja1!A:B,2,FALSE)</f>
        <v>1321. Policía municipal</v>
      </c>
      <c r="W226" s="35" t="str">
        <f>MID(Tabla1[[#This Row],[Aplicación]],14,2)</f>
        <v>21</v>
      </c>
      <c r="X226" s="35" t="str">
        <f>MID(Tabla1[[#This Row],[Aplicación]],14,6)</f>
        <v>213</v>
      </c>
    </row>
    <row r="227" spans="1:24" x14ac:dyDescent="0.25">
      <c r="A227" s="49">
        <v>220219001225</v>
      </c>
      <c r="B227" s="50" t="s">
        <v>9</v>
      </c>
      <c r="C227" s="57">
        <v>44562</v>
      </c>
      <c r="D227" s="49">
        <v>22022002195</v>
      </c>
      <c r="E227" s="50" t="s">
        <v>1665</v>
      </c>
      <c r="F227" s="58">
        <v>15367</v>
      </c>
      <c r="G227" s="50" t="s">
        <v>651</v>
      </c>
      <c r="H227" s="50" t="s">
        <v>1666</v>
      </c>
      <c r="I227" s="49" t="s">
        <v>107</v>
      </c>
      <c r="J227" s="50" t="s">
        <v>109</v>
      </c>
      <c r="K227" s="50" t="s">
        <v>109</v>
      </c>
      <c r="L227" s="50" t="s">
        <v>12</v>
      </c>
      <c r="M227" s="50" t="s">
        <v>10</v>
      </c>
      <c r="N227" s="50" t="s">
        <v>11</v>
      </c>
      <c r="O227" s="48" t="s">
        <v>632</v>
      </c>
      <c r="P227" s="45" t="s">
        <v>453</v>
      </c>
      <c r="Q227" s="35" t="str">
        <f>MID(Tabla1[[#This Row],[Aplicación]],14,1)</f>
        <v>6</v>
      </c>
      <c r="R227" s="35" t="s">
        <v>442</v>
      </c>
      <c r="S227" s="35" t="str">
        <f>MID(Tabla1[[#This Row],[Aplicación]],6,2)</f>
        <v>02</v>
      </c>
      <c r="T227" s="35" t="str">
        <f>VLOOKUP(Tabla1[[#This Row],[AREA]],Hoja1!A:B,2,FALSE)</f>
        <v>02. Planeamiento urbanístico y vivienda</v>
      </c>
      <c r="U227" s="35" t="str">
        <f>MID(Tabla1[[#This Row],[Aplicación]],9,4)</f>
        <v>9332</v>
      </c>
      <c r="V227" s="35" t="str">
        <f>VLOOKUP(Tabla1[[#This Row],[PROGRAMA]],Hoja1!A:B,2,FALSE)</f>
        <v>9332. Mantenimiento de edificios e instalaciones municipales</v>
      </c>
      <c r="W227" s="35" t="str">
        <f>MID(Tabla1[[#This Row],[Aplicación]],14,2)</f>
        <v>63</v>
      </c>
      <c r="X227" s="35" t="str">
        <f>MID(Tabla1[[#This Row],[Aplicación]],14,6)</f>
        <v>632</v>
      </c>
    </row>
    <row r="228" spans="1:24" x14ac:dyDescent="0.25">
      <c r="A228" s="49">
        <v>220220005679</v>
      </c>
      <c r="B228" s="50" t="s">
        <v>172</v>
      </c>
      <c r="C228" s="57">
        <v>44614</v>
      </c>
      <c r="D228" s="49">
        <v>22022001453</v>
      </c>
      <c r="E228" s="50" t="s">
        <v>1608</v>
      </c>
      <c r="F228" s="58">
        <v>62.44</v>
      </c>
      <c r="G228" s="50" t="s">
        <v>203</v>
      </c>
      <c r="H228" s="50" t="s">
        <v>1667</v>
      </c>
      <c r="I228" s="49" t="s">
        <v>173</v>
      </c>
      <c r="J228" s="50" t="s">
        <v>539</v>
      </c>
      <c r="K228" s="50" t="s">
        <v>109</v>
      </c>
      <c r="L228" s="50" t="s">
        <v>12</v>
      </c>
      <c r="M228" s="50" t="s">
        <v>13</v>
      </c>
      <c r="N228" s="50" t="s">
        <v>14</v>
      </c>
      <c r="O228" s="48" t="s">
        <v>631</v>
      </c>
      <c r="P228" s="45" t="s">
        <v>453</v>
      </c>
      <c r="Q228" s="35" t="str">
        <f>MID(Tabla1[[#This Row],[Aplicación]],14,1)</f>
        <v>2</v>
      </c>
      <c r="R228" s="35" t="s">
        <v>441</v>
      </c>
      <c r="S228" s="35" t="str">
        <f>MID(Tabla1[[#This Row],[Aplicación]],6,2)</f>
        <v>11</v>
      </c>
      <c r="T228" s="35" t="str">
        <f>VLOOKUP(Tabla1[[#This Row],[AREA]],Hoja1!A:B,2,FALSE)</f>
        <v>11. Salud pública y seguridad ciudadana</v>
      </c>
      <c r="U228" s="35" t="str">
        <f>MID(Tabla1[[#This Row],[Aplicación]],9,4)</f>
        <v>1321</v>
      </c>
      <c r="V228" s="35" t="str">
        <f>VLOOKUP(Tabla1[[#This Row],[PROGRAMA]],Hoja1!A:B,2,FALSE)</f>
        <v>1321. Policía municipal</v>
      </c>
      <c r="W228" s="35" t="str">
        <f>MID(Tabla1[[#This Row],[Aplicación]],14,2)</f>
        <v>21</v>
      </c>
      <c r="X228" s="35" t="str">
        <f>MID(Tabla1[[#This Row],[Aplicación]],14,6)</f>
        <v>214</v>
      </c>
    </row>
    <row r="229" spans="1:24" x14ac:dyDescent="0.25">
      <c r="A229" s="49">
        <v>220220007945</v>
      </c>
      <c r="B229" s="50" t="s">
        <v>9</v>
      </c>
      <c r="C229" s="57">
        <v>44628</v>
      </c>
      <c r="D229" s="49">
        <v>22022002650</v>
      </c>
      <c r="E229" s="50" t="s">
        <v>1668</v>
      </c>
      <c r="F229" s="58">
        <v>684.03</v>
      </c>
      <c r="G229" s="50" t="s">
        <v>203</v>
      </c>
      <c r="H229" s="50" t="s">
        <v>1669</v>
      </c>
      <c r="I229" s="49" t="s">
        <v>107</v>
      </c>
      <c r="J229" s="50" t="s">
        <v>539</v>
      </c>
      <c r="K229" s="50" t="s">
        <v>109</v>
      </c>
      <c r="L229" s="50" t="s">
        <v>12</v>
      </c>
      <c r="M229" s="50" t="s">
        <v>13</v>
      </c>
      <c r="N229" s="50" t="s">
        <v>14</v>
      </c>
      <c r="O229" s="48" t="s">
        <v>631</v>
      </c>
      <c r="P229" s="45" t="s">
        <v>453</v>
      </c>
      <c r="Q229" s="35" t="str">
        <f>MID(Tabla1[[#This Row],[Aplicación]],14,1)</f>
        <v>2</v>
      </c>
      <c r="R229" s="35" t="s">
        <v>441</v>
      </c>
      <c r="S229" s="35" t="str">
        <f>MID(Tabla1[[#This Row],[Aplicación]],6,2)</f>
        <v>02</v>
      </c>
      <c r="T229" s="35" t="str">
        <f>VLOOKUP(Tabla1[[#This Row],[AREA]],Hoja1!A:B,2,FALSE)</f>
        <v>02. Planeamiento urbanístico y vivienda</v>
      </c>
      <c r="U229" s="35" t="str">
        <f>MID(Tabla1[[#This Row],[Aplicación]],9,4)</f>
        <v>9332</v>
      </c>
      <c r="V229" s="35" t="str">
        <f>VLOOKUP(Tabla1[[#This Row],[PROGRAMA]],Hoja1!A:B,2,FALSE)</f>
        <v>9332. Mantenimiento de edificios e instalaciones municipales</v>
      </c>
      <c r="W229" s="35" t="str">
        <f>MID(Tabla1[[#This Row],[Aplicación]],14,2)</f>
        <v>21</v>
      </c>
      <c r="X229" s="35" t="str">
        <f>MID(Tabla1[[#This Row],[Aplicación]],14,6)</f>
        <v>214</v>
      </c>
    </row>
    <row r="230" spans="1:24" x14ac:dyDescent="0.25">
      <c r="A230" s="49">
        <v>220220012740</v>
      </c>
      <c r="B230" s="50" t="s">
        <v>172</v>
      </c>
      <c r="C230" s="57">
        <v>44644</v>
      </c>
      <c r="D230" s="49">
        <v>22022001451</v>
      </c>
      <c r="E230" s="50" t="s">
        <v>1668</v>
      </c>
      <c r="F230" s="58">
        <v>191.93</v>
      </c>
      <c r="G230" s="50" t="s">
        <v>203</v>
      </c>
      <c r="H230" s="50" t="s">
        <v>1670</v>
      </c>
      <c r="I230" s="49" t="s">
        <v>173</v>
      </c>
      <c r="J230" s="50" t="s">
        <v>539</v>
      </c>
      <c r="K230" s="50" t="s">
        <v>109</v>
      </c>
      <c r="L230" s="50" t="s">
        <v>15</v>
      </c>
      <c r="M230" s="50" t="s">
        <v>13</v>
      </c>
      <c r="N230" s="50" t="s">
        <v>14</v>
      </c>
      <c r="O230" s="48" t="s">
        <v>631</v>
      </c>
      <c r="P230" s="45" t="s">
        <v>453</v>
      </c>
      <c r="Q230" s="35" t="str">
        <f>MID(Tabla1[[#This Row],[Aplicación]],14,1)</f>
        <v>2</v>
      </c>
      <c r="R230" s="35" t="s">
        <v>441</v>
      </c>
      <c r="S230" s="35" t="str">
        <f>MID(Tabla1[[#This Row],[Aplicación]],6,2)</f>
        <v>02</v>
      </c>
      <c r="T230" s="35" t="str">
        <f>VLOOKUP(Tabla1[[#This Row],[AREA]],Hoja1!A:B,2,FALSE)</f>
        <v>02. Planeamiento urbanístico y vivienda</v>
      </c>
      <c r="U230" s="35" t="str">
        <f>MID(Tabla1[[#This Row],[Aplicación]],9,4)</f>
        <v>9332</v>
      </c>
      <c r="V230" s="35" t="str">
        <f>VLOOKUP(Tabla1[[#This Row],[PROGRAMA]],Hoja1!A:B,2,FALSE)</f>
        <v>9332. Mantenimiento de edificios e instalaciones municipales</v>
      </c>
      <c r="W230" s="35" t="str">
        <f>MID(Tabla1[[#This Row],[Aplicación]],14,2)</f>
        <v>21</v>
      </c>
      <c r="X230" s="35" t="str">
        <f>MID(Tabla1[[#This Row],[Aplicación]],14,6)</f>
        <v>214</v>
      </c>
    </row>
    <row r="231" spans="1:24" x14ac:dyDescent="0.25">
      <c r="A231" s="49">
        <v>220220010324</v>
      </c>
      <c r="B231" s="50" t="s">
        <v>9</v>
      </c>
      <c r="C231" s="57">
        <v>44641</v>
      </c>
      <c r="D231" s="49">
        <v>22022002900</v>
      </c>
      <c r="E231" s="50" t="s">
        <v>1436</v>
      </c>
      <c r="F231" s="58">
        <v>598.95000000000005</v>
      </c>
      <c r="G231" s="50" t="s">
        <v>1052</v>
      </c>
      <c r="H231" s="50" t="s">
        <v>1671</v>
      </c>
      <c r="I231" s="49" t="s">
        <v>107</v>
      </c>
      <c r="J231" s="50" t="s">
        <v>109</v>
      </c>
      <c r="K231" s="50" t="s">
        <v>109</v>
      </c>
      <c r="L231" s="50" t="s">
        <v>12</v>
      </c>
      <c r="M231" s="50" t="s">
        <v>10</v>
      </c>
      <c r="N231" s="50" t="s">
        <v>11</v>
      </c>
      <c r="O231" s="48" t="s">
        <v>632</v>
      </c>
      <c r="P231" s="45" t="s">
        <v>453</v>
      </c>
      <c r="Q231" s="35" t="str">
        <f>MID(Tabla1[[#This Row],[Aplicación]],14,1)</f>
        <v>2</v>
      </c>
      <c r="R231" s="35" t="s">
        <v>441</v>
      </c>
      <c r="S231" s="35" t="str">
        <f>MID(Tabla1[[#This Row],[Aplicación]],6,2)</f>
        <v>03</v>
      </c>
      <c r="T231" s="35" t="str">
        <f>VLOOKUP(Tabla1[[#This Row],[AREA]],Hoja1!A:B,2,FALSE)</f>
        <v>03. Participación ciudadana y deportes</v>
      </c>
      <c r="U231" s="35" t="str">
        <f>MID(Tabla1[[#This Row],[Aplicación]],9,4)</f>
        <v>9241</v>
      </c>
      <c r="V231" s="35" t="str">
        <f>VLOOKUP(Tabla1[[#This Row],[PROGRAMA]],Hoja1!A:B,2,FALSE)</f>
        <v>9241. Participación ciudadana</v>
      </c>
      <c r="W231" s="35" t="str">
        <f>MID(Tabla1[[#This Row],[Aplicación]],14,2)</f>
        <v>22</v>
      </c>
      <c r="X231" s="35" t="str">
        <f>MID(Tabla1[[#This Row],[Aplicación]],14,6)</f>
        <v>22609</v>
      </c>
    </row>
    <row r="232" spans="1:24" x14ac:dyDescent="0.25">
      <c r="A232" s="49">
        <v>220220003936</v>
      </c>
      <c r="B232" s="50" t="s">
        <v>9</v>
      </c>
      <c r="C232" s="57">
        <v>44609</v>
      </c>
      <c r="D232" s="49">
        <v>22022001526</v>
      </c>
      <c r="E232" s="50" t="s">
        <v>1549</v>
      </c>
      <c r="F232" s="58">
        <v>2904</v>
      </c>
      <c r="G232" s="50" t="s">
        <v>215</v>
      </c>
      <c r="H232" s="50" t="s">
        <v>1672</v>
      </c>
      <c r="I232" s="49" t="s">
        <v>107</v>
      </c>
      <c r="J232" s="50" t="s">
        <v>109</v>
      </c>
      <c r="K232" s="50" t="s">
        <v>109</v>
      </c>
      <c r="L232" s="50" t="s">
        <v>15</v>
      </c>
      <c r="M232" s="50" t="s">
        <v>10</v>
      </c>
      <c r="N232" s="50" t="s">
        <v>11</v>
      </c>
      <c r="O232" s="48" t="s">
        <v>632</v>
      </c>
      <c r="P232" s="45" t="s">
        <v>453</v>
      </c>
      <c r="Q232" s="35" t="str">
        <f>MID(Tabla1[[#This Row],[Aplicación]],14,1)</f>
        <v>2</v>
      </c>
      <c r="R232" s="35" t="s">
        <v>441</v>
      </c>
      <c r="S232" s="35" t="str">
        <f>MID(Tabla1[[#This Row],[Aplicación]],6,2)</f>
        <v>08</v>
      </c>
      <c r="T232" s="35" t="str">
        <f>VLOOKUP(Tabla1[[#This Row],[AREA]],Hoja1!A:B,2,FALSE)</f>
        <v>08. Movilidad y espacio urbano</v>
      </c>
      <c r="U232" s="35" t="str">
        <f>MID(Tabla1[[#This Row],[Aplicación]],9,4)</f>
        <v>1532</v>
      </c>
      <c r="V232" s="35" t="str">
        <f>VLOOKUP(Tabla1[[#This Row],[PROGRAMA]],Hoja1!A:B,2,FALSE)</f>
        <v>1532. Pavimentación vias públicas y otros servicios urbanísticos</v>
      </c>
      <c r="W232" s="35" t="str">
        <f>MID(Tabla1[[#This Row],[Aplicación]],14,2)</f>
        <v>20</v>
      </c>
      <c r="X232" s="35" t="str">
        <f>MID(Tabla1[[#This Row],[Aplicación]],14,6)</f>
        <v>203</v>
      </c>
    </row>
    <row r="233" spans="1:24" x14ac:dyDescent="0.25">
      <c r="A233" s="49">
        <v>220220003526</v>
      </c>
      <c r="B233" s="50" t="s">
        <v>9</v>
      </c>
      <c r="C233" s="57">
        <v>44606</v>
      </c>
      <c r="D233" s="49">
        <v>22022002096</v>
      </c>
      <c r="E233" s="50" t="s">
        <v>1673</v>
      </c>
      <c r="F233" s="58">
        <v>9629.23</v>
      </c>
      <c r="G233" s="50" t="s">
        <v>191</v>
      </c>
      <c r="H233" s="50" t="s">
        <v>1674</v>
      </c>
      <c r="I233" s="49" t="s">
        <v>107</v>
      </c>
      <c r="J233" s="50" t="s">
        <v>109</v>
      </c>
      <c r="K233" s="50" t="s">
        <v>109</v>
      </c>
      <c r="L233" s="50" t="s">
        <v>12</v>
      </c>
      <c r="M233" s="50" t="s">
        <v>10</v>
      </c>
      <c r="N233" s="50" t="s">
        <v>11</v>
      </c>
      <c r="O233" s="48" t="s">
        <v>632</v>
      </c>
      <c r="P233" s="45" t="s">
        <v>453</v>
      </c>
      <c r="Q233" s="35" t="str">
        <f>MID(Tabla1[[#This Row],[Aplicación]],14,1)</f>
        <v>2</v>
      </c>
      <c r="R233" s="35" t="s">
        <v>441</v>
      </c>
      <c r="S233" s="35" t="str">
        <f>MID(Tabla1[[#This Row],[Aplicación]],6,2)</f>
        <v>06</v>
      </c>
      <c r="T233" s="35" t="str">
        <f>VLOOKUP(Tabla1[[#This Row],[AREA]],Hoja1!A:B,2,FALSE)</f>
        <v>06. Educación, infancia, juventud e igualdad</v>
      </c>
      <c r="U233" s="35" t="str">
        <f>MID(Tabla1[[#This Row],[Aplicación]],9,4)</f>
        <v>2315</v>
      </c>
      <c r="V233" s="35" t="str">
        <f>VLOOKUP(Tabla1[[#This Row],[PROGRAMA]],Hoja1!A:B,2,FALSE)</f>
        <v>2315. Políticas de Igualdad e infancia</v>
      </c>
      <c r="W233" s="35" t="str">
        <f>MID(Tabla1[[#This Row],[Aplicación]],14,2)</f>
        <v>22</v>
      </c>
      <c r="X233" s="35" t="str">
        <f>MID(Tabla1[[#This Row],[Aplicación]],14,6)</f>
        <v>22799</v>
      </c>
    </row>
    <row r="234" spans="1:24" x14ac:dyDescent="0.25">
      <c r="A234" s="49">
        <v>220220013282</v>
      </c>
      <c r="B234" s="50" t="s">
        <v>26</v>
      </c>
      <c r="C234" s="57">
        <v>44650</v>
      </c>
      <c r="D234" s="49">
        <v>22022002929</v>
      </c>
      <c r="E234" s="50" t="s">
        <v>1594</v>
      </c>
      <c r="F234" s="58">
        <v>235306.64</v>
      </c>
      <c r="G234" s="50" t="s">
        <v>1042</v>
      </c>
      <c r="H234" s="50" t="s">
        <v>1675</v>
      </c>
      <c r="I234" s="49" t="s">
        <v>1596</v>
      </c>
      <c r="J234" s="50" t="s">
        <v>109</v>
      </c>
      <c r="K234" s="50" t="s">
        <v>109</v>
      </c>
      <c r="L234" s="50" t="s">
        <v>12</v>
      </c>
      <c r="M234" s="50" t="s">
        <v>13</v>
      </c>
      <c r="N234" s="50" t="s">
        <v>14</v>
      </c>
      <c r="O234" s="48" t="s">
        <v>620</v>
      </c>
      <c r="P234" s="45" t="s">
        <v>453</v>
      </c>
      <c r="Q234" s="35" t="str">
        <f>MID(Tabla1[[#This Row],[Aplicación]],14,1)</f>
        <v>2</v>
      </c>
      <c r="R234" s="35" t="s">
        <v>441</v>
      </c>
      <c r="S234" s="35" t="str">
        <f>MID(Tabla1[[#This Row],[Aplicación]],6,2)</f>
        <v>07</v>
      </c>
      <c r="T234" s="35" t="str">
        <f>VLOOKUP(Tabla1[[#This Row],[AREA]],Hoja1!A:B,2,FALSE)</f>
        <v>07. Medio ambiente y desarrollo sostenible</v>
      </c>
      <c r="U234" s="35" t="str">
        <f>MID(Tabla1[[#This Row],[Aplicación]],9,4)</f>
        <v>1623</v>
      </c>
      <c r="V234" s="35" t="str">
        <f>VLOOKUP(Tabla1[[#This Row],[PROGRAMA]],Hoja1!A:B,2,FALSE)</f>
        <v>1623. Tratamiento de residuos</v>
      </c>
      <c r="W234" s="35" t="str">
        <f>MID(Tabla1[[#This Row],[Aplicación]],14,2)</f>
        <v>22</v>
      </c>
      <c r="X234" s="35" t="str">
        <f>MID(Tabla1[[#This Row],[Aplicación]],14,6)</f>
        <v>22700</v>
      </c>
    </row>
    <row r="235" spans="1:24" x14ac:dyDescent="0.25">
      <c r="A235" s="49">
        <v>220220009691</v>
      </c>
      <c r="B235" s="50" t="s">
        <v>172</v>
      </c>
      <c r="C235" s="57">
        <v>44637</v>
      </c>
      <c r="D235" s="49">
        <v>22022001940</v>
      </c>
      <c r="E235" s="50" t="s">
        <v>1676</v>
      </c>
      <c r="F235" s="58">
        <v>227483.54</v>
      </c>
      <c r="G235" s="50" t="s">
        <v>895</v>
      </c>
      <c r="H235" s="50" t="s">
        <v>1677</v>
      </c>
      <c r="I235" s="49" t="s">
        <v>173</v>
      </c>
      <c r="J235" s="50" t="s">
        <v>118</v>
      </c>
      <c r="K235" s="50" t="s">
        <v>118</v>
      </c>
      <c r="L235" s="50" t="s">
        <v>12</v>
      </c>
      <c r="M235" s="50" t="s">
        <v>13</v>
      </c>
      <c r="N235" s="50" t="s">
        <v>14</v>
      </c>
      <c r="O235" s="48" t="s">
        <v>620</v>
      </c>
      <c r="P235" s="45" t="s">
        <v>453</v>
      </c>
      <c r="Q235" s="35" t="str">
        <f>MID(Tabla1[[#This Row],[Aplicación]],14,1)</f>
        <v>6</v>
      </c>
      <c r="R235" s="35" t="s">
        <v>442</v>
      </c>
      <c r="S235" s="35" t="str">
        <f>MID(Tabla1[[#This Row],[Aplicación]],6,2)</f>
        <v>04</v>
      </c>
      <c r="T235" s="35" t="str">
        <f>VLOOKUP(Tabla1[[#This Row],[AREA]],Hoja1!A:B,2,FALSE)</f>
        <v>04. Planificación y recursos</v>
      </c>
      <c r="U235" s="35" t="str">
        <f>MID(Tabla1[[#This Row],[Aplicación]],9,4)</f>
        <v>9204</v>
      </c>
      <c r="V235" s="35" t="str">
        <f>VLOOKUP(Tabla1[[#This Row],[PROGRAMA]],Hoja1!A:B,2,FALSE)</f>
        <v>9204. Tecnologías de la información y comunicación</v>
      </c>
      <c r="W235" s="35" t="str">
        <f>MID(Tabla1[[#This Row],[Aplicación]],14,2)</f>
        <v>64</v>
      </c>
      <c r="X235" s="35" t="str">
        <f>MID(Tabla1[[#This Row],[Aplicación]],14,6)</f>
        <v>641</v>
      </c>
    </row>
    <row r="236" spans="1:24" x14ac:dyDescent="0.25">
      <c r="A236" s="49">
        <v>220219000580</v>
      </c>
      <c r="B236" s="50" t="s">
        <v>9</v>
      </c>
      <c r="C236" s="57">
        <v>44562</v>
      </c>
      <c r="D236" s="49">
        <v>22022000569</v>
      </c>
      <c r="E236" s="50" t="s">
        <v>1408</v>
      </c>
      <c r="F236" s="58">
        <v>227475.7</v>
      </c>
      <c r="G236" s="50" t="s">
        <v>161</v>
      </c>
      <c r="H236" s="50" t="s">
        <v>1678</v>
      </c>
      <c r="I236" s="49" t="s">
        <v>107</v>
      </c>
      <c r="J236" s="50" t="s">
        <v>108</v>
      </c>
      <c r="K236" s="50" t="s">
        <v>108</v>
      </c>
      <c r="L236" s="50" t="s">
        <v>12</v>
      </c>
      <c r="M236" s="50" t="s">
        <v>13</v>
      </c>
      <c r="N236" s="50" t="s">
        <v>14</v>
      </c>
      <c r="O236" s="48" t="s">
        <v>620</v>
      </c>
      <c r="P236" s="45" t="s">
        <v>453</v>
      </c>
      <c r="Q236" s="35" t="str">
        <f>MID(Tabla1[[#This Row],[Aplicación]],14,1)</f>
        <v>2</v>
      </c>
      <c r="R236" s="35" t="s">
        <v>441</v>
      </c>
      <c r="S236" s="35" t="str">
        <f>MID(Tabla1[[#This Row],[Aplicación]],6,2)</f>
        <v>04</v>
      </c>
      <c r="T236" s="35" t="str">
        <f>VLOOKUP(Tabla1[[#This Row],[AREA]],Hoja1!A:B,2,FALSE)</f>
        <v>04. Planificación y recursos</v>
      </c>
      <c r="U236" s="35" t="str">
        <f>MID(Tabla1[[#This Row],[Aplicación]],9,4)</f>
        <v>9204</v>
      </c>
      <c r="V236" s="35" t="str">
        <f>VLOOKUP(Tabla1[[#This Row],[PROGRAMA]],Hoja1!A:B,2,FALSE)</f>
        <v>9204. Tecnologías de la información y comunicación</v>
      </c>
      <c r="W236" s="35" t="str">
        <f>MID(Tabla1[[#This Row],[Aplicación]],14,2)</f>
        <v>21</v>
      </c>
      <c r="X236" s="35" t="str">
        <f>MID(Tabla1[[#This Row],[Aplicación]],14,6)</f>
        <v>216</v>
      </c>
    </row>
    <row r="237" spans="1:24" x14ac:dyDescent="0.25">
      <c r="A237" s="49">
        <v>220220009348</v>
      </c>
      <c r="B237" s="50" t="s">
        <v>9</v>
      </c>
      <c r="C237" s="57">
        <v>44636</v>
      </c>
      <c r="D237" s="49">
        <v>22022002708</v>
      </c>
      <c r="E237" s="50" t="s">
        <v>1488</v>
      </c>
      <c r="F237" s="58">
        <v>308.26</v>
      </c>
      <c r="G237" s="50" t="s">
        <v>1679</v>
      </c>
      <c r="H237" s="50" t="s">
        <v>1680</v>
      </c>
      <c r="I237" s="49" t="s">
        <v>107</v>
      </c>
      <c r="J237" s="50" t="s">
        <v>567</v>
      </c>
      <c r="K237" s="50" t="s">
        <v>108</v>
      </c>
      <c r="L237" s="50" t="s">
        <v>15</v>
      </c>
      <c r="M237" s="50" t="s">
        <v>10</v>
      </c>
      <c r="N237" s="50" t="s">
        <v>11</v>
      </c>
      <c r="O237" s="48" t="s">
        <v>632</v>
      </c>
      <c r="P237" s="45" t="s">
        <v>453</v>
      </c>
      <c r="Q237" s="35" t="str">
        <f>MID(Tabla1[[#This Row],[Aplicación]],14,1)</f>
        <v>2</v>
      </c>
      <c r="R237" s="35" t="s">
        <v>441</v>
      </c>
      <c r="S237" s="35" t="str">
        <f>MID(Tabla1[[#This Row],[Aplicación]],6,2)</f>
        <v>10</v>
      </c>
      <c r="T237" s="35" t="str">
        <f>VLOOKUP(Tabla1[[#This Row],[AREA]],Hoja1!A:B,2,FALSE)</f>
        <v>10. Servicios sociales y mediación comunitaria</v>
      </c>
      <c r="U237" s="35" t="str">
        <f>MID(Tabla1[[#This Row],[Aplicación]],9,4)</f>
        <v>2312</v>
      </c>
      <c r="V237" s="35" t="str">
        <f>VLOOKUP(Tabla1[[#This Row],[PROGRAMA]],Hoja1!A:B,2,FALSE)</f>
        <v>2312. Iniciativas sociales</v>
      </c>
      <c r="W237" s="35" t="str">
        <f>MID(Tabla1[[#This Row],[Aplicación]],14,2)</f>
        <v>21</v>
      </c>
      <c r="X237" s="35" t="str">
        <f>MID(Tabla1[[#This Row],[Aplicación]],14,6)</f>
        <v>213</v>
      </c>
    </row>
    <row r="238" spans="1:24" x14ac:dyDescent="0.25">
      <c r="A238" s="49">
        <v>220220009364</v>
      </c>
      <c r="B238" s="50" t="s">
        <v>9</v>
      </c>
      <c r="C238" s="57">
        <v>44636</v>
      </c>
      <c r="D238" s="49">
        <v>22022002836</v>
      </c>
      <c r="E238" s="50" t="s">
        <v>1606</v>
      </c>
      <c r="F238" s="58">
        <v>193.6</v>
      </c>
      <c r="G238" s="50" t="s">
        <v>652</v>
      </c>
      <c r="H238" s="50" t="s">
        <v>1681</v>
      </c>
      <c r="I238" s="49" t="s">
        <v>107</v>
      </c>
      <c r="J238" s="50" t="s">
        <v>109</v>
      </c>
      <c r="K238" s="50" t="s">
        <v>109</v>
      </c>
      <c r="L238" s="50" t="s">
        <v>15</v>
      </c>
      <c r="M238" s="50" t="s">
        <v>10</v>
      </c>
      <c r="N238" s="50" t="s">
        <v>11</v>
      </c>
      <c r="O238" s="48" t="s">
        <v>632</v>
      </c>
      <c r="P238" s="45" t="s">
        <v>453</v>
      </c>
      <c r="Q238" s="35" t="str">
        <f>MID(Tabla1[[#This Row],[Aplicación]],14,1)</f>
        <v>2</v>
      </c>
      <c r="R238" s="35" t="s">
        <v>441</v>
      </c>
      <c r="S238" s="35" t="str">
        <f>MID(Tabla1[[#This Row],[Aplicación]],6,2)</f>
        <v>11</v>
      </c>
      <c r="T238" s="35" t="str">
        <f>VLOOKUP(Tabla1[[#This Row],[AREA]],Hoja1!A:B,2,FALSE)</f>
        <v>11. Salud pública y seguridad ciudadana</v>
      </c>
      <c r="U238" s="35" t="str">
        <f>MID(Tabla1[[#This Row],[Aplicación]],9,4)</f>
        <v>1361</v>
      </c>
      <c r="V238" s="35" t="str">
        <f>VLOOKUP(Tabla1[[#This Row],[PROGRAMA]],Hoja1!A:B,2,FALSE)</f>
        <v>1361. Prevención y extinción de incencios</v>
      </c>
      <c r="W238" s="35" t="str">
        <f>MID(Tabla1[[#This Row],[Aplicación]],14,2)</f>
        <v>22</v>
      </c>
      <c r="X238" s="35" t="str">
        <f>MID(Tabla1[[#This Row],[Aplicación]],14,6)</f>
        <v>22199</v>
      </c>
    </row>
    <row r="239" spans="1:24" x14ac:dyDescent="0.25">
      <c r="A239" s="49">
        <v>220220002283</v>
      </c>
      <c r="B239" s="50" t="s">
        <v>9</v>
      </c>
      <c r="C239" s="57">
        <v>44593</v>
      </c>
      <c r="D239" s="49">
        <v>22022001630</v>
      </c>
      <c r="E239" s="50" t="s">
        <v>1629</v>
      </c>
      <c r="F239" s="58">
        <v>5600</v>
      </c>
      <c r="G239" s="50" t="s">
        <v>59</v>
      </c>
      <c r="H239" s="50" t="s">
        <v>1682</v>
      </c>
      <c r="I239" s="49" t="s">
        <v>107</v>
      </c>
      <c r="J239" s="50" t="s">
        <v>151</v>
      </c>
      <c r="K239" s="50" t="s">
        <v>151</v>
      </c>
      <c r="L239" s="50" t="s">
        <v>12</v>
      </c>
      <c r="M239" s="50" t="s">
        <v>10</v>
      </c>
      <c r="N239" s="50" t="s">
        <v>11</v>
      </c>
      <c r="O239" s="48" t="s">
        <v>632</v>
      </c>
      <c r="P239" s="45" t="s">
        <v>453</v>
      </c>
      <c r="Q239" s="35" t="str">
        <f>MID(Tabla1[[#This Row],[Aplicación]],14,1)</f>
        <v>2</v>
      </c>
      <c r="R239" s="35" t="s">
        <v>441</v>
      </c>
      <c r="S239" s="35" t="str">
        <f>MID(Tabla1[[#This Row],[Aplicación]],6,2)</f>
        <v>06</v>
      </c>
      <c r="T239" s="35" t="str">
        <f>VLOOKUP(Tabla1[[#This Row],[AREA]],Hoja1!A:B,2,FALSE)</f>
        <v>06. Educación, infancia, juventud e igualdad</v>
      </c>
      <c r="U239" s="35" t="str">
        <f>MID(Tabla1[[#This Row],[Aplicación]],9,4)</f>
        <v>2315</v>
      </c>
      <c r="V239" s="35" t="str">
        <f>VLOOKUP(Tabla1[[#This Row],[PROGRAMA]],Hoja1!A:B,2,FALSE)</f>
        <v>2315. Políticas de Igualdad e infancia</v>
      </c>
      <c r="W239" s="35" t="str">
        <f>MID(Tabla1[[#This Row],[Aplicación]],14,2)</f>
        <v>22</v>
      </c>
      <c r="X239" s="35" t="str">
        <f>MID(Tabla1[[#This Row],[Aplicación]],14,6)</f>
        <v>22611</v>
      </c>
    </row>
    <row r="240" spans="1:24" x14ac:dyDescent="0.25">
      <c r="A240" s="49">
        <v>220209000526</v>
      </c>
      <c r="B240" s="50" t="s">
        <v>9</v>
      </c>
      <c r="C240" s="57">
        <v>44562</v>
      </c>
      <c r="D240" s="49">
        <v>22022000207</v>
      </c>
      <c r="E240" s="50" t="s">
        <v>1683</v>
      </c>
      <c r="F240" s="58">
        <v>213098.76</v>
      </c>
      <c r="G240" s="50" t="s">
        <v>1354</v>
      </c>
      <c r="H240" s="50" t="s">
        <v>809</v>
      </c>
      <c r="I240" s="49" t="s">
        <v>107</v>
      </c>
      <c r="J240" s="50" t="s">
        <v>108</v>
      </c>
      <c r="K240" s="50" t="s">
        <v>108</v>
      </c>
      <c r="L240" s="50" t="s">
        <v>12</v>
      </c>
      <c r="M240" s="50" t="s">
        <v>13</v>
      </c>
      <c r="N240" s="50" t="s">
        <v>14</v>
      </c>
      <c r="O240" s="48" t="s">
        <v>620</v>
      </c>
      <c r="P240" s="45" t="s">
        <v>453</v>
      </c>
      <c r="Q240" s="35" t="str">
        <f>MID(Tabla1[[#This Row],[Aplicación]],14,1)</f>
        <v>2</v>
      </c>
      <c r="R240" s="35" t="s">
        <v>441</v>
      </c>
      <c r="S240" s="35" t="str">
        <f>MID(Tabla1[[#This Row],[Aplicación]],6,2)</f>
        <v>06</v>
      </c>
      <c r="T240" s="35" t="str">
        <f>VLOOKUP(Tabla1[[#This Row],[AREA]],Hoja1!A:B,2,FALSE)</f>
        <v>06. Educación, infancia, juventud e igualdad</v>
      </c>
      <c r="U240" s="35" t="str">
        <f>MID(Tabla1[[#This Row],[Aplicación]],9,4)</f>
        <v>3231</v>
      </c>
      <c r="V240" s="35" t="str">
        <f>VLOOKUP(Tabla1[[#This Row],[PROGRAMA]],Hoja1!A:B,2,FALSE)</f>
        <v>3231. Escuelas infantiles</v>
      </c>
      <c r="W240" s="35" t="str">
        <f>MID(Tabla1[[#This Row],[Aplicación]],14,2)</f>
        <v>22</v>
      </c>
      <c r="X240" s="35" t="str">
        <f>MID(Tabla1[[#This Row],[Aplicación]],14,6)</f>
        <v>22700</v>
      </c>
    </row>
    <row r="241" spans="1:24" x14ac:dyDescent="0.25">
      <c r="A241" s="49">
        <v>220220000108</v>
      </c>
      <c r="B241" s="50" t="s">
        <v>9</v>
      </c>
      <c r="C241" s="57">
        <v>44581</v>
      </c>
      <c r="D241" s="49">
        <v>22022001205</v>
      </c>
      <c r="E241" s="50" t="s">
        <v>1684</v>
      </c>
      <c r="F241" s="58">
        <v>4840</v>
      </c>
      <c r="G241" s="50" t="s">
        <v>239</v>
      </c>
      <c r="H241" s="50" t="s">
        <v>1685</v>
      </c>
      <c r="I241" s="49" t="s">
        <v>107</v>
      </c>
      <c r="J241" s="50" t="s">
        <v>532</v>
      </c>
      <c r="K241" s="50" t="s">
        <v>108</v>
      </c>
      <c r="L241" s="50" t="s">
        <v>15</v>
      </c>
      <c r="M241" s="50" t="s">
        <v>10</v>
      </c>
      <c r="N241" s="50" t="s">
        <v>11</v>
      </c>
      <c r="O241" s="48" t="s">
        <v>632</v>
      </c>
      <c r="P241" s="45" t="s">
        <v>453</v>
      </c>
      <c r="Q241" s="35" t="str">
        <f>MID(Tabla1[[#This Row],[Aplicación]],14,1)</f>
        <v>2</v>
      </c>
      <c r="R241" s="35" t="s">
        <v>441</v>
      </c>
      <c r="S241" s="35" t="str">
        <f>MID(Tabla1[[#This Row],[Aplicación]],6,2)</f>
        <v>01</v>
      </c>
      <c r="T241" s="35" t="str">
        <f>VLOOKUP(Tabla1[[#This Row],[AREA]],Hoja1!A:B,2,FALSE)</f>
        <v>01. Alcaldía</v>
      </c>
      <c r="U241" s="35" t="str">
        <f>MID(Tabla1[[#This Row],[Aplicación]],9,4)</f>
        <v>9205</v>
      </c>
      <c r="V241" s="35" t="str">
        <f>VLOOKUP(Tabla1[[#This Row],[PROGRAMA]],Hoja1!A:B,2,FALSE)</f>
        <v>9205. Imprenta municipal</v>
      </c>
      <c r="W241" s="35" t="str">
        <f>MID(Tabla1[[#This Row],[Aplicación]],14,2)</f>
        <v>22</v>
      </c>
      <c r="X241" s="35" t="str">
        <f>MID(Tabla1[[#This Row],[Aplicación]],14,6)</f>
        <v>22199</v>
      </c>
    </row>
    <row r="242" spans="1:24" x14ac:dyDescent="0.25">
      <c r="A242" s="49">
        <v>220219001233</v>
      </c>
      <c r="B242" s="50" t="s">
        <v>9</v>
      </c>
      <c r="C242" s="57">
        <v>44562</v>
      </c>
      <c r="D242" s="49">
        <v>22022001482</v>
      </c>
      <c r="E242" s="50" t="s">
        <v>1593</v>
      </c>
      <c r="F242" s="58">
        <v>212499.6</v>
      </c>
      <c r="G242" s="50" t="s">
        <v>924</v>
      </c>
      <c r="H242" s="50" t="s">
        <v>1329</v>
      </c>
      <c r="I242" s="49" t="s">
        <v>107</v>
      </c>
      <c r="J242" s="50" t="s">
        <v>108</v>
      </c>
      <c r="K242" s="50" t="s">
        <v>108</v>
      </c>
      <c r="L242" s="50" t="s">
        <v>12</v>
      </c>
      <c r="M242" s="50" t="s">
        <v>13</v>
      </c>
      <c r="N242" s="50" t="s">
        <v>14</v>
      </c>
      <c r="O242" s="48" t="s">
        <v>620</v>
      </c>
      <c r="P242" s="45" t="s">
        <v>453</v>
      </c>
      <c r="Q242" s="35" t="str">
        <f>MID(Tabla1[[#This Row],[Aplicación]],14,1)</f>
        <v>6</v>
      </c>
      <c r="R242" s="35" t="s">
        <v>442</v>
      </c>
      <c r="S242" s="35" t="str">
        <f>MID(Tabla1[[#This Row],[Aplicación]],6,2)</f>
        <v>07</v>
      </c>
      <c r="T242" s="35" t="str">
        <f>VLOOKUP(Tabla1[[#This Row],[AREA]],Hoja1!A:B,2,FALSE)</f>
        <v>07. Medio ambiente y desarrollo sostenible</v>
      </c>
      <c r="U242" s="35" t="str">
        <f>MID(Tabla1[[#This Row],[Aplicación]],9,4)</f>
        <v>1711</v>
      </c>
      <c r="V242" s="35" t="str">
        <f>VLOOKUP(Tabla1[[#This Row],[PROGRAMA]],Hoja1!A:B,2,FALSE)</f>
        <v>1711. Parques y jardines</v>
      </c>
      <c r="W242" s="35" t="str">
        <f>MID(Tabla1[[#This Row],[Aplicación]],14,2)</f>
        <v>61</v>
      </c>
      <c r="X242" s="35" t="str">
        <f>MID(Tabla1[[#This Row],[Aplicación]],14,6)</f>
        <v>619</v>
      </c>
    </row>
    <row r="243" spans="1:24" x14ac:dyDescent="0.25">
      <c r="A243" s="49">
        <v>220219000914</v>
      </c>
      <c r="B243" s="50" t="s">
        <v>9</v>
      </c>
      <c r="C243" s="57">
        <v>44562</v>
      </c>
      <c r="D243" s="49">
        <v>22022000110</v>
      </c>
      <c r="E243" s="50" t="s">
        <v>1686</v>
      </c>
      <c r="F243" s="58">
        <v>95000</v>
      </c>
      <c r="G243" s="50" t="s">
        <v>38</v>
      </c>
      <c r="H243" s="50" t="s">
        <v>1687</v>
      </c>
      <c r="I243" s="49" t="s">
        <v>107</v>
      </c>
      <c r="J243" s="50" t="s">
        <v>129</v>
      </c>
      <c r="K243" s="50" t="s">
        <v>170</v>
      </c>
      <c r="L243" s="50" t="s">
        <v>15</v>
      </c>
      <c r="M243" s="50" t="s">
        <v>13</v>
      </c>
      <c r="N243" s="50" t="s">
        <v>14</v>
      </c>
      <c r="O243" s="48" t="s">
        <v>620</v>
      </c>
      <c r="P243" s="45" t="s">
        <v>453</v>
      </c>
      <c r="Q243" s="35" t="str">
        <f>MID(Tabla1[[#This Row],[Aplicación]],14,1)</f>
        <v>2</v>
      </c>
      <c r="R243" s="35" t="s">
        <v>441</v>
      </c>
      <c r="S243" s="35" t="str">
        <f>MID(Tabla1[[#This Row],[Aplicación]],6,2)</f>
        <v>10</v>
      </c>
      <c r="T243" s="35" t="str">
        <f>VLOOKUP(Tabla1[[#This Row],[AREA]],Hoja1!A:B,2,FALSE)</f>
        <v>10. Servicios sociales y mediación comunitaria</v>
      </c>
      <c r="U243" s="35" t="str">
        <f>MID(Tabla1[[#This Row],[Aplicación]],9,4)</f>
        <v>2312</v>
      </c>
      <c r="V243" s="35" t="str">
        <f>VLOOKUP(Tabla1[[#This Row],[PROGRAMA]],Hoja1!A:B,2,FALSE)</f>
        <v>2312. Iniciativas sociales</v>
      </c>
      <c r="W243" s="35" t="str">
        <f>MID(Tabla1[[#This Row],[Aplicación]],14,2)</f>
        <v>22</v>
      </c>
      <c r="X243" s="35" t="str">
        <f>MID(Tabla1[[#This Row],[Aplicación]],14,6)</f>
        <v>22100</v>
      </c>
    </row>
    <row r="244" spans="1:24" x14ac:dyDescent="0.25">
      <c r="A244" s="49">
        <v>220219000920</v>
      </c>
      <c r="B244" s="50" t="s">
        <v>9</v>
      </c>
      <c r="C244" s="57">
        <v>44562</v>
      </c>
      <c r="D244" s="49">
        <v>22022000116</v>
      </c>
      <c r="E244" s="50" t="s">
        <v>1688</v>
      </c>
      <c r="F244" s="58">
        <v>95000</v>
      </c>
      <c r="G244" s="50" t="s">
        <v>38</v>
      </c>
      <c r="H244" s="50" t="s">
        <v>1689</v>
      </c>
      <c r="I244" s="49" t="s">
        <v>107</v>
      </c>
      <c r="J244" s="50" t="s">
        <v>129</v>
      </c>
      <c r="K244" s="50" t="s">
        <v>170</v>
      </c>
      <c r="L244" s="50" t="s">
        <v>15</v>
      </c>
      <c r="M244" s="50" t="s">
        <v>13</v>
      </c>
      <c r="N244" s="50" t="s">
        <v>14</v>
      </c>
      <c r="O244" s="48" t="s">
        <v>620</v>
      </c>
      <c r="P244" s="45" t="s">
        <v>453</v>
      </c>
      <c r="Q244" s="35" t="str">
        <f>MID(Tabla1[[#This Row],[Aplicación]],14,1)</f>
        <v>2</v>
      </c>
      <c r="R244" s="35" t="s">
        <v>441</v>
      </c>
      <c r="S244" s="35" t="str">
        <f>MID(Tabla1[[#This Row],[Aplicación]],6,2)</f>
        <v>11</v>
      </c>
      <c r="T244" s="35" t="str">
        <f>VLOOKUP(Tabla1[[#This Row],[AREA]],Hoja1!A:B,2,FALSE)</f>
        <v>11. Salud pública y seguridad ciudadana</v>
      </c>
      <c r="U244" s="35" t="str">
        <f>MID(Tabla1[[#This Row],[Aplicación]],9,4)</f>
        <v>1321</v>
      </c>
      <c r="V244" s="35" t="str">
        <f>VLOOKUP(Tabla1[[#This Row],[PROGRAMA]],Hoja1!A:B,2,FALSE)</f>
        <v>1321. Policía municipal</v>
      </c>
      <c r="W244" s="35" t="str">
        <f>MID(Tabla1[[#This Row],[Aplicación]],14,2)</f>
        <v>22</v>
      </c>
      <c r="X244" s="35" t="str">
        <f>MID(Tabla1[[#This Row],[Aplicación]],14,6)</f>
        <v>22100</v>
      </c>
    </row>
    <row r="245" spans="1:24" x14ac:dyDescent="0.25">
      <c r="A245" s="49">
        <v>220209000786</v>
      </c>
      <c r="B245" s="50" t="s">
        <v>9</v>
      </c>
      <c r="C245" s="57">
        <v>44562</v>
      </c>
      <c r="D245" s="49">
        <v>22022000310</v>
      </c>
      <c r="E245" s="50" t="s">
        <v>1637</v>
      </c>
      <c r="F245" s="58">
        <v>209649.57</v>
      </c>
      <c r="G245" s="50" t="s">
        <v>155</v>
      </c>
      <c r="H245" s="50" t="s">
        <v>722</v>
      </c>
      <c r="I245" s="49" t="s">
        <v>107</v>
      </c>
      <c r="J245" s="50" t="s">
        <v>109</v>
      </c>
      <c r="K245" s="50" t="s">
        <v>109</v>
      </c>
      <c r="L245" s="50" t="s">
        <v>12</v>
      </c>
      <c r="M245" s="50" t="s">
        <v>13</v>
      </c>
      <c r="N245" s="50" t="s">
        <v>14</v>
      </c>
      <c r="O245" s="48" t="s">
        <v>620</v>
      </c>
      <c r="P245" s="45" t="s">
        <v>453</v>
      </c>
      <c r="Q245" s="35" t="str">
        <f>MID(Tabla1[[#This Row],[Aplicación]],14,1)</f>
        <v>2</v>
      </c>
      <c r="R245" s="35" t="s">
        <v>441</v>
      </c>
      <c r="S245" s="35" t="str">
        <f>MID(Tabla1[[#This Row],[Aplicación]],6,2)</f>
        <v>06</v>
      </c>
      <c r="T245" s="35" t="str">
        <f>VLOOKUP(Tabla1[[#This Row],[AREA]],Hoja1!A:B,2,FALSE)</f>
        <v>06. Educación, infancia, juventud e igualdad</v>
      </c>
      <c r="U245" s="35" t="str">
        <f>MID(Tabla1[[#This Row],[Aplicación]],9,4)</f>
        <v>2314</v>
      </c>
      <c r="V245" s="35" t="str">
        <f>VLOOKUP(Tabla1[[#This Row],[PROGRAMA]],Hoja1!A:B,2,FALSE)</f>
        <v>2314. Centro de programas juveniles</v>
      </c>
      <c r="W245" s="35" t="str">
        <f>MID(Tabla1[[#This Row],[Aplicación]],14,2)</f>
        <v>22</v>
      </c>
      <c r="X245" s="35" t="str">
        <f>MID(Tabla1[[#This Row],[Aplicación]],14,6)</f>
        <v>22799</v>
      </c>
    </row>
    <row r="246" spans="1:24" x14ac:dyDescent="0.25">
      <c r="A246" s="49">
        <v>220219000699</v>
      </c>
      <c r="B246" s="50" t="s">
        <v>9</v>
      </c>
      <c r="C246" s="57">
        <v>44562</v>
      </c>
      <c r="D246" s="49">
        <v>22022002004</v>
      </c>
      <c r="E246" s="50" t="s">
        <v>1652</v>
      </c>
      <c r="F246" s="58">
        <v>206086.54</v>
      </c>
      <c r="G246" s="50" t="s">
        <v>930</v>
      </c>
      <c r="H246" s="50" t="s">
        <v>1690</v>
      </c>
      <c r="I246" s="49" t="s">
        <v>107</v>
      </c>
      <c r="J246" s="50" t="s">
        <v>109</v>
      </c>
      <c r="K246" s="50" t="s">
        <v>109</v>
      </c>
      <c r="L246" s="50" t="s">
        <v>25</v>
      </c>
      <c r="M246" s="50" t="s">
        <v>13</v>
      </c>
      <c r="N246" s="50" t="s">
        <v>14</v>
      </c>
      <c r="O246" s="48" t="s">
        <v>620</v>
      </c>
      <c r="P246" s="45" t="s">
        <v>453</v>
      </c>
      <c r="Q246" s="35" t="str">
        <f>MID(Tabla1[[#This Row],[Aplicación]],14,1)</f>
        <v>6</v>
      </c>
      <c r="R246" s="35" t="s">
        <v>442</v>
      </c>
      <c r="S246" s="35" t="str">
        <f>MID(Tabla1[[#This Row],[Aplicación]],6,2)</f>
        <v>09</v>
      </c>
      <c r="T246" s="35" t="str">
        <f>VLOOKUP(Tabla1[[#This Row],[AREA]],Hoja1!A:B,2,FALSE)</f>
        <v>09. Cultura y turismo</v>
      </c>
      <c r="U246" s="35" t="str">
        <f>MID(Tabla1[[#This Row],[Aplicación]],9,4)</f>
        <v>3341</v>
      </c>
      <c r="V246" s="35" t="str">
        <f>VLOOKUP(Tabla1[[#This Row],[PROGRAMA]],Hoja1!A:B,2,FALSE)</f>
        <v>3341. Coordinación de políticas culturales</v>
      </c>
      <c r="W246" s="35" t="str">
        <f>MID(Tabla1[[#This Row],[Aplicación]],14,2)</f>
        <v>63</v>
      </c>
      <c r="X246" s="35" t="str">
        <f>MID(Tabla1[[#This Row],[Aplicación]],14,6)</f>
        <v>632</v>
      </c>
    </row>
    <row r="247" spans="1:24" x14ac:dyDescent="0.25">
      <c r="A247" s="49">
        <v>220210056320</v>
      </c>
      <c r="B247" s="50" t="s">
        <v>9</v>
      </c>
      <c r="C247" s="57">
        <v>44620</v>
      </c>
      <c r="D247" s="49">
        <v>22021005190</v>
      </c>
      <c r="E247" s="50" t="s">
        <v>1383</v>
      </c>
      <c r="F247" s="58">
        <v>200779.08</v>
      </c>
      <c r="G247" s="50" t="s">
        <v>186</v>
      </c>
      <c r="H247" s="50" t="s">
        <v>1054</v>
      </c>
      <c r="I247" s="49" t="s">
        <v>107</v>
      </c>
      <c r="J247" s="50" t="s">
        <v>109</v>
      </c>
      <c r="K247" s="50" t="s">
        <v>109</v>
      </c>
      <c r="L247" s="50" t="s">
        <v>12</v>
      </c>
      <c r="M247" s="50" t="s">
        <v>13</v>
      </c>
      <c r="N247" s="50" t="s">
        <v>14</v>
      </c>
      <c r="O247" s="48" t="s">
        <v>620</v>
      </c>
      <c r="P247" s="45" t="s">
        <v>453</v>
      </c>
      <c r="Q247" s="35" t="str">
        <f>MID(Tabla1[[#This Row],[Aplicación]],14,1)</f>
        <v>6</v>
      </c>
      <c r="R247" s="35" t="s">
        <v>442</v>
      </c>
      <c r="S247" s="35" t="str">
        <f>MID(Tabla1[[#This Row],[Aplicación]],6,2)</f>
        <v>08</v>
      </c>
      <c r="T247" s="35" t="str">
        <f>VLOOKUP(Tabla1[[#This Row],[AREA]],Hoja1!A:B,2,FALSE)</f>
        <v>08. Movilidad y espacio urbano</v>
      </c>
      <c r="U247" s="35" t="str">
        <f>MID(Tabla1[[#This Row],[Aplicación]],9,4)</f>
        <v>1341</v>
      </c>
      <c r="V247" s="35" t="str">
        <f>VLOOKUP(Tabla1[[#This Row],[PROGRAMA]],Hoja1!A:B,2,FALSE)</f>
        <v>1341. Movilidad</v>
      </c>
      <c r="W247" s="35" t="str">
        <f>MID(Tabla1[[#This Row],[Aplicación]],14,2)</f>
        <v>61</v>
      </c>
      <c r="X247" s="35" t="str">
        <f>MID(Tabla1[[#This Row],[Aplicación]],14,6)</f>
        <v>619</v>
      </c>
    </row>
    <row r="248" spans="1:24" x14ac:dyDescent="0.25">
      <c r="A248" s="49">
        <v>220209000532</v>
      </c>
      <c r="B248" s="50" t="s">
        <v>9</v>
      </c>
      <c r="C248" s="57">
        <v>44562</v>
      </c>
      <c r="D248" s="49">
        <v>22022000209</v>
      </c>
      <c r="E248" s="50" t="s">
        <v>1691</v>
      </c>
      <c r="F248" s="58">
        <v>200000</v>
      </c>
      <c r="G248" s="50" t="s">
        <v>62</v>
      </c>
      <c r="H248" s="50" t="s">
        <v>719</v>
      </c>
      <c r="I248" s="49" t="s">
        <v>107</v>
      </c>
      <c r="J248" s="50" t="s">
        <v>109</v>
      </c>
      <c r="K248" s="50" t="s">
        <v>109</v>
      </c>
      <c r="L248" s="50" t="s">
        <v>15</v>
      </c>
      <c r="M248" s="50" t="s">
        <v>13</v>
      </c>
      <c r="N248" s="50" t="s">
        <v>14</v>
      </c>
      <c r="O248" s="48" t="s">
        <v>620</v>
      </c>
      <c r="P248" s="45" t="s">
        <v>453</v>
      </c>
      <c r="Q248" s="35" t="str">
        <f>MID(Tabla1[[#This Row],[Aplicación]],14,1)</f>
        <v>2</v>
      </c>
      <c r="R248" s="35" t="s">
        <v>441</v>
      </c>
      <c r="S248" s="35" t="str">
        <f>MID(Tabla1[[#This Row],[Aplicación]],6,2)</f>
        <v>11</v>
      </c>
      <c r="T248" s="35" t="str">
        <f>VLOOKUP(Tabla1[[#This Row],[AREA]],Hoja1!A:B,2,FALSE)</f>
        <v>11. Salud pública y seguridad ciudadana</v>
      </c>
      <c r="U248" s="35" t="str">
        <f>MID(Tabla1[[#This Row],[Aplicación]],9,4)</f>
        <v>1631</v>
      </c>
      <c r="V248" s="35" t="str">
        <f>VLOOKUP(Tabla1[[#This Row],[PROGRAMA]],Hoja1!A:B,2,FALSE)</f>
        <v>1631. Limpieza viaria</v>
      </c>
      <c r="W248" s="35" t="str">
        <f>MID(Tabla1[[#This Row],[Aplicación]],14,2)</f>
        <v>22</v>
      </c>
      <c r="X248" s="35" t="str">
        <f>MID(Tabla1[[#This Row],[Aplicación]],14,6)</f>
        <v>22103</v>
      </c>
    </row>
    <row r="249" spans="1:24" x14ac:dyDescent="0.25">
      <c r="A249" s="49">
        <v>220219001232</v>
      </c>
      <c r="B249" s="50" t="s">
        <v>9</v>
      </c>
      <c r="C249" s="57">
        <v>44562</v>
      </c>
      <c r="D249" s="49">
        <v>22022001481</v>
      </c>
      <c r="E249" s="50" t="s">
        <v>1593</v>
      </c>
      <c r="F249" s="58">
        <v>199645.22</v>
      </c>
      <c r="G249" s="50" t="s">
        <v>1354</v>
      </c>
      <c r="H249" s="50" t="s">
        <v>1355</v>
      </c>
      <c r="I249" s="49" t="s">
        <v>107</v>
      </c>
      <c r="J249" s="50" t="s">
        <v>108</v>
      </c>
      <c r="K249" s="50" t="s">
        <v>108</v>
      </c>
      <c r="L249" s="50" t="s">
        <v>12</v>
      </c>
      <c r="M249" s="50" t="s">
        <v>13</v>
      </c>
      <c r="N249" s="50" t="s">
        <v>14</v>
      </c>
      <c r="O249" s="48" t="s">
        <v>620</v>
      </c>
      <c r="P249" s="45" t="s">
        <v>453</v>
      </c>
      <c r="Q249" s="35" t="str">
        <f>MID(Tabla1[[#This Row],[Aplicación]],14,1)</f>
        <v>6</v>
      </c>
      <c r="R249" s="35" t="s">
        <v>442</v>
      </c>
      <c r="S249" s="35" t="str">
        <f>MID(Tabla1[[#This Row],[Aplicación]],6,2)</f>
        <v>07</v>
      </c>
      <c r="T249" s="35" t="str">
        <f>VLOOKUP(Tabla1[[#This Row],[AREA]],Hoja1!A:B,2,FALSE)</f>
        <v>07. Medio ambiente y desarrollo sostenible</v>
      </c>
      <c r="U249" s="35" t="str">
        <f>MID(Tabla1[[#This Row],[Aplicación]],9,4)</f>
        <v>1711</v>
      </c>
      <c r="V249" s="35" t="str">
        <f>VLOOKUP(Tabla1[[#This Row],[PROGRAMA]],Hoja1!A:B,2,FALSE)</f>
        <v>1711. Parques y jardines</v>
      </c>
      <c r="W249" s="35" t="str">
        <f>MID(Tabla1[[#This Row],[Aplicación]],14,2)</f>
        <v>61</v>
      </c>
      <c r="X249" s="35" t="str">
        <f>MID(Tabla1[[#This Row],[Aplicación]],14,6)</f>
        <v>619</v>
      </c>
    </row>
    <row r="250" spans="1:24" x14ac:dyDescent="0.25">
      <c r="A250" s="49">
        <v>220219000938</v>
      </c>
      <c r="B250" s="50" t="s">
        <v>9</v>
      </c>
      <c r="C250" s="57">
        <v>44562</v>
      </c>
      <c r="D250" s="49">
        <v>22022000134</v>
      </c>
      <c r="E250" s="50" t="s">
        <v>1692</v>
      </c>
      <c r="F250" s="58">
        <v>85000</v>
      </c>
      <c r="G250" s="50" t="s">
        <v>38</v>
      </c>
      <c r="H250" s="50" t="s">
        <v>1693</v>
      </c>
      <c r="I250" s="49" t="s">
        <v>107</v>
      </c>
      <c r="J250" s="50" t="s">
        <v>129</v>
      </c>
      <c r="K250" s="50" t="s">
        <v>170</v>
      </c>
      <c r="L250" s="50" t="s">
        <v>15</v>
      </c>
      <c r="M250" s="50" t="s">
        <v>13</v>
      </c>
      <c r="N250" s="50" t="s">
        <v>16</v>
      </c>
      <c r="O250" s="48" t="s">
        <v>620</v>
      </c>
      <c r="P250" s="45" t="s">
        <v>453</v>
      </c>
      <c r="Q250" s="35" t="str">
        <f>MID(Tabla1[[#This Row],[Aplicación]],14,1)</f>
        <v>2</v>
      </c>
      <c r="R250" s="35" t="s">
        <v>441</v>
      </c>
      <c r="S250" s="35" t="str">
        <f>MID(Tabla1[[#This Row],[Aplicación]],6,2)</f>
        <v>04</v>
      </c>
      <c r="T250" s="35" t="str">
        <f>VLOOKUP(Tabla1[[#This Row],[AREA]],Hoja1!A:B,2,FALSE)</f>
        <v>04. Planificación y recursos</v>
      </c>
      <c r="U250" s="35" t="str">
        <f>MID(Tabla1[[#This Row],[Aplicación]],9,4)</f>
        <v>9204</v>
      </c>
      <c r="V250" s="35" t="str">
        <f>VLOOKUP(Tabla1[[#This Row],[PROGRAMA]],Hoja1!A:B,2,FALSE)</f>
        <v>9204. Tecnologías de la información y comunicación</v>
      </c>
      <c r="W250" s="35" t="str">
        <f>MID(Tabla1[[#This Row],[Aplicación]],14,2)</f>
        <v>22</v>
      </c>
      <c r="X250" s="35" t="str">
        <f>MID(Tabla1[[#This Row],[Aplicación]],14,6)</f>
        <v>22100</v>
      </c>
    </row>
    <row r="251" spans="1:24" x14ac:dyDescent="0.25">
      <c r="A251" s="49">
        <v>220220001614</v>
      </c>
      <c r="B251" s="50" t="s">
        <v>9</v>
      </c>
      <c r="C251" s="57">
        <v>44587</v>
      </c>
      <c r="D251" s="49">
        <v>22022001590</v>
      </c>
      <c r="E251" s="50" t="s">
        <v>1619</v>
      </c>
      <c r="F251" s="58">
        <v>1370</v>
      </c>
      <c r="G251" s="50" t="s">
        <v>656</v>
      </c>
      <c r="H251" s="50" t="s">
        <v>1695</v>
      </c>
      <c r="I251" s="49" t="s">
        <v>107</v>
      </c>
      <c r="J251" s="50" t="s">
        <v>657</v>
      </c>
      <c r="K251" s="50" t="s">
        <v>127</v>
      </c>
      <c r="L251" s="50" t="s">
        <v>15</v>
      </c>
      <c r="M251" s="50" t="s">
        <v>10</v>
      </c>
      <c r="N251" s="50" t="s">
        <v>11</v>
      </c>
      <c r="O251" s="48" t="s">
        <v>632</v>
      </c>
      <c r="P251" s="45" t="s">
        <v>453</v>
      </c>
      <c r="Q251" s="35" t="str">
        <f>MID(Tabla1[[#This Row],[Aplicación]],14,1)</f>
        <v>2</v>
      </c>
      <c r="R251" s="35" t="s">
        <v>441</v>
      </c>
      <c r="S251" s="35" t="str">
        <f>MID(Tabla1[[#This Row],[Aplicación]],6,2)</f>
        <v>11</v>
      </c>
      <c r="T251" s="35" t="str">
        <f>VLOOKUP(Tabla1[[#This Row],[AREA]],Hoja1!A:B,2,FALSE)</f>
        <v>11. Salud pública y seguridad ciudadana</v>
      </c>
      <c r="U251" s="35" t="str">
        <f>MID(Tabla1[[#This Row],[Aplicación]],9,4)</f>
        <v>1631</v>
      </c>
      <c r="V251" s="35" t="str">
        <f>VLOOKUP(Tabla1[[#This Row],[PROGRAMA]],Hoja1!A:B,2,FALSE)</f>
        <v>1631. Limpieza viaria</v>
      </c>
      <c r="W251" s="35" t="str">
        <f>MID(Tabla1[[#This Row],[Aplicación]],14,2)</f>
        <v>22</v>
      </c>
      <c r="X251" s="35" t="str">
        <f>MID(Tabla1[[#This Row],[Aplicación]],14,6)</f>
        <v>22110</v>
      </c>
    </row>
    <row r="252" spans="1:24" x14ac:dyDescent="0.25">
      <c r="A252" s="49">
        <v>220219000922</v>
      </c>
      <c r="B252" s="50" t="s">
        <v>9</v>
      </c>
      <c r="C252" s="57">
        <v>44562</v>
      </c>
      <c r="D252" s="49">
        <v>22022000118</v>
      </c>
      <c r="E252" s="50" t="s">
        <v>1696</v>
      </c>
      <c r="F252" s="58">
        <v>83000</v>
      </c>
      <c r="G252" s="50" t="s">
        <v>38</v>
      </c>
      <c r="H252" s="50" t="s">
        <v>1697</v>
      </c>
      <c r="I252" s="49" t="s">
        <v>107</v>
      </c>
      <c r="J252" s="50" t="s">
        <v>129</v>
      </c>
      <c r="K252" s="50" t="s">
        <v>170</v>
      </c>
      <c r="L252" s="50" t="s">
        <v>15</v>
      </c>
      <c r="M252" s="50" t="s">
        <v>13</v>
      </c>
      <c r="N252" s="50" t="s">
        <v>14</v>
      </c>
      <c r="O252" s="48" t="s">
        <v>620</v>
      </c>
      <c r="P252" s="45" t="s">
        <v>453</v>
      </c>
      <c r="Q252" s="35" t="str">
        <f>MID(Tabla1[[#This Row],[Aplicación]],14,1)</f>
        <v>2</v>
      </c>
      <c r="R252" s="35" t="s">
        <v>441</v>
      </c>
      <c r="S252" s="35" t="str">
        <f>MID(Tabla1[[#This Row],[Aplicación]],6,2)</f>
        <v>09</v>
      </c>
      <c r="T252" s="35" t="str">
        <f>VLOOKUP(Tabla1[[#This Row],[AREA]],Hoja1!A:B,2,FALSE)</f>
        <v>09. Cultura y turismo</v>
      </c>
      <c r="U252" s="35" t="str">
        <f>MID(Tabla1[[#This Row],[Aplicación]],9,4)</f>
        <v>3341</v>
      </c>
      <c r="V252" s="35" t="str">
        <f>VLOOKUP(Tabla1[[#This Row],[PROGRAMA]],Hoja1!A:B,2,FALSE)</f>
        <v>3341. Coordinación de políticas culturales</v>
      </c>
      <c r="W252" s="35" t="str">
        <f>MID(Tabla1[[#This Row],[Aplicación]],14,2)</f>
        <v>22</v>
      </c>
      <c r="X252" s="35" t="str">
        <f>MID(Tabla1[[#This Row],[Aplicación]],14,6)</f>
        <v>22100</v>
      </c>
    </row>
    <row r="253" spans="1:24" x14ac:dyDescent="0.25">
      <c r="A253" s="49">
        <v>220209000524</v>
      </c>
      <c r="B253" s="50" t="s">
        <v>9</v>
      </c>
      <c r="C253" s="57">
        <v>44562</v>
      </c>
      <c r="D253" s="49">
        <v>22022000205</v>
      </c>
      <c r="E253" s="50" t="s">
        <v>1429</v>
      </c>
      <c r="F253" s="58">
        <v>195573.33</v>
      </c>
      <c r="G253" s="50" t="s">
        <v>122</v>
      </c>
      <c r="H253" s="50" t="s">
        <v>710</v>
      </c>
      <c r="I253" s="49" t="s">
        <v>107</v>
      </c>
      <c r="J253" s="50" t="s">
        <v>109</v>
      </c>
      <c r="K253" s="50" t="s">
        <v>109</v>
      </c>
      <c r="L253" s="50" t="s">
        <v>12</v>
      </c>
      <c r="M253" s="50" t="s">
        <v>13</v>
      </c>
      <c r="N253" s="50" t="s">
        <v>14</v>
      </c>
      <c r="O253" s="48" t="s">
        <v>620</v>
      </c>
      <c r="P253" s="45" t="s">
        <v>453</v>
      </c>
      <c r="Q253" s="35" t="str">
        <f>MID(Tabla1[[#This Row],[Aplicación]],14,1)</f>
        <v>2</v>
      </c>
      <c r="R253" s="35" t="s">
        <v>441</v>
      </c>
      <c r="S253" s="35" t="str">
        <f>MID(Tabla1[[#This Row],[Aplicación]],6,2)</f>
        <v>06</v>
      </c>
      <c r="T253" s="35" t="str">
        <f>VLOOKUP(Tabla1[[#This Row],[AREA]],Hoja1!A:B,2,FALSE)</f>
        <v>06. Educación, infancia, juventud e igualdad</v>
      </c>
      <c r="U253" s="35" t="str">
        <f>MID(Tabla1[[#This Row],[Aplicación]],9,4)</f>
        <v>3231</v>
      </c>
      <c r="V253" s="35" t="str">
        <f>VLOOKUP(Tabla1[[#This Row],[PROGRAMA]],Hoja1!A:B,2,FALSE)</f>
        <v>3231. Escuelas infantiles</v>
      </c>
      <c r="W253" s="35" t="str">
        <f>MID(Tabla1[[#This Row],[Aplicación]],14,2)</f>
        <v>22</v>
      </c>
      <c r="X253" s="35" t="str">
        <f>MID(Tabla1[[#This Row],[Aplicación]],14,6)</f>
        <v>22799</v>
      </c>
    </row>
    <row r="254" spans="1:24" x14ac:dyDescent="0.25">
      <c r="A254" s="49">
        <v>220219000872</v>
      </c>
      <c r="B254" s="50" t="s">
        <v>9</v>
      </c>
      <c r="C254" s="57">
        <v>44562</v>
      </c>
      <c r="D254" s="49">
        <v>22022002158</v>
      </c>
      <c r="E254" s="50" t="s">
        <v>1698</v>
      </c>
      <c r="F254" s="58">
        <v>188864.7</v>
      </c>
      <c r="G254" s="50" t="s">
        <v>1699</v>
      </c>
      <c r="H254" s="50" t="s">
        <v>1700</v>
      </c>
      <c r="I254" s="49" t="s">
        <v>107</v>
      </c>
      <c r="J254" s="50" t="s">
        <v>118</v>
      </c>
      <c r="K254" s="50" t="s">
        <v>118</v>
      </c>
      <c r="L254" s="50" t="s">
        <v>1623</v>
      </c>
      <c r="M254" s="50" t="s">
        <v>13</v>
      </c>
      <c r="N254" s="50" t="s">
        <v>14</v>
      </c>
      <c r="O254" s="48" t="s">
        <v>620</v>
      </c>
      <c r="P254" s="45" t="s">
        <v>453</v>
      </c>
      <c r="Q254" s="35" t="str">
        <f>MID(Tabla1[[#This Row],[Aplicación]],14,1)</f>
        <v>6</v>
      </c>
      <c r="R254" s="35" t="s">
        <v>442</v>
      </c>
      <c r="S254" s="35" t="str">
        <f>MID(Tabla1[[#This Row],[Aplicación]],6,2)</f>
        <v>04</v>
      </c>
      <c r="T254" s="35" t="str">
        <f>VLOOKUP(Tabla1[[#This Row],[AREA]],Hoja1!A:B,2,FALSE)</f>
        <v>04. Planificación y recursos</v>
      </c>
      <c r="U254" s="35" t="str">
        <f>MID(Tabla1[[#This Row],[Aplicación]],9,4)</f>
        <v>9202</v>
      </c>
      <c r="V254" s="35" t="str">
        <f>VLOOKUP(Tabla1[[#This Row],[PROGRAMA]],Hoja1!A:B,2,FALSE)</f>
        <v>9202. Gestión de recursos humanos</v>
      </c>
      <c r="W254" s="35" t="str">
        <f>MID(Tabla1[[#This Row],[Aplicación]],14,2)</f>
        <v>64</v>
      </c>
      <c r="X254" s="35" t="str">
        <f>MID(Tabla1[[#This Row],[Aplicación]],14,6)</f>
        <v>641</v>
      </c>
    </row>
    <row r="255" spans="1:24" x14ac:dyDescent="0.25">
      <c r="A255" s="49">
        <v>220220003291</v>
      </c>
      <c r="B255" s="50" t="s">
        <v>9</v>
      </c>
      <c r="C255" s="57">
        <v>44602</v>
      </c>
      <c r="D255" s="49">
        <v>22022001870</v>
      </c>
      <c r="E255" s="50" t="s">
        <v>1701</v>
      </c>
      <c r="F255" s="58">
        <v>20685.599999999999</v>
      </c>
      <c r="G255" s="50" t="s">
        <v>186</v>
      </c>
      <c r="H255" s="50" t="s">
        <v>1702</v>
      </c>
      <c r="I255" s="49" t="s">
        <v>107</v>
      </c>
      <c r="J255" s="50" t="s">
        <v>109</v>
      </c>
      <c r="K255" s="50" t="s">
        <v>109</v>
      </c>
      <c r="L255" s="50" t="s">
        <v>25</v>
      </c>
      <c r="M255" s="50" t="s">
        <v>10</v>
      </c>
      <c r="N255" s="50" t="s">
        <v>11</v>
      </c>
      <c r="O255" s="48" t="s">
        <v>632</v>
      </c>
      <c r="P255" s="45" t="s">
        <v>453</v>
      </c>
      <c r="Q255" s="35" t="str">
        <f>MID(Tabla1[[#This Row],[Aplicación]],14,1)</f>
        <v>2</v>
      </c>
      <c r="R255" s="35" t="s">
        <v>441</v>
      </c>
      <c r="S255" s="35" t="str">
        <f>MID(Tabla1[[#This Row],[Aplicación]],6,2)</f>
        <v>11</v>
      </c>
      <c r="T255" s="35" t="str">
        <f>VLOOKUP(Tabla1[[#This Row],[AREA]],Hoja1!A:B,2,FALSE)</f>
        <v>11. Salud pública y seguridad ciudadana</v>
      </c>
      <c r="U255" s="35" t="str">
        <f>MID(Tabla1[[#This Row],[Aplicación]],9,4)</f>
        <v>1621</v>
      </c>
      <c r="V255" s="35" t="str">
        <f>VLOOKUP(Tabla1[[#This Row],[PROGRAMA]],Hoja1!A:B,2,FALSE)</f>
        <v>1621. Servicio de limpieza</v>
      </c>
      <c r="W255" s="35" t="str">
        <f>MID(Tabla1[[#This Row],[Aplicación]],14,2)</f>
        <v>21</v>
      </c>
      <c r="X255" s="35" t="str">
        <f>MID(Tabla1[[#This Row],[Aplicación]],14,6)</f>
        <v>212</v>
      </c>
    </row>
    <row r="256" spans="1:24" x14ac:dyDescent="0.25">
      <c r="A256" s="49">
        <v>220219000749</v>
      </c>
      <c r="B256" s="50" t="s">
        <v>9</v>
      </c>
      <c r="C256" s="57">
        <v>44562</v>
      </c>
      <c r="D256" s="49">
        <v>22022002061</v>
      </c>
      <c r="E256" s="50" t="s">
        <v>1379</v>
      </c>
      <c r="F256" s="58">
        <v>187500</v>
      </c>
      <c r="G256" s="50" t="s">
        <v>494</v>
      </c>
      <c r="H256" s="50" t="s">
        <v>1703</v>
      </c>
      <c r="I256" s="49" t="s">
        <v>107</v>
      </c>
      <c r="J256" s="50" t="s">
        <v>109</v>
      </c>
      <c r="K256" s="50" t="s">
        <v>109</v>
      </c>
      <c r="L256" s="50" t="s">
        <v>12</v>
      </c>
      <c r="M256" s="50" t="s">
        <v>13</v>
      </c>
      <c r="N256" s="50" t="s">
        <v>14</v>
      </c>
      <c r="O256" s="48" t="s">
        <v>620</v>
      </c>
      <c r="P256" s="45" t="s">
        <v>453</v>
      </c>
      <c r="Q256" s="35" t="str">
        <f>MID(Tabla1[[#This Row],[Aplicación]],14,1)</f>
        <v>6</v>
      </c>
      <c r="R256" s="35" t="s">
        <v>442</v>
      </c>
      <c r="S256" s="35" t="str">
        <f>MID(Tabla1[[#This Row],[Aplicación]],6,2)</f>
        <v>07</v>
      </c>
      <c r="T256" s="35" t="str">
        <f>VLOOKUP(Tabla1[[#This Row],[AREA]],Hoja1!A:B,2,FALSE)</f>
        <v>07. Medio ambiente y desarrollo sostenible</v>
      </c>
      <c r="U256" s="35" t="str">
        <f>MID(Tabla1[[#This Row],[Aplicación]],9,4)</f>
        <v>1711</v>
      </c>
      <c r="V256" s="35" t="str">
        <f>VLOOKUP(Tabla1[[#This Row],[PROGRAMA]],Hoja1!A:B,2,FALSE)</f>
        <v>1711. Parques y jardines</v>
      </c>
      <c r="W256" s="35" t="str">
        <f>MID(Tabla1[[#This Row],[Aplicación]],14,2)</f>
        <v>61</v>
      </c>
      <c r="X256" s="35" t="str">
        <f>MID(Tabla1[[#This Row],[Aplicación]],14,6)</f>
        <v>610</v>
      </c>
    </row>
    <row r="257" spans="1:24" x14ac:dyDescent="0.25">
      <c r="A257" s="49">
        <v>220220003290</v>
      </c>
      <c r="B257" s="50" t="s">
        <v>9</v>
      </c>
      <c r="C257" s="57">
        <v>44602</v>
      </c>
      <c r="D257" s="49">
        <v>22022001596</v>
      </c>
      <c r="E257" s="50" t="s">
        <v>1704</v>
      </c>
      <c r="F257" s="58">
        <v>18149</v>
      </c>
      <c r="G257" s="50" t="s">
        <v>1705</v>
      </c>
      <c r="H257" s="50" t="s">
        <v>1706</v>
      </c>
      <c r="I257" s="49" t="s">
        <v>107</v>
      </c>
      <c r="J257" s="50" t="s">
        <v>108</v>
      </c>
      <c r="K257" s="50" t="s">
        <v>108</v>
      </c>
      <c r="L257" s="50" t="s">
        <v>12</v>
      </c>
      <c r="M257" s="50" t="s">
        <v>10</v>
      </c>
      <c r="N257" s="50" t="s">
        <v>11</v>
      </c>
      <c r="O257" s="48" t="s">
        <v>632</v>
      </c>
      <c r="P257" s="45" t="s">
        <v>453</v>
      </c>
      <c r="Q257" s="35" t="str">
        <f>MID(Tabla1[[#This Row],[Aplicación]],14,1)</f>
        <v>2</v>
      </c>
      <c r="R257" s="35" t="s">
        <v>441</v>
      </c>
      <c r="S257" s="35" t="str">
        <f>MID(Tabla1[[#This Row],[Aplicación]],6,2)</f>
        <v>11</v>
      </c>
      <c r="T257" s="35" t="str">
        <f>VLOOKUP(Tabla1[[#This Row],[AREA]],Hoja1!A:B,2,FALSE)</f>
        <v>11. Salud pública y seguridad ciudadana</v>
      </c>
      <c r="U257" s="35" t="str">
        <f>MID(Tabla1[[#This Row],[Aplicación]],9,4)</f>
        <v>1321</v>
      </c>
      <c r="V257" s="35" t="str">
        <f>VLOOKUP(Tabla1[[#This Row],[PROGRAMA]],Hoja1!A:B,2,FALSE)</f>
        <v>1321. Policía municipal</v>
      </c>
      <c r="W257" s="35" t="str">
        <f>MID(Tabla1[[#This Row],[Aplicación]],14,2)</f>
        <v>22</v>
      </c>
      <c r="X257" s="35" t="str">
        <f>MID(Tabla1[[#This Row],[Aplicación]],14,6)</f>
        <v>22706</v>
      </c>
    </row>
    <row r="258" spans="1:24" x14ac:dyDescent="0.25">
      <c r="A258" s="49">
        <v>220209000722</v>
      </c>
      <c r="B258" s="50" t="s">
        <v>9</v>
      </c>
      <c r="C258" s="57">
        <v>44562</v>
      </c>
      <c r="D258" s="49">
        <v>22022000259</v>
      </c>
      <c r="E258" s="50" t="s">
        <v>1707</v>
      </c>
      <c r="F258" s="58">
        <v>181339.22</v>
      </c>
      <c r="G258" s="50" t="s">
        <v>84</v>
      </c>
      <c r="H258" s="50" t="s">
        <v>766</v>
      </c>
      <c r="I258" s="49" t="s">
        <v>107</v>
      </c>
      <c r="J258" s="50" t="s">
        <v>109</v>
      </c>
      <c r="K258" s="50" t="s">
        <v>109</v>
      </c>
      <c r="L258" s="50" t="s">
        <v>12</v>
      </c>
      <c r="M258" s="50" t="s">
        <v>13</v>
      </c>
      <c r="N258" s="50" t="s">
        <v>14</v>
      </c>
      <c r="O258" s="48" t="s">
        <v>620</v>
      </c>
      <c r="P258" s="45" t="s">
        <v>453</v>
      </c>
      <c r="Q258" s="35" t="str">
        <f>MID(Tabla1[[#This Row],[Aplicación]],14,1)</f>
        <v>2</v>
      </c>
      <c r="R258" s="35" t="s">
        <v>441</v>
      </c>
      <c r="S258" s="35" t="str">
        <f>MID(Tabla1[[#This Row],[Aplicación]],6,2)</f>
        <v>10</v>
      </c>
      <c r="T258" s="35" t="str">
        <f>VLOOKUP(Tabla1[[#This Row],[AREA]],Hoja1!A:B,2,FALSE)</f>
        <v>10. Servicios sociales y mediación comunitaria</v>
      </c>
      <c r="U258" s="35" t="str">
        <f>MID(Tabla1[[#This Row],[Aplicación]],9,4)</f>
        <v>2312</v>
      </c>
      <c r="V258" s="35" t="str">
        <f>VLOOKUP(Tabla1[[#This Row],[PROGRAMA]],Hoja1!A:B,2,FALSE)</f>
        <v>2312. Iniciativas sociales</v>
      </c>
      <c r="W258" s="35" t="str">
        <f>MID(Tabla1[[#This Row],[Aplicación]],14,2)</f>
        <v>22</v>
      </c>
      <c r="X258" s="35" t="str">
        <f>MID(Tabla1[[#This Row],[Aplicación]],14,6)</f>
        <v>22700</v>
      </c>
    </row>
    <row r="259" spans="1:24" x14ac:dyDescent="0.25">
      <c r="A259" s="49">
        <v>220219001103</v>
      </c>
      <c r="B259" s="50" t="s">
        <v>9</v>
      </c>
      <c r="C259" s="57">
        <v>44562</v>
      </c>
      <c r="D259" s="49">
        <v>22022000494</v>
      </c>
      <c r="E259" s="50" t="s">
        <v>1708</v>
      </c>
      <c r="F259" s="58">
        <v>80500</v>
      </c>
      <c r="G259" s="50" t="s">
        <v>40</v>
      </c>
      <c r="H259" s="50" t="s">
        <v>1709</v>
      </c>
      <c r="I259" s="49" t="s">
        <v>107</v>
      </c>
      <c r="J259" s="50" t="s">
        <v>109</v>
      </c>
      <c r="K259" s="50" t="s">
        <v>109</v>
      </c>
      <c r="L259" s="50" t="s">
        <v>12</v>
      </c>
      <c r="M259" s="50" t="s">
        <v>13</v>
      </c>
      <c r="N259" s="50" t="s">
        <v>14</v>
      </c>
      <c r="O259" s="48" t="s">
        <v>620</v>
      </c>
      <c r="P259" s="45" t="s">
        <v>453</v>
      </c>
      <c r="Q259" s="35" t="str">
        <f>MID(Tabla1[[#This Row],[Aplicación]],14,1)</f>
        <v>2</v>
      </c>
      <c r="R259" s="35" t="s">
        <v>441</v>
      </c>
      <c r="S259" s="35" t="str">
        <f>MID(Tabla1[[#This Row],[Aplicación]],6,2)</f>
        <v>01</v>
      </c>
      <c r="T259" s="35" t="str">
        <f>VLOOKUP(Tabla1[[#This Row],[AREA]],Hoja1!A:B,2,FALSE)</f>
        <v>01. Alcaldía</v>
      </c>
      <c r="U259" s="35" t="str">
        <f>MID(Tabla1[[#This Row],[Aplicación]],9,4)</f>
        <v>9206</v>
      </c>
      <c r="V259" s="35" t="str">
        <f>VLOOKUP(Tabla1[[#This Row],[PROGRAMA]],Hoja1!A:B,2,FALSE)</f>
        <v>9206. Archivo municipal</v>
      </c>
      <c r="W259" s="35" t="str">
        <f>MID(Tabla1[[#This Row],[Aplicación]],14,2)</f>
        <v>22</v>
      </c>
      <c r="X259" s="35" t="str">
        <f>MID(Tabla1[[#This Row],[Aplicación]],14,6)</f>
        <v>22706</v>
      </c>
    </row>
    <row r="260" spans="1:24" x14ac:dyDescent="0.25">
      <c r="A260" s="49">
        <v>220209000721</v>
      </c>
      <c r="B260" s="50" t="s">
        <v>9</v>
      </c>
      <c r="C260" s="57">
        <v>44562</v>
      </c>
      <c r="D260" s="49">
        <v>22022000258</v>
      </c>
      <c r="E260" s="50" t="s">
        <v>1707</v>
      </c>
      <c r="F260" s="58">
        <v>179648.24</v>
      </c>
      <c r="G260" s="50" t="s">
        <v>84</v>
      </c>
      <c r="H260" s="50" t="s">
        <v>767</v>
      </c>
      <c r="I260" s="49" t="s">
        <v>107</v>
      </c>
      <c r="J260" s="50" t="s">
        <v>109</v>
      </c>
      <c r="K260" s="50" t="s">
        <v>109</v>
      </c>
      <c r="L260" s="50" t="s">
        <v>12</v>
      </c>
      <c r="M260" s="50" t="s">
        <v>13</v>
      </c>
      <c r="N260" s="50" t="s">
        <v>14</v>
      </c>
      <c r="O260" s="48" t="s">
        <v>620</v>
      </c>
      <c r="P260" s="45" t="s">
        <v>453</v>
      </c>
      <c r="Q260" s="35" t="str">
        <f>MID(Tabla1[[#This Row],[Aplicación]],14,1)</f>
        <v>2</v>
      </c>
      <c r="R260" s="35" t="s">
        <v>441</v>
      </c>
      <c r="S260" s="35" t="str">
        <f>MID(Tabla1[[#This Row],[Aplicación]],6,2)</f>
        <v>10</v>
      </c>
      <c r="T260" s="35" t="str">
        <f>VLOOKUP(Tabla1[[#This Row],[AREA]],Hoja1!A:B,2,FALSE)</f>
        <v>10. Servicios sociales y mediación comunitaria</v>
      </c>
      <c r="U260" s="35" t="str">
        <f>MID(Tabla1[[#This Row],[Aplicación]],9,4)</f>
        <v>2312</v>
      </c>
      <c r="V260" s="35" t="str">
        <f>VLOOKUP(Tabla1[[#This Row],[PROGRAMA]],Hoja1!A:B,2,FALSE)</f>
        <v>2312. Iniciativas sociales</v>
      </c>
      <c r="W260" s="35" t="str">
        <f>MID(Tabla1[[#This Row],[Aplicación]],14,2)</f>
        <v>22</v>
      </c>
      <c r="X260" s="35" t="str">
        <f>MID(Tabla1[[#This Row],[Aplicación]],14,6)</f>
        <v>22700</v>
      </c>
    </row>
    <row r="261" spans="1:24" x14ac:dyDescent="0.25">
      <c r="A261" s="49">
        <v>220220009344</v>
      </c>
      <c r="B261" s="50" t="s">
        <v>9</v>
      </c>
      <c r="C261" s="57">
        <v>44636</v>
      </c>
      <c r="D261" s="49">
        <v>22022002647</v>
      </c>
      <c r="E261" s="50" t="s">
        <v>1710</v>
      </c>
      <c r="F261" s="58">
        <v>1681.9</v>
      </c>
      <c r="G261" s="50" t="s">
        <v>1193</v>
      </c>
      <c r="H261" s="50" t="s">
        <v>1711</v>
      </c>
      <c r="I261" s="49" t="s">
        <v>107</v>
      </c>
      <c r="J261" s="50" t="s">
        <v>1194</v>
      </c>
      <c r="K261" s="50" t="s">
        <v>144</v>
      </c>
      <c r="L261" s="50" t="s">
        <v>15</v>
      </c>
      <c r="M261" s="50" t="s">
        <v>10</v>
      </c>
      <c r="N261" s="50" t="s">
        <v>11</v>
      </c>
      <c r="O261" s="48" t="s">
        <v>632</v>
      </c>
      <c r="P261" s="45" t="s">
        <v>453</v>
      </c>
      <c r="Q261" s="35" t="str">
        <f>MID(Tabla1[[#This Row],[Aplicación]],14,1)</f>
        <v>2</v>
      </c>
      <c r="R261" s="35" t="s">
        <v>441</v>
      </c>
      <c r="S261" s="35" t="str">
        <f>MID(Tabla1[[#This Row],[Aplicación]],6,2)</f>
        <v>10</v>
      </c>
      <c r="T261" s="35" t="str">
        <f>VLOOKUP(Tabla1[[#This Row],[AREA]],Hoja1!A:B,2,FALSE)</f>
        <v>10. Servicios sociales y mediación comunitaria</v>
      </c>
      <c r="U261" s="35" t="str">
        <f>MID(Tabla1[[#This Row],[Aplicación]],9,4)</f>
        <v>2312</v>
      </c>
      <c r="V261" s="35" t="str">
        <f>VLOOKUP(Tabla1[[#This Row],[PROGRAMA]],Hoja1!A:B,2,FALSE)</f>
        <v>2312. Iniciativas sociales</v>
      </c>
      <c r="W261" s="35" t="str">
        <f>MID(Tabla1[[#This Row],[Aplicación]],14,2)</f>
        <v>21</v>
      </c>
      <c r="X261" s="35" t="str">
        <f>MID(Tabla1[[#This Row],[Aplicación]],14,6)</f>
        <v>215</v>
      </c>
    </row>
    <row r="262" spans="1:24" x14ac:dyDescent="0.25">
      <c r="A262" s="49">
        <v>220219000414</v>
      </c>
      <c r="B262" s="50" t="s">
        <v>9</v>
      </c>
      <c r="C262" s="57">
        <v>44562</v>
      </c>
      <c r="D262" s="49">
        <v>22022000550</v>
      </c>
      <c r="E262" s="50" t="s">
        <v>1712</v>
      </c>
      <c r="F262" s="58">
        <v>26111.05</v>
      </c>
      <c r="G262" s="50" t="s">
        <v>661</v>
      </c>
      <c r="H262" s="50" t="s">
        <v>1055</v>
      </c>
      <c r="I262" s="49" t="s">
        <v>107</v>
      </c>
      <c r="J262" s="50" t="s">
        <v>109</v>
      </c>
      <c r="K262" s="50" t="s">
        <v>109</v>
      </c>
      <c r="L262" s="50" t="s">
        <v>15</v>
      </c>
      <c r="M262" s="50" t="s">
        <v>13</v>
      </c>
      <c r="N262" s="50" t="s">
        <v>14</v>
      </c>
      <c r="O262" s="48" t="s">
        <v>620</v>
      </c>
      <c r="P262" s="45" t="s">
        <v>453</v>
      </c>
      <c r="Q262" s="35" t="str">
        <f>MID(Tabla1[[#This Row],[Aplicación]],14,1)</f>
        <v>2</v>
      </c>
      <c r="R262" s="35" t="s">
        <v>441</v>
      </c>
      <c r="S262" s="35" t="str">
        <f>MID(Tabla1[[#This Row],[Aplicación]],6,2)</f>
        <v>01</v>
      </c>
      <c r="T262" s="35" t="str">
        <f>VLOOKUP(Tabla1[[#This Row],[AREA]],Hoja1!A:B,2,FALSE)</f>
        <v>01. Alcaldía</v>
      </c>
      <c r="U262" s="35" t="str">
        <f>MID(Tabla1[[#This Row],[Aplicación]],9,4)</f>
        <v>9203</v>
      </c>
      <c r="V262" s="35" t="str">
        <f>VLOOKUP(Tabla1[[#This Row],[PROGRAMA]],Hoja1!A:B,2,FALSE)</f>
        <v>9203. Unidad de régimen interior</v>
      </c>
      <c r="W262" s="35" t="str">
        <f>MID(Tabla1[[#This Row],[Aplicación]],14,2)</f>
        <v>22</v>
      </c>
      <c r="X262" s="35" t="str">
        <f>MID(Tabla1[[#This Row],[Aplicación]],14,6)</f>
        <v>22000</v>
      </c>
    </row>
    <row r="263" spans="1:24" x14ac:dyDescent="0.25">
      <c r="A263" s="49">
        <v>220210028168</v>
      </c>
      <c r="B263" s="50" t="s">
        <v>9</v>
      </c>
      <c r="C263" s="57">
        <v>44631</v>
      </c>
      <c r="D263" s="49">
        <v>22021003715</v>
      </c>
      <c r="E263" s="50" t="s">
        <v>1713</v>
      </c>
      <c r="F263" s="58">
        <v>6267.8</v>
      </c>
      <c r="G263" s="50" t="s">
        <v>957</v>
      </c>
      <c r="H263" s="50" t="s">
        <v>958</v>
      </c>
      <c r="I263" s="49" t="s">
        <v>107</v>
      </c>
      <c r="J263" s="50" t="s">
        <v>109</v>
      </c>
      <c r="K263" s="50" t="s">
        <v>109</v>
      </c>
      <c r="L263" s="50" t="s">
        <v>12</v>
      </c>
      <c r="M263" s="50" t="s">
        <v>10</v>
      </c>
      <c r="N263" s="50" t="s">
        <v>11</v>
      </c>
      <c r="O263" s="48" t="s">
        <v>632</v>
      </c>
      <c r="P263" s="45" t="s">
        <v>453</v>
      </c>
      <c r="Q263" s="35" t="str">
        <f>MID(Tabla1[[#This Row],[Aplicación]],14,1)</f>
        <v>6</v>
      </c>
      <c r="R263" s="35" t="s">
        <v>442</v>
      </c>
      <c r="S263" s="35" t="str">
        <f>MID(Tabla1[[#This Row],[Aplicación]],6,2)</f>
        <v>11</v>
      </c>
      <c r="T263" s="35" t="str">
        <f>VLOOKUP(Tabla1[[#This Row],[AREA]],Hoja1!A:B,2,FALSE)</f>
        <v>11. Salud pública y seguridad ciudadana</v>
      </c>
      <c r="U263" s="35" t="str">
        <f>MID(Tabla1[[#This Row],[Aplicación]],9,4)</f>
        <v>3111</v>
      </c>
      <c r="V263" s="35" t="str">
        <f>VLOOKUP(Tabla1[[#This Row],[PROGRAMA]],Hoja1!A:B,2,FALSE)</f>
        <v>3111. Protección de la salubridad pública</v>
      </c>
      <c r="W263" s="35" t="str">
        <f>MID(Tabla1[[#This Row],[Aplicación]],14,2)</f>
        <v>63</v>
      </c>
      <c r="X263" s="35" t="str">
        <f>MID(Tabla1[[#This Row],[Aplicación]],14,6)</f>
        <v>632</v>
      </c>
    </row>
    <row r="264" spans="1:24" x14ac:dyDescent="0.25">
      <c r="A264" s="49">
        <v>220220003856</v>
      </c>
      <c r="B264" s="50" t="s">
        <v>9</v>
      </c>
      <c r="C264" s="57">
        <v>44608</v>
      </c>
      <c r="D264" s="49">
        <v>22022002309</v>
      </c>
      <c r="E264" s="50" t="s">
        <v>1714</v>
      </c>
      <c r="F264" s="58">
        <v>880.88</v>
      </c>
      <c r="G264" s="50" t="s">
        <v>1715</v>
      </c>
      <c r="H264" s="50" t="s">
        <v>1716</v>
      </c>
      <c r="I264" s="49" t="s">
        <v>107</v>
      </c>
      <c r="J264" s="50" t="s">
        <v>806</v>
      </c>
      <c r="K264" s="50" t="s">
        <v>109</v>
      </c>
      <c r="L264" s="50" t="s">
        <v>15</v>
      </c>
      <c r="M264" s="50" t="s">
        <v>10</v>
      </c>
      <c r="N264" s="50" t="s">
        <v>11</v>
      </c>
      <c r="O264" s="48" t="s">
        <v>632</v>
      </c>
      <c r="P264" s="45" t="s">
        <v>453</v>
      </c>
      <c r="Q264" s="35" t="str">
        <f>MID(Tabla1[[#This Row],[Aplicación]],14,1)</f>
        <v>2</v>
      </c>
      <c r="R264" s="35" t="s">
        <v>441</v>
      </c>
      <c r="S264" s="35" t="str">
        <f>MID(Tabla1[[#This Row],[Aplicación]],6,2)</f>
        <v>06</v>
      </c>
      <c r="T264" s="35" t="str">
        <f>VLOOKUP(Tabla1[[#This Row],[AREA]],Hoja1!A:B,2,FALSE)</f>
        <v>06. Educación, infancia, juventud e igualdad</v>
      </c>
      <c r="U264" s="35" t="str">
        <f>MID(Tabla1[[#This Row],[Aplicación]],9,4)</f>
        <v>3231</v>
      </c>
      <c r="V264" s="35" t="str">
        <f>VLOOKUP(Tabla1[[#This Row],[PROGRAMA]],Hoja1!A:B,2,FALSE)</f>
        <v>3231. Escuelas infantiles</v>
      </c>
      <c r="W264" s="35" t="str">
        <f>MID(Tabla1[[#This Row],[Aplicación]],14,2)</f>
        <v>21</v>
      </c>
      <c r="X264" s="35" t="str">
        <f>MID(Tabla1[[#This Row],[Aplicación]],14,6)</f>
        <v>213</v>
      </c>
    </row>
    <row r="265" spans="1:24" x14ac:dyDescent="0.25">
      <c r="A265" s="49">
        <v>220220008290</v>
      </c>
      <c r="B265" s="50" t="s">
        <v>9</v>
      </c>
      <c r="C265" s="57">
        <v>44630</v>
      </c>
      <c r="D265" s="49">
        <v>22022002739</v>
      </c>
      <c r="E265" s="50" t="s">
        <v>1717</v>
      </c>
      <c r="F265" s="58">
        <v>779.24</v>
      </c>
      <c r="G265" s="50" t="s">
        <v>1715</v>
      </c>
      <c r="H265" s="50" t="s">
        <v>1718</v>
      </c>
      <c r="I265" s="49" t="s">
        <v>107</v>
      </c>
      <c r="J265" s="50" t="s">
        <v>806</v>
      </c>
      <c r="K265" s="50" t="s">
        <v>109</v>
      </c>
      <c r="L265" s="50" t="s">
        <v>15</v>
      </c>
      <c r="M265" s="50" t="s">
        <v>10</v>
      </c>
      <c r="N265" s="50" t="s">
        <v>11</v>
      </c>
      <c r="O265" s="48" t="s">
        <v>632</v>
      </c>
      <c r="P265" s="45" t="s">
        <v>453</v>
      </c>
      <c r="Q265" s="35" t="str">
        <f>MID(Tabla1[[#This Row],[Aplicación]],14,1)</f>
        <v>2</v>
      </c>
      <c r="R265" s="35" t="s">
        <v>441</v>
      </c>
      <c r="S265" s="35" t="str">
        <f>MID(Tabla1[[#This Row],[Aplicación]],6,2)</f>
        <v>11</v>
      </c>
      <c r="T265" s="35" t="str">
        <f>VLOOKUP(Tabla1[[#This Row],[AREA]],Hoja1!A:B,2,FALSE)</f>
        <v>11. Salud pública y seguridad ciudadana</v>
      </c>
      <c r="U265" s="35" t="str">
        <f>MID(Tabla1[[#This Row],[Aplicación]],9,4)</f>
        <v>3111</v>
      </c>
      <c r="V265" s="35" t="str">
        <f>VLOOKUP(Tabla1[[#This Row],[PROGRAMA]],Hoja1!A:B,2,FALSE)</f>
        <v>3111. Protección de la salubridad pública</v>
      </c>
      <c r="W265" s="35" t="str">
        <f>MID(Tabla1[[#This Row],[Aplicación]],14,2)</f>
        <v>22</v>
      </c>
      <c r="X265" s="35" t="str">
        <f>MID(Tabla1[[#This Row],[Aplicación]],14,6)</f>
        <v>22699</v>
      </c>
    </row>
    <row r="266" spans="1:24" x14ac:dyDescent="0.25">
      <c r="A266" s="49">
        <v>220220012357</v>
      </c>
      <c r="B266" s="50" t="s">
        <v>9</v>
      </c>
      <c r="C266" s="57">
        <v>44643</v>
      </c>
      <c r="D266" s="49">
        <v>22022002888</v>
      </c>
      <c r="E266" s="50" t="s">
        <v>1719</v>
      </c>
      <c r="F266" s="58">
        <v>423.5</v>
      </c>
      <c r="G266" s="50" t="s">
        <v>1715</v>
      </c>
      <c r="H266" s="50" t="s">
        <v>1720</v>
      </c>
      <c r="I266" s="49" t="s">
        <v>107</v>
      </c>
      <c r="J266" s="50" t="s">
        <v>806</v>
      </c>
      <c r="K266" s="50" t="s">
        <v>109</v>
      </c>
      <c r="L266" s="50" t="s">
        <v>15</v>
      </c>
      <c r="M266" s="50" t="s">
        <v>10</v>
      </c>
      <c r="N266" s="50" t="s">
        <v>11</v>
      </c>
      <c r="O266" s="48" t="s">
        <v>632</v>
      </c>
      <c r="P266" s="45" t="s">
        <v>453</v>
      </c>
      <c r="Q266" s="35" t="str">
        <f>MID(Tabla1[[#This Row],[Aplicación]],14,1)</f>
        <v>2</v>
      </c>
      <c r="R266" s="35" t="s">
        <v>441</v>
      </c>
      <c r="S266" s="35" t="str">
        <f>MID(Tabla1[[#This Row],[Aplicación]],6,2)</f>
        <v>06</v>
      </c>
      <c r="T266" s="35" t="str">
        <f>VLOOKUP(Tabla1[[#This Row],[AREA]],Hoja1!A:B,2,FALSE)</f>
        <v>06. Educación, infancia, juventud e igualdad</v>
      </c>
      <c r="U266" s="35" t="str">
        <f>MID(Tabla1[[#This Row],[Aplicación]],9,4)</f>
        <v>3231</v>
      </c>
      <c r="V266" s="35" t="str">
        <f>VLOOKUP(Tabla1[[#This Row],[PROGRAMA]],Hoja1!A:B,2,FALSE)</f>
        <v>3231. Escuelas infantiles</v>
      </c>
      <c r="W266" s="35" t="str">
        <f>MID(Tabla1[[#This Row],[Aplicación]],14,2)</f>
        <v>21</v>
      </c>
      <c r="X266" s="35" t="str">
        <f>MID(Tabla1[[#This Row],[Aplicación]],14,6)</f>
        <v>212</v>
      </c>
    </row>
    <row r="267" spans="1:24" x14ac:dyDescent="0.25">
      <c r="A267" s="49">
        <v>220220008362</v>
      </c>
      <c r="B267" s="50" t="s">
        <v>172</v>
      </c>
      <c r="C267" s="57">
        <v>44631</v>
      </c>
      <c r="D267" s="49">
        <v>22022000901</v>
      </c>
      <c r="E267" s="50" t="s">
        <v>1644</v>
      </c>
      <c r="F267" s="58">
        <v>1248.27</v>
      </c>
      <c r="G267" s="50" t="s">
        <v>262</v>
      </c>
      <c r="H267" s="50" t="s">
        <v>1721</v>
      </c>
      <c r="I267" s="49" t="s">
        <v>173</v>
      </c>
      <c r="J267" s="50" t="s">
        <v>109</v>
      </c>
      <c r="K267" s="50" t="s">
        <v>109</v>
      </c>
      <c r="L267" s="50" t="s">
        <v>12</v>
      </c>
      <c r="M267" s="50" t="s">
        <v>13</v>
      </c>
      <c r="N267" s="50" t="s">
        <v>14</v>
      </c>
      <c r="O267" s="48" t="s">
        <v>631</v>
      </c>
      <c r="P267" s="45" t="s">
        <v>453</v>
      </c>
      <c r="Q267" s="35" t="str">
        <f>MID(Tabla1[[#This Row],[Aplicación]],14,1)</f>
        <v>2</v>
      </c>
      <c r="R267" s="35" t="s">
        <v>441</v>
      </c>
      <c r="S267" s="35" t="str">
        <f>MID(Tabla1[[#This Row],[Aplicación]],6,2)</f>
        <v>11</v>
      </c>
      <c r="T267" s="35" t="str">
        <f>VLOOKUP(Tabla1[[#This Row],[AREA]],Hoja1!A:B,2,FALSE)</f>
        <v>11. Salud pública y seguridad ciudadana</v>
      </c>
      <c r="U267" s="35" t="str">
        <f>MID(Tabla1[[#This Row],[Aplicación]],9,4)</f>
        <v>1621</v>
      </c>
      <c r="V267" s="35" t="str">
        <f>VLOOKUP(Tabla1[[#This Row],[PROGRAMA]],Hoja1!A:B,2,FALSE)</f>
        <v>1621. Servicio de limpieza</v>
      </c>
      <c r="W267" s="35" t="str">
        <f>MID(Tabla1[[#This Row],[Aplicación]],14,2)</f>
        <v>21</v>
      </c>
      <c r="X267" s="35" t="str">
        <f>MID(Tabla1[[#This Row],[Aplicación]],14,6)</f>
        <v>214</v>
      </c>
    </row>
    <row r="268" spans="1:24" x14ac:dyDescent="0.25">
      <c r="A268" s="49">
        <v>220219000248</v>
      </c>
      <c r="B268" s="50" t="s">
        <v>9</v>
      </c>
      <c r="C268" s="57">
        <v>44562</v>
      </c>
      <c r="D268" s="49">
        <v>22022002186</v>
      </c>
      <c r="E268" s="50" t="s">
        <v>1390</v>
      </c>
      <c r="F268" s="58">
        <v>179508.25</v>
      </c>
      <c r="G268" s="50" t="s">
        <v>697</v>
      </c>
      <c r="H268" s="50" t="s">
        <v>1722</v>
      </c>
      <c r="I268" s="49" t="s">
        <v>107</v>
      </c>
      <c r="J268" s="50" t="s">
        <v>463</v>
      </c>
      <c r="K268" s="50" t="s">
        <v>463</v>
      </c>
      <c r="L268" s="50" t="s">
        <v>25</v>
      </c>
      <c r="M268" s="50" t="s">
        <v>13</v>
      </c>
      <c r="N268" s="50" t="s">
        <v>14</v>
      </c>
      <c r="O268" s="48" t="s">
        <v>620</v>
      </c>
      <c r="P268" s="45" t="s">
        <v>453</v>
      </c>
      <c r="Q268" s="35" t="str">
        <f>MID(Tabla1[[#This Row],[Aplicación]],14,1)</f>
        <v>6</v>
      </c>
      <c r="R268" s="35" t="s">
        <v>442</v>
      </c>
      <c r="S268" s="35" t="str">
        <f>MID(Tabla1[[#This Row],[Aplicación]],6,2)</f>
        <v>10</v>
      </c>
      <c r="T268" s="35" t="str">
        <f>VLOOKUP(Tabla1[[#This Row],[AREA]],Hoja1!A:B,2,FALSE)</f>
        <v>10. Servicios sociales y mediación comunitaria</v>
      </c>
      <c r="U268" s="35" t="str">
        <f>MID(Tabla1[[#This Row],[Aplicación]],9,4)</f>
        <v>2312</v>
      </c>
      <c r="V268" s="35" t="str">
        <f>VLOOKUP(Tabla1[[#This Row],[PROGRAMA]],Hoja1!A:B,2,FALSE)</f>
        <v>2312. Iniciativas sociales</v>
      </c>
      <c r="W268" s="35" t="str">
        <f>MID(Tabla1[[#This Row],[Aplicación]],14,2)</f>
        <v>62</v>
      </c>
      <c r="X268" s="35" t="str">
        <f>MID(Tabla1[[#This Row],[Aplicación]],14,6)</f>
        <v>622</v>
      </c>
    </row>
    <row r="269" spans="1:24" x14ac:dyDescent="0.25">
      <c r="A269" s="49">
        <v>220220006700</v>
      </c>
      <c r="B269" s="50" t="s">
        <v>9</v>
      </c>
      <c r="C269" s="57">
        <v>44617</v>
      </c>
      <c r="D269" s="49">
        <v>22022002530</v>
      </c>
      <c r="E269" s="50" t="s">
        <v>1704</v>
      </c>
      <c r="F269" s="58">
        <v>7018</v>
      </c>
      <c r="G269" s="50" t="s">
        <v>1723</v>
      </c>
      <c r="H269" s="50" t="s">
        <v>1724</v>
      </c>
      <c r="I269" s="49" t="s">
        <v>107</v>
      </c>
      <c r="J269" s="50" t="s">
        <v>109</v>
      </c>
      <c r="K269" s="50" t="s">
        <v>109</v>
      </c>
      <c r="L269" s="50" t="s">
        <v>12</v>
      </c>
      <c r="M269" s="50" t="s">
        <v>10</v>
      </c>
      <c r="N269" s="50" t="s">
        <v>11</v>
      </c>
      <c r="O269" s="48" t="s">
        <v>632</v>
      </c>
      <c r="P269" s="45" t="s">
        <v>453</v>
      </c>
      <c r="Q269" s="35" t="str">
        <f>MID(Tabla1[[#This Row],[Aplicación]],14,1)</f>
        <v>2</v>
      </c>
      <c r="R269" s="35" t="s">
        <v>441</v>
      </c>
      <c r="S269" s="35" t="str">
        <f>MID(Tabla1[[#This Row],[Aplicación]],6,2)</f>
        <v>11</v>
      </c>
      <c r="T269" s="35" t="str">
        <f>VLOOKUP(Tabla1[[#This Row],[AREA]],Hoja1!A:B,2,FALSE)</f>
        <v>11. Salud pública y seguridad ciudadana</v>
      </c>
      <c r="U269" s="35" t="str">
        <f>MID(Tabla1[[#This Row],[Aplicación]],9,4)</f>
        <v>1321</v>
      </c>
      <c r="V269" s="35" t="str">
        <f>VLOOKUP(Tabla1[[#This Row],[PROGRAMA]],Hoja1!A:B,2,FALSE)</f>
        <v>1321. Policía municipal</v>
      </c>
      <c r="W269" s="35" t="str">
        <f>MID(Tabla1[[#This Row],[Aplicación]],14,2)</f>
        <v>22</v>
      </c>
      <c r="X269" s="35" t="str">
        <f>MID(Tabla1[[#This Row],[Aplicación]],14,6)</f>
        <v>22706</v>
      </c>
    </row>
    <row r="270" spans="1:24" x14ac:dyDescent="0.25">
      <c r="A270" s="49">
        <v>220219000913</v>
      </c>
      <c r="B270" s="50" t="s">
        <v>9</v>
      </c>
      <c r="C270" s="57">
        <v>44562</v>
      </c>
      <c r="D270" s="49">
        <v>22022000109</v>
      </c>
      <c r="E270" s="50" t="s">
        <v>1686</v>
      </c>
      <c r="F270" s="58">
        <v>65000</v>
      </c>
      <c r="G270" s="50" t="s">
        <v>38</v>
      </c>
      <c r="H270" s="50" t="s">
        <v>1725</v>
      </c>
      <c r="I270" s="49" t="s">
        <v>107</v>
      </c>
      <c r="J270" s="50" t="s">
        <v>129</v>
      </c>
      <c r="K270" s="50" t="s">
        <v>170</v>
      </c>
      <c r="L270" s="50" t="s">
        <v>15</v>
      </c>
      <c r="M270" s="50" t="s">
        <v>13</v>
      </c>
      <c r="N270" s="50" t="s">
        <v>14</v>
      </c>
      <c r="O270" s="48" t="s">
        <v>620</v>
      </c>
      <c r="P270" s="45" t="s">
        <v>453</v>
      </c>
      <c r="Q270" s="35" t="str">
        <f>MID(Tabla1[[#This Row],[Aplicación]],14,1)</f>
        <v>2</v>
      </c>
      <c r="R270" s="35" t="s">
        <v>441</v>
      </c>
      <c r="S270" s="35" t="str">
        <f>MID(Tabla1[[#This Row],[Aplicación]],6,2)</f>
        <v>10</v>
      </c>
      <c r="T270" s="35" t="str">
        <f>VLOOKUP(Tabla1[[#This Row],[AREA]],Hoja1!A:B,2,FALSE)</f>
        <v>10. Servicios sociales y mediación comunitaria</v>
      </c>
      <c r="U270" s="35" t="str">
        <f>MID(Tabla1[[#This Row],[Aplicación]],9,4)</f>
        <v>2312</v>
      </c>
      <c r="V270" s="35" t="str">
        <f>VLOOKUP(Tabla1[[#This Row],[PROGRAMA]],Hoja1!A:B,2,FALSE)</f>
        <v>2312. Iniciativas sociales</v>
      </c>
      <c r="W270" s="35" t="str">
        <f>MID(Tabla1[[#This Row],[Aplicación]],14,2)</f>
        <v>22</v>
      </c>
      <c r="X270" s="35" t="str">
        <f>MID(Tabla1[[#This Row],[Aplicación]],14,6)</f>
        <v>22100</v>
      </c>
    </row>
    <row r="271" spans="1:24" x14ac:dyDescent="0.25">
      <c r="A271" s="49">
        <v>220219000918</v>
      </c>
      <c r="B271" s="50" t="s">
        <v>9</v>
      </c>
      <c r="C271" s="57">
        <v>44562</v>
      </c>
      <c r="D271" s="49">
        <v>22022000114</v>
      </c>
      <c r="E271" s="50" t="s">
        <v>1726</v>
      </c>
      <c r="F271" s="58">
        <v>65000</v>
      </c>
      <c r="G271" s="50" t="s">
        <v>38</v>
      </c>
      <c r="H271" s="50" t="s">
        <v>1727</v>
      </c>
      <c r="I271" s="49" t="s">
        <v>107</v>
      </c>
      <c r="J271" s="50" t="s">
        <v>129</v>
      </c>
      <c r="K271" s="50" t="s">
        <v>170</v>
      </c>
      <c r="L271" s="50" t="s">
        <v>15</v>
      </c>
      <c r="M271" s="50" t="s">
        <v>13</v>
      </c>
      <c r="N271" s="50" t="s">
        <v>16</v>
      </c>
      <c r="O271" s="48" t="s">
        <v>620</v>
      </c>
      <c r="P271" s="45" t="s">
        <v>453</v>
      </c>
      <c r="Q271" s="35" t="str">
        <f>MID(Tabla1[[#This Row],[Aplicación]],14,1)</f>
        <v>2</v>
      </c>
      <c r="R271" s="35" t="s">
        <v>441</v>
      </c>
      <c r="S271" s="35" t="str">
        <f>MID(Tabla1[[#This Row],[Aplicación]],6,2)</f>
        <v>06</v>
      </c>
      <c r="T271" s="35" t="str">
        <f>VLOOKUP(Tabla1[[#This Row],[AREA]],Hoja1!A:B,2,FALSE)</f>
        <v>06. Educación, infancia, juventud e igualdad</v>
      </c>
      <c r="U271" s="35" t="str">
        <f>MID(Tabla1[[#This Row],[Aplicación]],9,4)</f>
        <v>2314</v>
      </c>
      <c r="V271" s="35" t="str">
        <f>VLOOKUP(Tabla1[[#This Row],[PROGRAMA]],Hoja1!A:B,2,FALSE)</f>
        <v>2314. Centro de programas juveniles</v>
      </c>
      <c r="W271" s="35" t="str">
        <f>MID(Tabla1[[#This Row],[Aplicación]],14,2)</f>
        <v>22</v>
      </c>
      <c r="X271" s="35" t="str">
        <f>MID(Tabla1[[#This Row],[Aplicación]],14,6)</f>
        <v>22100</v>
      </c>
    </row>
    <row r="272" spans="1:24" x14ac:dyDescent="0.25">
      <c r="A272" s="49">
        <v>220219000927</v>
      </c>
      <c r="B272" s="50" t="s">
        <v>9</v>
      </c>
      <c r="C272" s="57">
        <v>44562</v>
      </c>
      <c r="D272" s="49">
        <v>22022000123</v>
      </c>
      <c r="E272" s="50" t="s">
        <v>1728</v>
      </c>
      <c r="F272" s="58">
        <v>65000</v>
      </c>
      <c r="G272" s="50" t="s">
        <v>38</v>
      </c>
      <c r="H272" s="50" t="s">
        <v>1729</v>
      </c>
      <c r="I272" s="49" t="s">
        <v>107</v>
      </c>
      <c r="J272" s="50" t="s">
        <v>129</v>
      </c>
      <c r="K272" s="50" t="s">
        <v>170</v>
      </c>
      <c r="L272" s="50" t="s">
        <v>15</v>
      </c>
      <c r="M272" s="50" t="s">
        <v>13</v>
      </c>
      <c r="N272" s="50" t="s">
        <v>14</v>
      </c>
      <c r="O272" s="48" t="s">
        <v>620</v>
      </c>
      <c r="P272" s="45" t="s">
        <v>453</v>
      </c>
      <c r="Q272" s="35" t="str">
        <f>MID(Tabla1[[#This Row],[Aplicación]],14,1)</f>
        <v>2</v>
      </c>
      <c r="R272" s="35" t="s">
        <v>441</v>
      </c>
      <c r="S272" s="35" t="str">
        <f>MID(Tabla1[[#This Row],[Aplicación]],6,2)</f>
        <v>11</v>
      </c>
      <c r="T272" s="35" t="str">
        <f>VLOOKUP(Tabla1[[#This Row],[AREA]],Hoja1!A:B,2,FALSE)</f>
        <v>11. Salud pública y seguridad ciudadana</v>
      </c>
      <c r="U272" s="35" t="str">
        <f>MID(Tabla1[[#This Row],[Aplicación]],9,4)</f>
        <v>1631</v>
      </c>
      <c r="V272" s="35" t="str">
        <f>VLOOKUP(Tabla1[[#This Row],[PROGRAMA]],Hoja1!A:B,2,FALSE)</f>
        <v>1631. Limpieza viaria</v>
      </c>
      <c r="W272" s="35" t="str">
        <f>MID(Tabla1[[#This Row],[Aplicación]],14,2)</f>
        <v>22</v>
      </c>
      <c r="X272" s="35" t="str">
        <f>MID(Tabla1[[#This Row],[Aplicación]],14,6)</f>
        <v>22100</v>
      </c>
    </row>
    <row r="273" spans="1:24" x14ac:dyDescent="0.25">
      <c r="A273" s="49">
        <v>220209000790</v>
      </c>
      <c r="B273" s="50" t="s">
        <v>9</v>
      </c>
      <c r="C273" s="57">
        <v>44562</v>
      </c>
      <c r="D273" s="49">
        <v>22022000311</v>
      </c>
      <c r="E273" s="50" t="s">
        <v>1730</v>
      </c>
      <c r="F273" s="58">
        <v>174990.1</v>
      </c>
      <c r="G273" s="50" t="s">
        <v>842</v>
      </c>
      <c r="H273" s="50" t="s">
        <v>843</v>
      </c>
      <c r="I273" s="49" t="s">
        <v>107</v>
      </c>
      <c r="J273" s="50" t="s">
        <v>109</v>
      </c>
      <c r="K273" s="50" t="s">
        <v>109</v>
      </c>
      <c r="L273" s="50" t="s">
        <v>12</v>
      </c>
      <c r="M273" s="50" t="s">
        <v>13</v>
      </c>
      <c r="N273" s="50" t="s">
        <v>14</v>
      </c>
      <c r="O273" s="48" t="s">
        <v>620</v>
      </c>
      <c r="P273" s="45" t="s">
        <v>453</v>
      </c>
      <c r="Q273" s="35" t="str">
        <f>MID(Tabla1[[#This Row],[Aplicación]],14,1)</f>
        <v>2</v>
      </c>
      <c r="R273" s="35" t="s">
        <v>441</v>
      </c>
      <c r="S273" s="35" t="str">
        <f>MID(Tabla1[[#This Row],[Aplicación]],6,2)</f>
        <v>03</v>
      </c>
      <c r="T273" s="35" t="str">
        <f>VLOOKUP(Tabla1[[#This Row],[AREA]],Hoja1!A:B,2,FALSE)</f>
        <v>03. Participación ciudadana y deportes</v>
      </c>
      <c r="U273" s="35" t="str">
        <f>MID(Tabla1[[#This Row],[Aplicación]],9,4)</f>
        <v>9241</v>
      </c>
      <c r="V273" s="35" t="str">
        <f>VLOOKUP(Tabla1[[#This Row],[PROGRAMA]],Hoja1!A:B,2,FALSE)</f>
        <v>9241. Participación ciudadana</v>
      </c>
      <c r="W273" s="35" t="str">
        <f>MID(Tabla1[[#This Row],[Aplicación]],14,2)</f>
        <v>22</v>
      </c>
      <c r="X273" s="35" t="str">
        <f>MID(Tabla1[[#This Row],[Aplicación]],14,6)</f>
        <v>22701</v>
      </c>
    </row>
    <row r="274" spans="1:24" x14ac:dyDescent="0.25">
      <c r="A274" s="49">
        <v>220209000759</v>
      </c>
      <c r="B274" s="50" t="s">
        <v>9</v>
      </c>
      <c r="C274" s="57">
        <v>44562</v>
      </c>
      <c r="D274" s="49">
        <v>22022000279</v>
      </c>
      <c r="E274" s="50" t="s">
        <v>1731</v>
      </c>
      <c r="F274" s="58">
        <v>170526.49</v>
      </c>
      <c r="G274" s="50" t="s">
        <v>499</v>
      </c>
      <c r="H274" s="50" t="s">
        <v>674</v>
      </c>
      <c r="I274" s="49" t="s">
        <v>107</v>
      </c>
      <c r="J274" s="50" t="s">
        <v>526</v>
      </c>
      <c r="K274" s="50" t="s">
        <v>170</v>
      </c>
      <c r="L274" s="50" t="s">
        <v>921</v>
      </c>
      <c r="M274" s="50" t="s">
        <v>13</v>
      </c>
      <c r="N274" s="50" t="s">
        <v>14</v>
      </c>
      <c r="O274" s="48" t="s">
        <v>620</v>
      </c>
      <c r="P274" s="45" t="s">
        <v>453</v>
      </c>
      <c r="Q274" s="35" t="str">
        <f>MID(Tabla1[[#This Row],[Aplicación]],14,1)</f>
        <v>2</v>
      </c>
      <c r="R274" s="35" t="s">
        <v>441</v>
      </c>
      <c r="S274" s="35" t="str">
        <f>MID(Tabla1[[#This Row],[Aplicación]],6,2)</f>
        <v>02</v>
      </c>
      <c r="T274" s="35" t="str">
        <f>VLOOKUP(Tabla1[[#This Row],[AREA]],Hoja1!A:B,2,FALSE)</f>
        <v>02. Planeamiento urbanístico y vivienda</v>
      </c>
      <c r="U274" s="35" t="str">
        <f>MID(Tabla1[[#This Row],[Aplicación]],9,4)</f>
        <v>9331</v>
      </c>
      <c r="V274" s="35" t="str">
        <f>VLOOKUP(Tabla1[[#This Row],[PROGRAMA]],Hoja1!A:B,2,FALSE)</f>
        <v>9331. Gestión del patrimonio</v>
      </c>
      <c r="W274" s="35" t="str">
        <f>MID(Tabla1[[#This Row],[Aplicación]],14,2)</f>
        <v>22</v>
      </c>
      <c r="X274" s="35" t="str">
        <f>MID(Tabla1[[#This Row],[Aplicación]],14,6)</f>
        <v>224</v>
      </c>
    </row>
    <row r="275" spans="1:24" x14ac:dyDescent="0.25">
      <c r="A275" s="49">
        <v>220220012356</v>
      </c>
      <c r="B275" s="50" t="s">
        <v>9</v>
      </c>
      <c r="C275" s="57">
        <v>44643</v>
      </c>
      <c r="D275" s="49">
        <v>22022002864</v>
      </c>
      <c r="E275" s="50" t="s">
        <v>1629</v>
      </c>
      <c r="F275" s="58">
        <v>700</v>
      </c>
      <c r="G275" s="50" t="s">
        <v>1732</v>
      </c>
      <c r="H275" s="50" t="s">
        <v>1733</v>
      </c>
      <c r="I275" s="49" t="s">
        <v>107</v>
      </c>
      <c r="J275" s="50" t="s">
        <v>109</v>
      </c>
      <c r="K275" s="50" t="s">
        <v>109</v>
      </c>
      <c r="L275" s="50" t="s">
        <v>12</v>
      </c>
      <c r="M275" s="50" t="s">
        <v>10</v>
      </c>
      <c r="N275" s="50" t="s">
        <v>11</v>
      </c>
      <c r="O275" s="48" t="s">
        <v>632</v>
      </c>
      <c r="P275" s="45" t="s">
        <v>453</v>
      </c>
      <c r="Q275" s="35" t="str">
        <f>MID(Tabla1[[#This Row],[Aplicación]],14,1)</f>
        <v>2</v>
      </c>
      <c r="R275" s="35" t="s">
        <v>441</v>
      </c>
      <c r="S275" s="35" t="str">
        <f>MID(Tabla1[[#This Row],[Aplicación]],6,2)</f>
        <v>06</v>
      </c>
      <c r="T275" s="35" t="str">
        <f>VLOOKUP(Tabla1[[#This Row],[AREA]],Hoja1!A:B,2,FALSE)</f>
        <v>06. Educación, infancia, juventud e igualdad</v>
      </c>
      <c r="U275" s="35" t="str">
        <f>MID(Tabla1[[#This Row],[Aplicación]],9,4)</f>
        <v>2315</v>
      </c>
      <c r="V275" s="35" t="str">
        <f>VLOOKUP(Tabla1[[#This Row],[PROGRAMA]],Hoja1!A:B,2,FALSE)</f>
        <v>2315. Políticas de Igualdad e infancia</v>
      </c>
      <c r="W275" s="35" t="str">
        <f>MID(Tabla1[[#This Row],[Aplicación]],14,2)</f>
        <v>22</v>
      </c>
      <c r="X275" s="35" t="str">
        <f>MID(Tabla1[[#This Row],[Aplicación]],14,6)</f>
        <v>22611</v>
      </c>
    </row>
    <row r="276" spans="1:24" x14ac:dyDescent="0.25">
      <c r="A276" s="49">
        <v>220210083430</v>
      </c>
      <c r="B276" s="50" t="s">
        <v>9</v>
      </c>
      <c r="C276" s="57">
        <v>44620</v>
      </c>
      <c r="D276" s="49">
        <v>22021008006</v>
      </c>
      <c r="E276" s="50" t="s">
        <v>1734</v>
      </c>
      <c r="F276" s="58">
        <v>166907.4</v>
      </c>
      <c r="G276" s="50" t="s">
        <v>1189</v>
      </c>
      <c r="H276" s="50" t="s">
        <v>1190</v>
      </c>
      <c r="I276" s="49" t="s">
        <v>107</v>
      </c>
      <c r="J276" s="50" t="s">
        <v>108</v>
      </c>
      <c r="K276" s="50" t="s">
        <v>108</v>
      </c>
      <c r="L276" s="50" t="s">
        <v>921</v>
      </c>
      <c r="M276" s="50" t="s">
        <v>13</v>
      </c>
      <c r="N276" s="50" t="s">
        <v>14</v>
      </c>
      <c r="O276" s="48" t="s">
        <v>620</v>
      </c>
      <c r="P276" s="45" t="s">
        <v>453</v>
      </c>
      <c r="Q276" s="35" t="str">
        <f>MID(Tabla1[[#This Row],[Aplicación]],14,1)</f>
        <v>6</v>
      </c>
      <c r="R276" s="35" t="s">
        <v>442</v>
      </c>
      <c r="S276" s="35" t="str">
        <f>MID(Tabla1[[#This Row],[Aplicación]],6,2)</f>
        <v>08</v>
      </c>
      <c r="T276" s="35" t="str">
        <f>VLOOKUP(Tabla1[[#This Row],[AREA]],Hoja1!A:B,2,FALSE)</f>
        <v>08. Movilidad y espacio urbano</v>
      </c>
      <c r="U276" s="35" t="str">
        <f>MID(Tabla1[[#This Row],[Aplicación]],9,4)</f>
        <v>1532</v>
      </c>
      <c r="V276" s="35" t="str">
        <f>VLOOKUP(Tabla1[[#This Row],[PROGRAMA]],Hoja1!A:B,2,FALSE)</f>
        <v>1532. Pavimentación vias públicas y otros servicios urbanísticos</v>
      </c>
      <c r="W276" s="35" t="str">
        <f>MID(Tabla1[[#This Row],[Aplicación]],14,2)</f>
        <v>62</v>
      </c>
      <c r="X276" s="35" t="str">
        <f>MID(Tabla1[[#This Row],[Aplicación]],14,6)</f>
        <v>625</v>
      </c>
    </row>
    <row r="277" spans="1:24" x14ac:dyDescent="0.25">
      <c r="A277" s="49">
        <v>220209000618</v>
      </c>
      <c r="B277" s="50" t="s">
        <v>9</v>
      </c>
      <c r="C277" s="57">
        <v>44562</v>
      </c>
      <c r="D277" s="49">
        <v>22022002098</v>
      </c>
      <c r="E277" s="50" t="s">
        <v>1676</v>
      </c>
      <c r="F277" s="58">
        <v>163095.57</v>
      </c>
      <c r="G277" s="50" t="s">
        <v>169</v>
      </c>
      <c r="H277" s="50" t="s">
        <v>690</v>
      </c>
      <c r="I277" s="49" t="s">
        <v>107</v>
      </c>
      <c r="J277" s="50" t="s">
        <v>544</v>
      </c>
      <c r="K277" s="50" t="s">
        <v>109</v>
      </c>
      <c r="L277" s="50" t="s">
        <v>12</v>
      </c>
      <c r="M277" s="50" t="s">
        <v>13</v>
      </c>
      <c r="N277" s="50" t="s">
        <v>14</v>
      </c>
      <c r="O277" s="48" t="s">
        <v>620</v>
      </c>
      <c r="P277" s="45" t="s">
        <v>453</v>
      </c>
      <c r="Q277" s="35" t="str">
        <f>MID(Tabla1[[#This Row],[Aplicación]],14,1)</f>
        <v>6</v>
      </c>
      <c r="R277" s="35" t="s">
        <v>442</v>
      </c>
      <c r="S277" s="35" t="str">
        <f>MID(Tabla1[[#This Row],[Aplicación]],6,2)</f>
        <v>04</v>
      </c>
      <c r="T277" s="35" t="str">
        <f>VLOOKUP(Tabla1[[#This Row],[AREA]],Hoja1!A:B,2,FALSE)</f>
        <v>04. Planificación y recursos</v>
      </c>
      <c r="U277" s="35" t="str">
        <f>MID(Tabla1[[#This Row],[Aplicación]],9,4)</f>
        <v>9204</v>
      </c>
      <c r="V277" s="35" t="str">
        <f>VLOOKUP(Tabla1[[#This Row],[PROGRAMA]],Hoja1!A:B,2,FALSE)</f>
        <v>9204. Tecnologías de la información y comunicación</v>
      </c>
      <c r="W277" s="35" t="str">
        <f>MID(Tabla1[[#This Row],[Aplicación]],14,2)</f>
        <v>64</v>
      </c>
      <c r="X277" s="35" t="str">
        <f>MID(Tabla1[[#This Row],[Aplicación]],14,6)</f>
        <v>641</v>
      </c>
    </row>
    <row r="278" spans="1:24" x14ac:dyDescent="0.25">
      <c r="A278" s="49">
        <v>220220001713</v>
      </c>
      <c r="B278" s="50" t="s">
        <v>9</v>
      </c>
      <c r="C278" s="57">
        <v>44588</v>
      </c>
      <c r="D278" s="49">
        <v>22022001659</v>
      </c>
      <c r="E278" s="50" t="s">
        <v>1471</v>
      </c>
      <c r="F278" s="58">
        <v>3518.64</v>
      </c>
      <c r="G278" s="50" t="s">
        <v>66</v>
      </c>
      <c r="H278" s="50" t="s">
        <v>1735</v>
      </c>
      <c r="I278" s="49" t="s">
        <v>107</v>
      </c>
      <c r="J278" s="50" t="s">
        <v>559</v>
      </c>
      <c r="K278" s="50" t="s">
        <v>157</v>
      </c>
      <c r="L278" s="50" t="s">
        <v>12</v>
      </c>
      <c r="M278" s="50" t="s">
        <v>10</v>
      </c>
      <c r="N278" s="50" t="s">
        <v>11</v>
      </c>
      <c r="O278" s="48" t="s">
        <v>632</v>
      </c>
      <c r="P278" s="45" t="s">
        <v>453</v>
      </c>
      <c r="Q278" s="35" t="str">
        <f>MID(Tabla1[[#This Row],[Aplicación]],14,1)</f>
        <v>2</v>
      </c>
      <c r="R278" s="35" t="s">
        <v>441</v>
      </c>
      <c r="S278" s="35" t="str">
        <f>MID(Tabla1[[#This Row],[Aplicación]],6,2)</f>
        <v>11</v>
      </c>
      <c r="T278" s="35" t="str">
        <f>VLOOKUP(Tabla1[[#This Row],[AREA]],Hoja1!A:B,2,FALSE)</f>
        <v>11. Salud pública y seguridad ciudadana</v>
      </c>
      <c r="U278" s="35" t="str">
        <f>MID(Tabla1[[#This Row],[Aplicación]],9,4)</f>
        <v>1321</v>
      </c>
      <c r="V278" s="35" t="str">
        <f>VLOOKUP(Tabla1[[#This Row],[PROGRAMA]],Hoja1!A:B,2,FALSE)</f>
        <v>1321. Policía municipal</v>
      </c>
      <c r="W278" s="35" t="str">
        <f>MID(Tabla1[[#This Row],[Aplicación]],14,2)</f>
        <v>21</v>
      </c>
      <c r="X278" s="35" t="str">
        <f>MID(Tabla1[[#This Row],[Aplicación]],14,6)</f>
        <v>213</v>
      </c>
    </row>
    <row r="279" spans="1:24" x14ac:dyDescent="0.25">
      <c r="A279" s="49">
        <v>220220006380</v>
      </c>
      <c r="B279" s="50" t="s">
        <v>9</v>
      </c>
      <c r="C279" s="57">
        <v>44617</v>
      </c>
      <c r="D279" s="49">
        <v>22022002493</v>
      </c>
      <c r="E279" s="50" t="s">
        <v>1736</v>
      </c>
      <c r="F279" s="58">
        <v>2333.36</v>
      </c>
      <c r="G279" s="50" t="s">
        <v>66</v>
      </c>
      <c r="H279" s="50" t="s">
        <v>1737</v>
      </c>
      <c r="I279" s="49" t="s">
        <v>107</v>
      </c>
      <c r="J279" s="50" t="s">
        <v>559</v>
      </c>
      <c r="K279" s="50" t="s">
        <v>157</v>
      </c>
      <c r="L279" s="50" t="s">
        <v>12</v>
      </c>
      <c r="M279" s="50" t="s">
        <v>10</v>
      </c>
      <c r="N279" s="50" t="s">
        <v>11</v>
      </c>
      <c r="O279" s="48" t="s">
        <v>632</v>
      </c>
      <c r="P279" s="45" t="s">
        <v>453</v>
      </c>
      <c r="Q279" s="35" t="str">
        <f>MID(Tabla1[[#This Row],[Aplicación]],14,1)</f>
        <v>2</v>
      </c>
      <c r="R279" s="35" t="s">
        <v>441</v>
      </c>
      <c r="S279" s="35" t="str">
        <f>MID(Tabla1[[#This Row],[Aplicación]],6,2)</f>
        <v>07</v>
      </c>
      <c r="T279" s="35" t="str">
        <f>VLOOKUP(Tabla1[[#This Row],[AREA]],Hoja1!A:B,2,FALSE)</f>
        <v>07. Medio ambiente y desarrollo sostenible</v>
      </c>
      <c r="U279" s="35" t="str">
        <f>MID(Tabla1[[#This Row],[Aplicación]],9,4)</f>
        <v>1701</v>
      </c>
      <c r="V279" s="35" t="str">
        <f>VLOOKUP(Tabla1[[#This Row],[PROGRAMA]],Hoja1!A:B,2,FALSE)</f>
        <v>1701. Dirección del área de medio ambiente</v>
      </c>
      <c r="W279" s="35" t="str">
        <f>MID(Tabla1[[#This Row],[Aplicación]],14,2)</f>
        <v>21</v>
      </c>
      <c r="X279" s="35" t="str">
        <f>MID(Tabla1[[#This Row],[Aplicación]],14,6)</f>
        <v>213</v>
      </c>
    </row>
    <row r="280" spans="1:24" x14ac:dyDescent="0.25">
      <c r="A280" s="49">
        <v>220209000438</v>
      </c>
      <c r="B280" s="50" t="s">
        <v>9</v>
      </c>
      <c r="C280" s="57">
        <v>44562</v>
      </c>
      <c r="D280" s="49">
        <v>22022000189</v>
      </c>
      <c r="E280" s="50" t="s">
        <v>1397</v>
      </c>
      <c r="F280" s="58">
        <v>160325</v>
      </c>
      <c r="G280" s="50" t="s">
        <v>80</v>
      </c>
      <c r="H280" s="50" t="s">
        <v>737</v>
      </c>
      <c r="I280" s="49" t="s">
        <v>107</v>
      </c>
      <c r="J280" s="50" t="s">
        <v>109</v>
      </c>
      <c r="K280" s="50" t="s">
        <v>109</v>
      </c>
      <c r="L280" s="50" t="s">
        <v>12</v>
      </c>
      <c r="M280" s="50" t="s">
        <v>13</v>
      </c>
      <c r="N280" s="50" t="s">
        <v>14</v>
      </c>
      <c r="O280" s="48" t="s">
        <v>620</v>
      </c>
      <c r="P280" s="45" t="s">
        <v>453</v>
      </c>
      <c r="Q280" s="35" t="str">
        <f>MID(Tabla1[[#This Row],[Aplicación]],14,1)</f>
        <v>2</v>
      </c>
      <c r="R280" s="35" t="s">
        <v>441</v>
      </c>
      <c r="S280" s="35" t="str">
        <f>MID(Tabla1[[#This Row],[Aplicación]],6,2)</f>
        <v>10</v>
      </c>
      <c r="T280" s="35" t="str">
        <f>VLOOKUP(Tabla1[[#This Row],[AREA]],Hoja1!A:B,2,FALSE)</f>
        <v>10. Servicios sociales y mediación comunitaria</v>
      </c>
      <c r="U280" s="35" t="str">
        <f>MID(Tabla1[[#This Row],[Aplicación]],9,4)</f>
        <v>2312</v>
      </c>
      <c r="V280" s="35" t="str">
        <f>VLOOKUP(Tabla1[[#This Row],[PROGRAMA]],Hoja1!A:B,2,FALSE)</f>
        <v>2312. Iniciativas sociales</v>
      </c>
      <c r="W280" s="35" t="str">
        <f>MID(Tabla1[[#This Row],[Aplicación]],14,2)</f>
        <v>22</v>
      </c>
      <c r="X280" s="35" t="str">
        <f>MID(Tabla1[[#This Row],[Aplicación]],14,6)</f>
        <v>22799</v>
      </c>
    </row>
    <row r="281" spans="1:24" x14ac:dyDescent="0.25">
      <c r="A281" s="49">
        <v>220220007179</v>
      </c>
      <c r="B281" s="50" t="s">
        <v>9</v>
      </c>
      <c r="C281" s="57">
        <v>44623</v>
      </c>
      <c r="D281" s="49">
        <v>22022002038</v>
      </c>
      <c r="E281" s="50" t="s">
        <v>1397</v>
      </c>
      <c r="F281" s="58">
        <v>154497.60999999999</v>
      </c>
      <c r="G281" s="50" t="s">
        <v>110</v>
      </c>
      <c r="H281" s="50" t="s">
        <v>1738</v>
      </c>
      <c r="I281" s="49" t="s">
        <v>107</v>
      </c>
      <c r="J281" s="50" t="s">
        <v>108</v>
      </c>
      <c r="K281" s="50" t="s">
        <v>108</v>
      </c>
      <c r="L281" s="50" t="s">
        <v>12</v>
      </c>
      <c r="M281" s="50" t="s">
        <v>13</v>
      </c>
      <c r="N281" s="50" t="s">
        <v>14</v>
      </c>
      <c r="O281" s="48" t="s">
        <v>620</v>
      </c>
      <c r="P281" s="45" t="s">
        <v>453</v>
      </c>
      <c r="Q281" s="35" t="str">
        <f>MID(Tabla1[[#This Row],[Aplicación]],14,1)</f>
        <v>2</v>
      </c>
      <c r="R281" s="35" t="s">
        <v>441</v>
      </c>
      <c r="S281" s="35" t="str">
        <f>MID(Tabla1[[#This Row],[Aplicación]],6,2)</f>
        <v>10</v>
      </c>
      <c r="T281" s="35" t="str">
        <f>VLOOKUP(Tabla1[[#This Row],[AREA]],Hoja1!A:B,2,FALSE)</f>
        <v>10. Servicios sociales y mediación comunitaria</v>
      </c>
      <c r="U281" s="35" t="str">
        <f>MID(Tabla1[[#This Row],[Aplicación]],9,4)</f>
        <v>2312</v>
      </c>
      <c r="V281" s="35" t="str">
        <f>VLOOKUP(Tabla1[[#This Row],[PROGRAMA]],Hoja1!A:B,2,FALSE)</f>
        <v>2312. Iniciativas sociales</v>
      </c>
      <c r="W281" s="35" t="str">
        <f>MID(Tabla1[[#This Row],[Aplicación]],14,2)</f>
        <v>22</v>
      </c>
      <c r="X281" s="35" t="str">
        <f>MID(Tabla1[[#This Row],[Aplicación]],14,6)</f>
        <v>22799</v>
      </c>
    </row>
    <row r="282" spans="1:24" x14ac:dyDescent="0.25">
      <c r="A282" s="49">
        <v>220220003512</v>
      </c>
      <c r="B282" s="50" t="s">
        <v>172</v>
      </c>
      <c r="C282" s="57">
        <v>44606</v>
      </c>
      <c r="D282" s="49">
        <v>22022001872</v>
      </c>
      <c r="E282" s="50" t="s">
        <v>1676</v>
      </c>
      <c r="F282" s="58">
        <v>152946.42000000001</v>
      </c>
      <c r="G282" s="50" t="s">
        <v>161</v>
      </c>
      <c r="H282" s="50" t="s">
        <v>1739</v>
      </c>
      <c r="I282" s="49" t="s">
        <v>173</v>
      </c>
      <c r="J282" s="50" t="s">
        <v>108</v>
      </c>
      <c r="K282" s="50" t="s">
        <v>108</v>
      </c>
      <c r="L282" s="50" t="s">
        <v>15</v>
      </c>
      <c r="M282" s="50" t="s">
        <v>13</v>
      </c>
      <c r="N282" s="50" t="s">
        <v>14</v>
      </c>
      <c r="O282" s="48" t="s">
        <v>620</v>
      </c>
      <c r="P282" s="45" t="s">
        <v>453</v>
      </c>
      <c r="Q282" s="35" t="str">
        <f>MID(Tabla1[[#This Row],[Aplicación]],14,1)</f>
        <v>6</v>
      </c>
      <c r="R282" s="35" t="s">
        <v>442</v>
      </c>
      <c r="S282" s="35" t="str">
        <f>MID(Tabla1[[#This Row],[Aplicación]],6,2)</f>
        <v>04</v>
      </c>
      <c r="T282" s="35" t="str">
        <f>VLOOKUP(Tabla1[[#This Row],[AREA]],Hoja1!A:B,2,FALSE)</f>
        <v>04. Planificación y recursos</v>
      </c>
      <c r="U282" s="35" t="str">
        <f>MID(Tabla1[[#This Row],[Aplicación]],9,4)</f>
        <v>9204</v>
      </c>
      <c r="V282" s="35" t="str">
        <f>VLOOKUP(Tabla1[[#This Row],[PROGRAMA]],Hoja1!A:B,2,FALSE)</f>
        <v>9204. Tecnologías de la información y comunicación</v>
      </c>
      <c r="W282" s="35" t="str">
        <f>MID(Tabla1[[#This Row],[Aplicación]],14,2)</f>
        <v>64</v>
      </c>
      <c r="X282" s="35" t="str">
        <f>MID(Tabla1[[#This Row],[Aplicación]],14,6)</f>
        <v>641</v>
      </c>
    </row>
    <row r="283" spans="1:24" x14ac:dyDescent="0.25">
      <c r="A283" s="49">
        <v>220219000915</v>
      </c>
      <c r="B283" s="50" t="s">
        <v>9</v>
      </c>
      <c r="C283" s="57">
        <v>44562</v>
      </c>
      <c r="D283" s="49">
        <v>22022000111</v>
      </c>
      <c r="E283" s="50" t="s">
        <v>1740</v>
      </c>
      <c r="F283" s="58">
        <v>55000</v>
      </c>
      <c r="G283" s="50" t="s">
        <v>38</v>
      </c>
      <c r="H283" s="50" t="s">
        <v>1741</v>
      </c>
      <c r="I283" s="49" t="s">
        <v>107</v>
      </c>
      <c r="J283" s="50" t="s">
        <v>129</v>
      </c>
      <c r="K283" s="50" t="s">
        <v>170</v>
      </c>
      <c r="L283" s="50" t="s">
        <v>15</v>
      </c>
      <c r="M283" s="50" t="s">
        <v>13</v>
      </c>
      <c r="N283" s="50" t="s">
        <v>16</v>
      </c>
      <c r="O283" s="48" t="s">
        <v>620</v>
      </c>
      <c r="P283" s="45" t="s">
        <v>453</v>
      </c>
      <c r="Q283" s="35" t="str">
        <f>MID(Tabla1[[#This Row],[Aplicación]],14,1)</f>
        <v>2</v>
      </c>
      <c r="R283" s="35" t="s">
        <v>441</v>
      </c>
      <c r="S283" s="35" t="str">
        <f>MID(Tabla1[[#This Row],[Aplicación]],6,2)</f>
        <v>06</v>
      </c>
      <c r="T283" s="35" t="str">
        <f>VLOOKUP(Tabla1[[#This Row],[AREA]],Hoja1!A:B,2,FALSE)</f>
        <v>06. Educación, infancia, juventud e igualdad</v>
      </c>
      <c r="U283" s="35" t="str">
        <f>MID(Tabla1[[#This Row],[Aplicación]],9,4)</f>
        <v>3231</v>
      </c>
      <c r="V283" s="35" t="str">
        <f>VLOOKUP(Tabla1[[#This Row],[PROGRAMA]],Hoja1!A:B,2,FALSE)</f>
        <v>3231. Escuelas infantiles</v>
      </c>
      <c r="W283" s="35" t="str">
        <f>MID(Tabla1[[#This Row],[Aplicación]],14,2)</f>
        <v>22</v>
      </c>
      <c r="X283" s="35" t="str">
        <f>MID(Tabla1[[#This Row],[Aplicación]],14,6)</f>
        <v>22100</v>
      </c>
    </row>
    <row r="284" spans="1:24" x14ac:dyDescent="0.25">
      <c r="A284" s="49">
        <v>220220010313</v>
      </c>
      <c r="B284" s="50" t="s">
        <v>9</v>
      </c>
      <c r="C284" s="57">
        <v>44641</v>
      </c>
      <c r="D284" s="49">
        <v>22022002873</v>
      </c>
      <c r="E284" s="50" t="s">
        <v>1742</v>
      </c>
      <c r="F284" s="58">
        <v>183.18</v>
      </c>
      <c r="G284" s="50" t="s">
        <v>66</v>
      </c>
      <c r="H284" s="50" t="s">
        <v>1743</v>
      </c>
      <c r="I284" s="49" t="s">
        <v>107</v>
      </c>
      <c r="J284" s="50" t="s">
        <v>559</v>
      </c>
      <c r="K284" s="50" t="s">
        <v>157</v>
      </c>
      <c r="L284" s="50" t="s">
        <v>15</v>
      </c>
      <c r="M284" s="50" t="s">
        <v>10</v>
      </c>
      <c r="N284" s="50" t="s">
        <v>11</v>
      </c>
      <c r="O284" s="48" t="s">
        <v>632</v>
      </c>
      <c r="P284" s="45" t="s">
        <v>453</v>
      </c>
      <c r="Q284" s="35" t="str">
        <f>MID(Tabla1[[#This Row],[Aplicación]],14,1)</f>
        <v>2</v>
      </c>
      <c r="R284" s="35" t="s">
        <v>441</v>
      </c>
      <c r="S284" s="35" t="str">
        <f>MID(Tabla1[[#This Row],[Aplicación]],6,2)</f>
        <v>03</v>
      </c>
      <c r="T284" s="35" t="str">
        <f>VLOOKUP(Tabla1[[#This Row],[AREA]],Hoja1!A:B,2,FALSE)</f>
        <v>03. Participación ciudadana y deportes</v>
      </c>
      <c r="U284" s="35" t="str">
        <f>MID(Tabla1[[#This Row],[Aplicación]],9,4)</f>
        <v>9241</v>
      </c>
      <c r="V284" s="35" t="str">
        <f>VLOOKUP(Tabla1[[#This Row],[PROGRAMA]],Hoja1!A:B,2,FALSE)</f>
        <v>9241. Participación ciudadana</v>
      </c>
      <c r="W284" s="35" t="str">
        <f>MID(Tabla1[[#This Row],[Aplicación]],14,2)</f>
        <v>21</v>
      </c>
      <c r="X284" s="35" t="str">
        <f>MID(Tabla1[[#This Row],[Aplicación]],14,6)</f>
        <v>213</v>
      </c>
    </row>
    <row r="285" spans="1:24" x14ac:dyDescent="0.25">
      <c r="A285" s="49">
        <v>220209000465</v>
      </c>
      <c r="B285" s="50" t="s">
        <v>9</v>
      </c>
      <c r="C285" s="57">
        <v>44562</v>
      </c>
      <c r="D285" s="49">
        <v>22022000197</v>
      </c>
      <c r="E285" s="50" t="s">
        <v>1429</v>
      </c>
      <c r="F285" s="58">
        <v>150079.4</v>
      </c>
      <c r="G285" s="50" t="s">
        <v>658</v>
      </c>
      <c r="H285" s="50" t="s">
        <v>659</v>
      </c>
      <c r="I285" s="49" t="s">
        <v>107</v>
      </c>
      <c r="J285" s="50" t="s">
        <v>151</v>
      </c>
      <c r="K285" s="50" t="s">
        <v>151</v>
      </c>
      <c r="L285" s="50" t="s">
        <v>12</v>
      </c>
      <c r="M285" s="50" t="s">
        <v>13</v>
      </c>
      <c r="N285" s="50" t="s">
        <v>14</v>
      </c>
      <c r="O285" s="48" t="s">
        <v>620</v>
      </c>
      <c r="P285" s="45" t="s">
        <v>453</v>
      </c>
      <c r="Q285" s="35" t="str">
        <f>MID(Tabla1[[#This Row],[Aplicación]],14,1)</f>
        <v>2</v>
      </c>
      <c r="R285" s="35" t="s">
        <v>441</v>
      </c>
      <c r="S285" s="35" t="str">
        <f>MID(Tabla1[[#This Row],[Aplicación]],6,2)</f>
        <v>06</v>
      </c>
      <c r="T285" s="35" t="str">
        <f>VLOOKUP(Tabla1[[#This Row],[AREA]],Hoja1!A:B,2,FALSE)</f>
        <v>06. Educación, infancia, juventud e igualdad</v>
      </c>
      <c r="U285" s="35" t="str">
        <f>MID(Tabla1[[#This Row],[Aplicación]],9,4)</f>
        <v>3231</v>
      </c>
      <c r="V285" s="35" t="str">
        <f>VLOOKUP(Tabla1[[#This Row],[PROGRAMA]],Hoja1!A:B,2,FALSE)</f>
        <v>3231. Escuelas infantiles</v>
      </c>
      <c r="W285" s="35" t="str">
        <f>MID(Tabla1[[#This Row],[Aplicación]],14,2)</f>
        <v>22</v>
      </c>
      <c r="X285" s="35" t="str">
        <f>MID(Tabla1[[#This Row],[Aplicación]],14,6)</f>
        <v>22799</v>
      </c>
    </row>
    <row r="286" spans="1:24" x14ac:dyDescent="0.25">
      <c r="A286" s="49">
        <v>220220008893</v>
      </c>
      <c r="B286" s="50" t="s">
        <v>9</v>
      </c>
      <c r="C286" s="57">
        <v>44635</v>
      </c>
      <c r="D286" s="49">
        <v>22022001976</v>
      </c>
      <c r="E286" s="50" t="s">
        <v>1744</v>
      </c>
      <c r="F286" s="58">
        <v>150040</v>
      </c>
      <c r="G286" s="50" t="s">
        <v>1048</v>
      </c>
      <c r="H286" s="50" t="s">
        <v>1745</v>
      </c>
      <c r="I286" s="49" t="s">
        <v>107</v>
      </c>
      <c r="J286" s="50" t="s">
        <v>108</v>
      </c>
      <c r="K286" s="50" t="s">
        <v>108</v>
      </c>
      <c r="L286" s="50" t="s">
        <v>12</v>
      </c>
      <c r="M286" s="50" t="s">
        <v>13</v>
      </c>
      <c r="N286" s="50" t="s">
        <v>14</v>
      </c>
      <c r="O286" s="48" t="s">
        <v>620</v>
      </c>
      <c r="P286" s="45" t="s">
        <v>453</v>
      </c>
      <c r="Q286" s="35" t="str">
        <f>MID(Tabla1[[#This Row],[Aplicación]],14,1)</f>
        <v>8</v>
      </c>
      <c r="R286" s="35" t="s">
        <v>443</v>
      </c>
      <c r="S286" s="35" t="str">
        <f>MID(Tabla1[[#This Row],[Aplicación]],6,2)</f>
        <v>08</v>
      </c>
      <c r="T286" s="35" t="str">
        <f>VLOOKUP(Tabla1[[#This Row],[AREA]],Hoja1!A:B,2,FALSE)</f>
        <v>08. Movilidad y espacio urbano</v>
      </c>
      <c r="U286" s="35" t="str">
        <f>MID(Tabla1[[#This Row],[Aplicación]],9,4)</f>
        <v>1513</v>
      </c>
      <c r="V286" s="35" t="str">
        <f>VLOOKUP(Tabla1[[#This Row],[PROGRAMA]],Hoja1!A:B,2,FALSE)</f>
        <v>1513. Licencias urbanísticas</v>
      </c>
      <c r="W286" s="35" t="str">
        <f>MID(Tabla1[[#This Row],[Aplicación]],14,2)</f>
        <v>83</v>
      </c>
      <c r="X286" s="35" t="str">
        <f>MID(Tabla1[[#This Row],[Aplicación]],14,6)</f>
        <v>83100</v>
      </c>
    </row>
    <row r="287" spans="1:24" x14ac:dyDescent="0.25">
      <c r="A287" s="49">
        <v>220220003484</v>
      </c>
      <c r="B287" s="50" t="s">
        <v>9</v>
      </c>
      <c r="C287" s="57">
        <v>44606</v>
      </c>
      <c r="D287" s="49">
        <v>22022001962</v>
      </c>
      <c r="E287" s="50" t="s">
        <v>1496</v>
      </c>
      <c r="F287" s="58">
        <v>1133.77</v>
      </c>
      <c r="G287" s="50" t="s">
        <v>34</v>
      </c>
      <c r="H287" s="50" t="s">
        <v>1746</v>
      </c>
      <c r="I287" s="49" t="s">
        <v>107</v>
      </c>
      <c r="J287" s="50" t="s">
        <v>109</v>
      </c>
      <c r="K287" s="50" t="s">
        <v>109</v>
      </c>
      <c r="L287" s="50" t="s">
        <v>12</v>
      </c>
      <c r="M287" s="50" t="s">
        <v>10</v>
      </c>
      <c r="N287" s="50" t="s">
        <v>11</v>
      </c>
      <c r="O287" s="48" t="s">
        <v>632</v>
      </c>
      <c r="P287" s="45" t="s">
        <v>453</v>
      </c>
      <c r="Q287" s="35" t="str">
        <f>MID(Tabla1[[#This Row],[Aplicación]],14,1)</f>
        <v>2</v>
      </c>
      <c r="R287" s="35" t="s">
        <v>441</v>
      </c>
      <c r="S287" s="35" t="str">
        <f>MID(Tabla1[[#This Row],[Aplicación]],6,2)</f>
        <v>10</v>
      </c>
      <c r="T287" s="35" t="str">
        <f>VLOOKUP(Tabla1[[#This Row],[AREA]],Hoja1!A:B,2,FALSE)</f>
        <v>10. Servicios sociales y mediación comunitaria</v>
      </c>
      <c r="U287" s="35" t="str">
        <f>MID(Tabla1[[#This Row],[Aplicación]],9,4)</f>
        <v>2311</v>
      </c>
      <c r="V287" s="35" t="str">
        <f>VLOOKUP(Tabla1[[#This Row],[PROGRAMA]],Hoja1!A:B,2,FALSE)</f>
        <v>2311. Intervención social</v>
      </c>
      <c r="W287" s="35" t="str">
        <f>MID(Tabla1[[#This Row],[Aplicación]],14,2)</f>
        <v>21</v>
      </c>
      <c r="X287" s="35" t="str">
        <f>MID(Tabla1[[#This Row],[Aplicación]],14,6)</f>
        <v>213</v>
      </c>
    </row>
    <row r="288" spans="1:24" x14ac:dyDescent="0.25">
      <c r="A288" s="49">
        <v>220220004069</v>
      </c>
      <c r="B288" s="50" t="s">
        <v>172</v>
      </c>
      <c r="C288" s="57">
        <v>44610</v>
      </c>
      <c r="D288" s="49">
        <v>22022000901</v>
      </c>
      <c r="E288" s="50" t="s">
        <v>1644</v>
      </c>
      <c r="F288" s="58">
        <v>382.36</v>
      </c>
      <c r="G288" s="50" t="s">
        <v>263</v>
      </c>
      <c r="H288" s="50" t="s">
        <v>1747</v>
      </c>
      <c r="I288" s="49" t="s">
        <v>173</v>
      </c>
      <c r="J288" s="50" t="s">
        <v>109</v>
      </c>
      <c r="K288" s="50" t="s">
        <v>109</v>
      </c>
      <c r="L288" s="50" t="s">
        <v>12</v>
      </c>
      <c r="M288" s="50" t="s">
        <v>13</v>
      </c>
      <c r="N288" s="50" t="s">
        <v>14</v>
      </c>
      <c r="O288" s="48" t="s">
        <v>631</v>
      </c>
      <c r="P288" s="45" t="s">
        <v>453</v>
      </c>
      <c r="Q288" s="35" t="str">
        <f>MID(Tabla1[[#This Row],[Aplicación]],14,1)</f>
        <v>2</v>
      </c>
      <c r="R288" s="35" t="s">
        <v>441</v>
      </c>
      <c r="S288" s="35" t="str">
        <f>MID(Tabla1[[#This Row],[Aplicación]],6,2)</f>
        <v>11</v>
      </c>
      <c r="T288" s="35" t="str">
        <f>VLOOKUP(Tabla1[[#This Row],[AREA]],Hoja1!A:B,2,FALSE)</f>
        <v>11. Salud pública y seguridad ciudadana</v>
      </c>
      <c r="U288" s="35" t="str">
        <f>MID(Tabla1[[#This Row],[Aplicación]],9,4)</f>
        <v>1621</v>
      </c>
      <c r="V288" s="35" t="str">
        <f>VLOOKUP(Tabla1[[#This Row],[PROGRAMA]],Hoja1!A:B,2,FALSE)</f>
        <v>1621. Servicio de limpieza</v>
      </c>
      <c r="W288" s="35" t="str">
        <f>MID(Tabla1[[#This Row],[Aplicación]],14,2)</f>
        <v>21</v>
      </c>
      <c r="X288" s="35" t="str">
        <f>MID(Tabla1[[#This Row],[Aplicación]],14,6)</f>
        <v>214</v>
      </c>
    </row>
    <row r="289" spans="1:24" x14ac:dyDescent="0.25">
      <c r="A289" s="49">
        <v>220220006786</v>
      </c>
      <c r="B289" s="50" t="s">
        <v>172</v>
      </c>
      <c r="C289" s="57">
        <v>44622</v>
      </c>
      <c r="D289" s="49">
        <v>22022000901</v>
      </c>
      <c r="E289" s="50" t="s">
        <v>1644</v>
      </c>
      <c r="F289" s="58">
        <v>442.86</v>
      </c>
      <c r="G289" s="50" t="s">
        <v>263</v>
      </c>
      <c r="H289" s="50" t="s">
        <v>1748</v>
      </c>
      <c r="I289" s="49" t="s">
        <v>173</v>
      </c>
      <c r="J289" s="50" t="s">
        <v>109</v>
      </c>
      <c r="K289" s="50" t="s">
        <v>109</v>
      </c>
      <c r="L289" s="50" t="s">
        <v>12</v>
      </c>
      <c r="M289" s="50" t="s">
        <v>13</v>
      </c>
      <c r="N289" s="50" t="s">
        <v>14</v>
      </c>
      <c r="O289" s="48" t="s">
        <v>631</v>
      </c>
      <c r="P289" s="45" t="s">
        <v>453</v>
      </c>
      <c r="Q289" s="35" t="str">
        <f>MID(Tabla1[[#This Row],[Aplicación]],14,1)</f>
        <v>2</v>
      </c>
      <c r="R289" s="35" t="s">
        <v>441</v>
      </c>
      <c r="S289" s="35" t="str">
        <f>MID(Tabla1[[#This Row],[Aplicación]],6,2)</f>
        <v>11</v>
      </c>
      <c r="T289" s="35" t="str">
        <f>VLOOKUP(Tabla1[[#This Row],[AREA]],Hoja1!A:B,2,FALSE)</f>
        <v>11. Salud pública y seguridad ciudadana</v>
      </c>
      <c r="U289" s="35" t="str">
        <f>MID(Tabla1[[#This Row],[Aplicación]],9,4)</f>
        <v>1621</v>
      </c>
      <c r="V289" s="35" t="str">
        <f>VLOOKUP(Tabla1[[#This Row],[PROGRAMA]],Hoja1!A:B,2,FALSE)</f>
        <v>1621. Servicio de limpieza</v>
      </c>
      <c r="W289" s="35" t="str">
        <f>MID(Tabla1[[#This Row],[Aplicación]],14,2)</f>
        <v>21</v>
      </c>
      <c r="X289" s="35" t="str">
        <f>MID(Tabla1[[#This Row],[Aplicación]],14,6)</f>
        <v>214</v>
      </c>
    </row>
    <row r="290" spans="1:24" x14ac:dyDescent="0.25">
      <c r="A290" s="49">
        <v>220219000685</v>
      </c>
      <c r="B290" s="50" t="s">
        <v>9</v>
      </c>
      <c r="C290" s="57">
        <v>44562</v>
      </c>
      <c r="D290" s="49">
        <v>22022000087</v>
      </c>
      <c r="E290" s="50" t="s">
        <v>1749</v>
      </c>
      <c r="F290" s="58">
        <v>149531.79999999999</v>
      </c>
      <c r="G290" s="50" t="s">
        <v>1154</v>
      </c>
      <c r="H290" s="50" t="s">
        <v>1750</v>
      </c>
      <c r="I290" s="49" t="s">
        <v>107</v>
      </c>
      <c r="J290" s="50" t="s">
        <v>555</v>
      </c>
      <c r="K290" s="50" t="s">
        <v>127</v>
      </c>
      <c r="L290" s="50" t="s">
        <v>15</v>
      </c>
      <c r="M290" s="50" t="s">
        <v>13</v>
      </c>
      <c r="N290" s="50" t="s">
        <v>14</v>
      </c>
      <c r="O290" s="48" t="s">
        <v>620</v>
      </c>
      <c r="P290" s="45" t="s">
        <v>453</v>
      </c>
      <c r="Q290" s="35" t="str">
        <f>MID(Tabla1[[#This Row],[Aplicación]],14,1)</f>
        <v>2</v>
      </c>
      <c r="R290" s="35" t="s">
        <v>441</v>
      </c>
      <c r="S290" s="35" t="str">
        <f>MID(Tabla1[[#This Row],[Aplicación]],6,2)</f>
        <v>11</v>
      </c>
      <c r="T290" s="35" t="str">
        <f>VLOOKUP(Tabla1[[#This Row],[AREA]],Hoja1!A:B,2,FALSE)</f>
        <v>11. Salud pública y seguridad ciudadana</v>
      </c>
      <c r="U290" s="35" t="str">
        <f>MID(Tabla1[[#This Row],[Aplicación]],9,4)</f>
        <v>1321</v>
      </c>
      <c r="V290" s="35" t="str">
        <f>VLOOKUP(Tabla1[[#This Row],[PROGRAMA]],Hoja1!A:B,2,FALSE)</f>
        <v>1321. Policía municipal</v>
      </c>
      <c r="W290" s="35" t="str">
        <f>MID(Tabla1[[#This Row],[Aplicación]],14,2)</f>
        <v>22</v>
      </c>
      <c r="X290" s="35" t="str">
        <f>MID(Tabla1[[#This Row],[Aplicación]],14,6)</f>
        <v>22104</v>
      </c>
    </row>
    <row r="291" spans="1:24" x14ac:dyDescent="0.25">
      <c r="A291" s="49">
        <v>220179000247</v>
      </c>
      <c r="B291" s="50" t="s">
        <v>9</v>
      </c>
      <c r="C291" s="57">
        <v>44562</v>
      </c>
      <c r="D291" s="49">
        <v>22022000148</v>
      </c>
      <c r="E291" s="50" t="s">
        <v>1367</v>
      </c>
      <c r="F291" s="58">
        <v>146713.46</v>
      </c>
      <c r="G291" s="50" t="s">
        <v>125</v>
      </c>
      <c r="H291" s="50" t="s">
        <v>22</v>
      </c>
      <c r="I291" s="49" t="s">
        <v>107</v>
      </c>
      <c r="J291" s="50" t="s">
        <v>528</v>
      </c>
      <c r="K291" s="50" t="s">
        <v>126</v>
      </c>
      <c r="L291" s="50" t="s">
        <v>19</v>
      </c>
      <c r="M291" s="50" t="s">
        <v>13</v>
      </c>
      <c r="N291" s="50" t="s">
        <v>14</v>
      </c>
      <c r="O291" s="48" t="s">
        <v>620</v>
      </c>
      <c r="P291" s="45" t="s">
        <v>453</v>
      </c>
      <c r="Q291" s="35" t="str">
        <f>MID(Tabla1[[#This Row],[Aplicación]],14,1)</f>
        <v>2</v>
      </c>
      <c r="R291" s="35" t="s">
        <v>441</v>
      </c>
      <c r="S291" s="35" t="str">
        <f>MID(Tabla1[[#This Row],[Aplicación]],6,2)</f>
        <v>08</v>
      </c>
      <c r="T291" s="35" t="str">
        <f>VLOOKUP(Tabla1[[#This Row],[AREA]],Hoja1!A:B,2,FALSE)</f>
        <v>08. Movilidad y espacio urbano</v>
      </c>
      <c r="U291" s="35" t="str">
        <f>MID(Tabla1[[#This Row],[Aplicación]],9,4)</f>
        <v>1341</v>
      </c>
      <c r="V291" s="35" t="str">
        <f>VLOOKUP(Tabla1[[#This Row],[PROGRAMA]],Hoja1!A:B,2,FALSE)</f>
        <v>1341. Movilidad</v>
      </c>
      <c r="W291" s="35" t="str">
        <f>MID(Tabla1[[#This Row],[Aplicación]],14,2)</f>
        <v>22</v>
      </c>
      <c r="X291" s="35" t="str">
        <f>MID(Tabla1[[#This Row],[Aplicación]],14,6)</f>
        <v>22799</v>
      </c>
    </row>
    <row r="292" spans="1:24" x14ac:dyDescent="0.25">
      <c r="A292" s="49">
        <v>220210084928</v>
      </c>
      <c r="B292" s="50" t="s">
        <v>9</v>
      </c>
      <c r="C292" s="57">
        <v>44620</v>
      </c>
      <c r="D292" s="49">
        <v>22021005307</v>
      </c>
      <c r="E292" s="50" t="s">
        <v>1388</v>
      </c>
      <c r="F292" s="58">
        <v>146633.96</v>
      </c>
      <c r="G292" s="50" t="s">
        <v>259</v>
      </c>
      <c r="H292" s="50" t="s">
        <v>1191</v>
      </c>
      <c r="I292" s="49" t="s">
        <v>107</v>
      </c>
      <c r="J292" s="50" t="s">
        <v>109</v>
      </c>
      <c r="K292" s="50" t="s">
        <v>109</v>
      </c>
      <c r="L292" s="50" t="s">
        <v>25</v>
      </c>
      <c r="M292" s="50" t="s">
        <v>13</v>
      </c>
      <c r="N292" s="50" t="s">
        <v>14</v>
      </c>
      <c r="O292" s="48" t="s">
        <v>620</v>
      </c>
      <c r="P292" s="45" t="s">
        <v>453</v>
      </c>
      <c r="Q292" s="35" t="str">
        <f>MID(Tabla1[[#This Row],[Aplicación]],14,1)</f>
        <v>6</v>
      </c>
      <c r="R292" s="35" t="s">
        <v>442</v>
      </c>
      <c r="S292" s="35" t="str">
        <f>MID(Tabla1[[#This Row],[Aplicación]],6,2)</f>
        <v>08</v>
      </c>
      <c r="T292" s="35" t="str">
        <f>VLOOKUP(Tabla1[[#This Row],[AREA]],Hoja1!A:B,2,FALSE)</f>
        <v>08. Movilidad y espacio urbano</v>
      </c>
      <c r="U292" s="35" t="str">
        <f>MID(Tabla1[[#This Row],[Aplicación]],9,4)</f>
        <v>1532</v>
      </c>
      <c r="V292" s="35" t="str">
        <f>VLOOKUP(Tabla1[[#This Row],[PROGRAMA]],Hoja1!A:B,2,FALSE)</f>
        <v>1532. Pavimentación vias públicas y otros servicios urbanísticos</v>
      </c>
      <c r="W292" s="35" t="str">
        <f>MID(Tabla1[[#This Row],[Aplicación]],14,2)</f>
        <v>60</v>
      </c>
      <c r="X292" s="35" t="str">
        <f>MID(Tabla1[[#This Row],[Aplicación]],14,6)</f>
        <v>609</v>
      </c>
    </row>
    <row r="293" spans="1:24" x14ac:dyDescent="0.25">
      <c r="A293" s="49">
        <v>220220007932</v>
      </c>
      <c r="B293" s="50" t="s">
        <v>9</v>
      </c>
      <c r="C293" s="57">
        <v>44627</v>
      </c>
      <c r="D293" s="49">
        <v>22022002612</v>
      </c>
      <c r="E293" s="50" t="s">
        <v>1496</v>
      </c>
      <c r="F293" s="58">
        <v>217.8</v>
      </c>
      <c r="G293" s="50" t="s">
        <v>34</v>
      </c>
      <c r="H293" s="50" t="s">
        <v>1751</v>
      </c>
      <c r="I293" s="49" t="s">
        <v>107</v>
      </c>
      <c r="J293" s="50" t="s">
        <v>109</v>
      </c>
      <c r="K293" s="50" t="s">
        <v>109</v>
      </c>
      <c r="L293" s="50" t="s">
        <v>12</v>
      </c>
      <c r="M293" s="50" t="s">
        <v>10</v>
      </c>
      <c r="N293" s="50" t="s">
        <v>11</v>
      </c>
      <c r="O293" s="48" t="s">
        <v>632</v>
      </c>
      <c r="P293" s="45" t="s">
        <v>453</v>
      </c>
      <c r="Q293" s="35" t="str">
        <f>MID(Tabla1[[#This Row],[Aplicación]],14,1)</f>
        <v>2</v>
      </c>
      <c r="R293" s="35" t="s">
        <v>441</v>
      </c>
      <c r="S293" s="35" t="str">
        <f>MID(Tabla1[[#This Row],[Aplicación]],6,2)</f>
        <v>10</v>
      </c>
      <c r="T293" s="35" t="str">
        <f>VLOOKUP(Tabla1[[#This Row],[AREA]],Hoja1!A:B,2,FALSE)</f>
        <v>10. Servicios sociales y mediación comunitaria</v>
      </c>
      <c r="U293" s="35" t="str">
        <f>MID(Tabla1[[#This Row],[Aplicación]],9,4)</f>
        <v>2311</v>
      </c>
      <c r="V293" s="35" t="str">
        <f>VLOOKUP(Tabla1[[#This Row],[PROGRAMA]],Hoja1!A:B,2,FALSE)</f>
        <v>2311. Intervención social</v>
      </c>
      <c r="W293" s="35" t="str">
        <f>MID(Tabla1[[#This Row],[Aplicación]],14,2)</f>
        <v>21</v>
      </c>
      <c r="X293" s="35" t="str">
        <f>MID(Tabla1[[#This Row],[Aplicación]],14,6)</f>
        <v>213</v>
      </c>
    </row>
    <row r="294" spans="1:24" x14ac:dyDescent="0.25">
      <c r="A294" s="49">
        <v>220220012375</v>
      </c>
      <c r="B294" s="50" t="s">
        <v>9</v>
      </c>
      <c r="C294" s="57">
        <v>44643</v>
      </c>
      <c r="D294" s="49">
        <v>22022002845</v>
      </c>
      <c r="E294" s="50" t="s">
        <v>1496</v>
      </c>
      <c r="F294" s="58">
        <v>159.5</v>
      </c>
      <c r="G294" s="50" t="s">
        <v>34</v>
      </c>
      <c r="H294" s="50" t="s">
        <v>1752</v>
      </c>
      <c r="I294" s="49" t="s">
        <v>107</v>
      </c>
      <c r="J294" s="50" t="s">
        <v>109</v>
      </c>
      <c r="K294" s="50" t="s">
        <v>109</v>
      </c>
      <c r="L294" s="50" t="s">
        <v>12</v>
      </c>
      <c r="M294" s="50" t="s">
        <v>10</v>
      </c>
      <c r="N294" s="50" t="s">
        <v>11</v>
      </c>
      <c r="O294" s="48" t="s">
        <v>632</v>
      </c>
      <c r="P294" s="45" t="s">
        <v>453</v>
      </c>
      <c r="Q294" s="35" t="str">
        <f>MID(Tabla1[[#This Row],[Aplicación]],14,1)</f>
        <v>2</v>
      </c>
      <c r="R294" s="35" t="s">
        <v>441</v>
      </c>
      <c r="S294" s="35" t="str">
        <f>MID(Tabla1[[#This Row],[Aplicación]],6,2)</f>
        <v>10</v>
      </c>
      <c r="T294" s="35" t="str">
        <f>VLOOKUP(Tabla1[[#This Row],[AREA]],Hoja1!A:B,2,FALSE)</f>
        <v>10. Servicios sociales y mediación comunitaria</v>
      </c>
      <c r="U294" s="35" t="str">
        <f>MID(Tabla1[[#This Row],[Aplicación]],9,4)</f>
        <v>2311</v>
      </c>
      <c r="V294" s="35" t="str">
        <f>VLOOKUP(Tabla1[[#This Row],[PROGRAMA]],Hoja1!A:B,2,FALSE)</f>
        <v>2311. Intervención social</v>
      </c>
      <c r="W294" s="35" t="str">
        <f>MID(Tabla1[[#This Row],[Aplicación]],14,2)</f>
        <v>21</v>
      </c>
      <c r="X294" s="35" t="str">
        <f>MID(Tabla1[[#This Row],[Aplicación]],14,6)</f>
        <v>213</v>
      </c>
    </row>
    <row r="295" spans="1:24" x14ac:dyDescent="0.25">
      <c r="A295" s="49">
        <v>220209000356</v>
      </c>
      <c r="B295" s="50" t="s">
        <v>9</v>
      </c>
      <c r="C295" s="57">
        <v>44562</v>
      </c>
      <c r="D295" s="49">
        <v>22022002094</v>
      </c>
      <c r="E295" s="50" t="s">
        <v>1390</v>
      </c>
      <c r="F295" s="58">
        <v>145521.10999999999</v>
      </c>
      <c r="G295" s="50" t="s">
        <v>697</v>
      </c>
      <c r="H295" s="50" t="s">
        <v>699</v>
      </c>
      <c r="I295" s="49" t="s">
        <v>107</v>
      </c>
      <c r="J295" s="50" t="s">
        <v>463</v>
      </c>
      <c r="K295" s="50" t="s">
        <v>463</v>
      </c>
      <c r="L295" s="50" t="s">
        <v>25</v>
      </c>
      <c r="M295" s="50" t="s">
        <v>13</v>
      </c>
      <c r="N295" s="50" t="s">
        <v>14</v>
      </c>
      <c r="O295" s="48" t="s">
        <v>620</v>
      </c>
      <c r="P295" s="45" t="s">
        <v>453</v>
      </c>
      <c r="Q295" s="35" t="str">
        <f>MID(Tabla1[[#This Row],[Aplicación]],14,1)</f>
        <v>6</v>
      </c>
      <c r="R295" s="35" t="s">
        <v>442</v>
      </c>
      <c r="S295" s="35" t="str">
        <f>MID(Tabla1[[#This Row],[Aplicación]],6,2)</f>
        <v>10</v>
      </c>
      <c r="T295" s="35" t="str">
        <f>VLOOKUP(Tabla1[[#This Row],[AREA]],Hoja1!A:B,2,FALSE)</f>
        <v>10. Servicios sociales y mediación comunitaria</v>
      </c>
      <c r="U295" s="35" t="str">
        <f>MID(Tabla1[[#This Row],[Aplicación]],9,4)</f>
        <v>2312</v>
      </c>
      <c r="V295" s="35" t="str">
        <f>VLOOKUP(Tabla1[[#This Row],[PROGRAMA]],Hoja1!A:B,2,FALSE)</f>
        <v>2312. Iniciativas sociales</v>
      </c>
      <c r="W295" s="35" t="str">
        <f>MID(Tabla1[[#This Row],[Aplicación]],14,2)</f>
        <v>62</v>
      </c>
      <c r="X295" s="35" t="str">
        <f>MID(Tabla1[[#This Row],[Aplicación]],14,6)</f>
        <v>622</v>
      </c>
    </row>
    <row r="296" spans="1:24" x14ac:dyDescent="0.25">
      <c r="A296" s="49">
        <v>220210084927</v>
      </c>
      <c r="B296" s="50" t="s">
        <v>9</v>
      </c>
      <c r="C296" s="57">
        <v>44620</v>
      </c>
      <c r="D296" s="49">
        <v>22021005303</v>
      </c>
      <c r="E296" s="50" t="s">
        <v>1381</v>
      </c>
      <c r="F296" s="58">
        <v>144918.73000000001</v>
      </c>
      <c r="G296" s="50" t="s">
        <v>1287</v>
      </c>
      <c r="H296" s="50" t="s">
        <v>1288</v>
      </c>
      <c r="I296" s="49" t="s">
        <v>107</v>
      </c>
      <c r="J296" s="50" t="s">
        <v>1289</v>
      </c>
      <c r="K296" s="50" t="s">
        <v>151</v>
      </c>
      <c r="L296" s="50" t="s">
        <v>25</v>
      </c>
      <c r="M296" s="50" t="s">
        <v>13</v>
      </c>
      <c r="N296" s="50" t="s">
        <v>14</v>
      </c>
      <c r="O296" s="48" t="s">
        <v>620</v>
      </c>
      <c r="P296" s="45" t="s">
        <v>453</v>
      </c>
      <c r="Q296" s="35" t="str">
        <f>MID(Tabla1[[#This Row],[Aplicación]],14,1)</f>
        <v>6</v>
      </c>
      <c r="R296" s="35" t="s">
        <v>442</v>
      </c>
      <c r="S296" s="35" t="str">
        <f>MID(Tabla1[[#This Row],[Aplicación]],6,2)</f>
        <v>08</v>
      </c>
      <c r="T296" s="35" t="str">
        <f>VLOOKUP(Tabla1[[#This Row],[AREA]],Hoja1!A:B,2,FALSE)</f>
        <v>08. Movilidad y espacio urbano</v>
      </c>
      <c r="U296" s="35" t="str">
        <f>MID(Tabla1[[#This Row],[Aplicación]],9,4)</f>
        <v>1532</v>
      </c>
      <c r="V296" s="35" t="str">
        <f>VLOOKUP(Tabla1[[#This Row],[PROGRAMA]],Hoja1!A:B,2,FALSE)</f>
        <v>1532. Pavimentación vias públicas y otros servicios urbanísticos</v>
      </c>
      <c r="W296" s="35" t="str">
        <f>MID(Tabla1[[#This Row],[Aplicación]],14,2)</f>
        <v>62</v>
      </c>
      <c r="X296" s="35" t="str">
        <f>MID(Tabla1[[#This Row],[Aplicación]],14,6)</f>
        <v>622</v>
      </c>
    </row>
    <row r="297" spans="1:24" x14ac:dyDescent="0.25">
      <c r="A297" s="49">
        <v>220219000928</v>
      </c>
      <c r="B297" s="50" t="s">
        <v>9</v>
      </c>
      <c r="C297" s="57">
        <v>44562</v>
      </c>
      <c r="D297" s="49">
        <v>22022000124</v>
      </c>
      <c r="E297" s="50" t="s">
        <v>1753</v>
      </c>
      <c r="F297" s="58">
        <v>50000</v>
      </c>
      <c r="G297" s="50" t="s">
        <v>38</v>
      </c>
      <c r="H297" s="50" t="s">
        <v>1754</v>
      </c>
      <c r="I297" s="49" t="s">
        <v>107</v>
      </c>
      <c r="J297" s="50" t="s">
        <v>129</v>
      </c>
      <c r="K297" s="50" t="s">
        <v>170</v>
      </c>
      <c r="L297" s="50" t="s">
        <v>12</v>
      </c>
      <c r="M297" s="50" t="s">
        <v>13</v>
      </c>
      <c r="N297" s="50" t="s">
        <v>16</v>
      </c>
      <c r="O297" s="48" t="s">
        <v>620</v>
      </c>
      <c r="P297" s="45" t="s">
        <v>453</v>
      </c>
      <c r="Q297" s="35" t="str">
        <f>MID(Tabla1[[#This Row],[Aplicación]],14,1)</f>
        <v>2</v>
      </c>
      <c r="R297" s="35" t="s">
        <v>441</v>
      </c>
      <c r="S297" s="35" t="str">
        <f>MID(Tabla1[[#This Row],[Aplicación]],6,2)</f>
        <v>05</v>
      </c>
      <c r="T297" s="35" t="str">
        <f>VLOOKUP(Tabla1[[#This Row],[AREA]],Hoja1!A:B,2,FALSE)</f>
        <v>05. Innovación, desarrollo económico, empleo y comercio</v>
      </c>
      <c r="U297" s="35" t="str">
        <f>MID(Tabla1[[#This Row],[Aplicación]],9,4)</f>
        <v>4331</v>
      </c>
      <c r="V297" s="35" t="str">
        <f>VLOOKUP(Tabla1[[#This Row],[PROGRAMA]],Hoja1!A:B,2,FALSE)</f>
        <v>4331. Desarrollo empresarial</v>
      </c>
      <c r="W297" s="35" t="str">
        <f>MID(Tabla1[[#This Row],[Aplicación]],14,2)</f>
        <v>22</v>
      </c>
      <c r="X297" s="35" t="str">
        <f>MID(Tabla1[[#This Row],[Aplicación]],14,6)</f>
        <v>22100</v>
      </c>
    </row>
    <row r="298" spans="1:24" x14ac:dyDescent="0.25">
      <c r="A298" s="49">
        <v>220219000746</v>
      </c>
      <c r="B298" s="50" t="s">
        <v>9</v>
      </c>
      <c r="C298" s="57">
        <v>44562</v>
      </c>
      <c r="D298" s="49">
        <v>22022002083</v>
      </c>
      <c r="E298" s="50" t="s">
        <v>1755</v>
      </c>
      <c r="F298" s="58">
        <v>142349.34</v>
      </c>
      <c r="G298" s="50" t="s">
        <v>697</v>
      </c>
      <c r="H298" s="50" t="s">
        <v>1756</v>
      </c>
      <c r="I298" s="49" t="s">
        <v>107</v>
      </c>
      <c r="J298" s="50" t="s">
        <v>463</v>
      </c>
      <c r="K298" s="50" t="s">
        <v>463</v>
      </c>
      <c r="L298" s="50" t="s">
        <v>25</v>
      </c>
      <c r="M298" s="50" t="s">
        <v>13</v>
      </c>
      <c r="N298" s="50" t="s">
        <v>16</v>
      </c>
      <c r="O298" s="48" t="s">
        <v>620</v>
      </c>
      <c r="P298" s="45" t="s">
        <v>453</v>
      </c>
      <c r="Q298" s="35" t="str">
        <f>MID(Tabla1[[#This Row],[Aplicación]],14,1)</f>
        <v>6</v>
      </c>
      <c r="R298" s="35" t="s">
        <v>442</v>
      </c>
      <c r="S298" s="35" t="str">
        <f>MID(Tabla1[[#This Row],[Aplicación]],6,2)</f>
        <v>05</v>
      </c>
      <c r="T298" s="35" t="str">
        <f>VLOOKUP(Tabla1[[#This Row],[AREA]],Hoja1!A:B,2,FALSE)</f>
        <v>05. Innovación, desarrollo económico, empleo y comercio</v>
      </c>
      <c r="U298" s="35" t="str">
        <f>MID(Tabla1[[#This Row],[Aplicación]],9,4)</f>
        <v>4331</v>
      </c>
      <c r="V298" s="35" t="str">
        <f>VLOOKUP(Tabla1[[#This Row],[PROGRAMA]],Hoja1!A:B,2,FALSE)</f>
        <v>4331. Desarrollo empresarial</v>
      </c>
      <c r="W298" s="35" t="str">
        <f>MID(Tabla1[[#This Row],[Aplicación]],14,2)</f>
        <v>62</v>
      </c>
      <c r="X298" s="35" t="str">
        <f>MID(Tabla1[[#This Row],[Aplicación]],14,6)</f>
        <v>622</v>
      </c>
    </row>
    <row r="299" spans="1:24" x14ac:dyDescent="0.25">
      <c r="A299" s="49">
        <v>220220002289</v>
      </c>
      <c r="B299" s="50" t="s">
        <v>9</v>
      </c>
      <c r="C299" s="57">
        <v>44593</v>
      </c>
      <c r="D299" s="49">
        <v>22022001797</v>
      </c>
      <c r="E299" s="50" t="s">
        <v>1606</v>
      </c>
      <c r="F299" s="58">
        <v>135</v>
      </c>
      <c r="G299" s="50" t="s">
        <v>1757</v>
      </c>
      <c r="H299" s="50" t="s">
        <v>1758</v>
      </c>
      <c r="I299" s="49" t="s">
        <v>107</v>
      </c>
      <c r="J299" s="50" t="s">
        <v>108</v>
      </c>
      <c r="K299" s="50" t="s">
        <v>108</v>
      </c>
      <c r="L299" s="50" t="s">
        <v>12</v>
      </c>
      <c r="M299" s="50" t="s">
        <v>10</v>
      </c>
      <c r="N299" s="50" t="s">
        <v>11</v>
      </c>
      <c r="O299" s="48" t="s">
        <v>632</v>
      </c>
      <c r="P299" s="45" t="s">
        <v>453</v>
      </c>
      <c r="Q299" s="35" t="str">
        <f>MID(Tabla1[[#This Row],[Aplicación]],14,1)</f>
        <v>2</v>
      </c>
      <c r="R299" s="35" t="s">
        <v>441</v>
      </c>
      <c r="S299" s="35" t="str">
        <f>MID(Tabla1[[#This Row],[Aplicación]],6,2)</f>
        <v>11</v>
      </c>
      <c r="T299" s="35" t="str">
        <f>VLOOKUP(Tabla1[[#This Row],[AREA]],Hoja1!A:B,2,FALSE)</f>
        <v>11. Salud pública y seguridad ciudadana</v>
      </c>
      <c r="U299" s="35" t="str">
        <f>MID(Tabla1[[#This Row],[Aplicación]],9,4)</f>
        <v>1361</v>
      </c>
      <c r="V299" s="35" t="str">
        <f>VLOOKUP(Tabla1[[#This Row],[PROGRAMA]],Hoja1!A:B,2,FALSE)</f>
        <v>1361. Prevención y extinción de incencios</v>
      </c>
      <c r="W299" s="35" t="str">
        <f>MID(Tabla1[[#This Row],[Aplicación]],14,2)</f>
        <v>22</v>
      </c>
      <c r="X299" s="35" t="str">
        <f>MID(Tabla1[[#This Row],[Aplicación]],14,6)</f>
        <v>22199</v>
      </c>
    </row>
    <row r="300" spans="1:24" x14ac:dyDescent="0.25">
      <c r="A300" s="49">
        <v>220220008643</v>
      </c>
      <c r="B300" s="50" t="s">
        <v>26</v>
      </c>
      <c r="C300" s="57">
        <v>44634</v>
      </c>
      <c r="D300" s="49">
        <v>22022001188</v>
      </c>
      <c r="E300" s="50" t="s">
        <v>1759</v>
      </c>
      <c r="F300" s="58">
        <v>1159</v>
      </c>
      <c r="G300" s="50" t="s">
        <v>1005</v>
      </c>
      <c r="H300" s="50" t="s">
        <v>1760</v>
      </c>
      <c r="I300" s="49" t="s">
        <v>197</v>
      </c>
      <c r="J300" s="50" t="s">
        <v>109</v>
      </c>
      <c r="K300" s="50" t="s">
        <v>109</v>
      </c>
      <c r="L300" s="50" t="s">
        <v>12</v>
      </c>
      <c r="M300" s="50" t="s">
        <v>10</v>
      </c>
      <c r="N300" s="50" t="s">
        <v>11</v>
      </c>
      <c r="O300" s="48" t="s">
        <v>632</v>
      </c>
      <c r="P300" s="45" t="s">
        <v>453</v>
      </c>
      <c r="Q300" s="35" t="str">
        <f>MID(Tabla1[[#This Row],[Aplicación]],14,1)</f>
        <v>2</v>
      </c>
      <c r="R300" s="35" t="s">
        <v>441</v>
      </c>
      <c r="S300" s="35" t="str">
        <f>MID(Tabla1[[#This Row],[Aplicación]],6,2)</f>
        <v>02</v>
      </c>
      <c r="T300" s="35" t="str">
        <f>VLOOKUP(Tabla1[[#This Row],[AREA]],Hoja1!A:B,2,FALSE)</f>
        <v>02. Planeamiento urbanístico y vivienda</v>
      </c>
      <c r="U300" s="35" t="str">
        <f>MID(Tabla1[[#This Row],[Aplicación]],9,4)</f>
        <v>9332</v>
      </c>
      <c r="V300" s="35" t="str">
        <f>VLOOKUP(Tabla1[[#This Row],[PROGRAMA]],Hoja1!A:B,2,FALSE)</f>
        <v>9332. Mantenimiento de edificios e instalaciones municipales</v>
      </c>
      <c r="W300" s="35" t="str">
        <f>MID(Tabla1[[#This Row],[Aplicación]],14,2)</f>
        <v>21</v>
      </c>
      <c r="X300" s="35" t="str">
        <f>MID(Tabla1[[#This Row],[Aplicación]],14,6)</f>
        <v>213</v>
      </c>
    </row>
    <row r="301" spans="1:24" x14ac:dyDescent="0.25">
      <c r="A301" s="49">
        <v>220220000313</v>
      </c>
      <c r="B301" s="50" t="s">
        <v>26</v>
      </c>
      <c r="C301" s="57">
        <v>44582</v>
      </c>
      <c r="D301" s="49">
        <v>22022001275</v>
      </c>
      <c r="E301" s="50" t="s">
        <v>1436</v>
      </c>
      <c r="F301" s="58">
        <v>400</v>
      </c>
      <c r="G301" s="50" t="s">
        <v>1304</v>
      </c>
      <c r="H301" s="50" t="s">
        <v>1761</v>
      </c>
      <c r="I301" s="49" t="s">
        <v>197</v>
      </c>
      <c r="J301" s="50" t="s">
        <v>109</v>
      </c>
      <c r="K301" s="50" t="s">
        <v>109</v>
      </c>
      <c r="L301" s="50" t="s">
        <v>12</v>
      </c>
      <c r="M301" s="50" t="s">
        <v>10</v>
      </c>
      <c r="N301" s="50" t="s">
        <v>11</v>
      </c>
      <c r="O301" s="48" t="s">
        <v>632</v>
      </c>
      <c r="P301" s="45" t="s">
        <v>453</v>
      </c>
      <c r="Q301" s="35" t="str">
        <f>MID(Tabla1[[#This Row],[Aplicación]],14,1)</f>
        <v>2</v>
      </c>
      <c r="R301" s="35" t="s">
        <v>441</v>
      </c>
      <c r="S301" s="35" t="str">
        <f>MID(Tabla1[[#This Row],[Aplicación]],6,2)</f>
        <v>03</v>
      </c>
      <c r="T301" s="35" t="str">
        <f>VLOOKUP(Tabla1[[#This Row],[AREA]],Hoja1!A:B,2,FALSE)</f>
        <v>03. Participación ciudadana y deportes</v>
      </c>
      <c r="U301" s="35" t="str">
        <f>MID(Tabla1[[#This Row],[Aplicación]],9,4)</f>
        <v>9241</v>
      </c>
      <c r="V301" s="35" t="str">
        <f>VLOOKUP(Tabla1[[#This Row],[PROGRAMA]],Hoja1!A:B,2,FALSE)</f>
        <v>9241. Participación ciudadana</v>
      </c>
      <c r="W301" s="35" t="str">
        <f>MID(Tabla1[[#This Row],[Aplicación]],14,2)</f>
        <v>22</v>
      </c>
      <c r="X301" s="35" t="str">
        <f>MID(Tabla1[[#This Row],[Aplicación]],14,6)</f>
        <v>22609</v>
      </c>
    </row>
    <row r="302" spans="1:24" x14ac:dyDescent="0.25">
      <c r="A302" s="49">
        <v>220220013439</v>
      </c>
      <c r="B302" s="50" t="s">
        <v>9</v>
      </c>
      <c r="C302" s="57">
        <v>44651</v>
      </c>
      <c r="D302" s="49">
        <v>22022003120</v>
      </c>
      <c r="E302" s="50" t="s">
        <v>1762</v>
      </c>
      <c r="F302" s="58">
        <v>135.97</v>
      </c>
      <c r="G302" s="50" t="s">
        <v>246</v>
      </c>
      <c r="H302" s="50" t="s">
        <v>1763</v>
      </c>
      <c r="I302" s="49" t="s">
        <v>107</v>
      </c>
      <c r="J302" s="50" t="s">
        <v>167</v>
      </c>
      <c r="K302" s="50" t="s">
        <v>167</v>
      </c>
      <c r="L302" s="50" t="s">
        <v>15</v>
      </c>
      <c r="M302" s="50" t="s">
        <v>10</v>
      </c>
      <c r="N302" s="50" t="s">
        <v>11</v>
      </c>
      <c r="O302" s="48" t="s">
        <v>632</v>
      </c>
      <c r="P302" s="45" t="s">
        <v>453</v>
      </c>
      <c r="Q302" s="35" t="str">
        <f>MID(Tabla1[[#This Row],[Aplicación]],14,1)</f>
        <v>2</v>
      </c>
      <c r="R302" s="35" t="s">
        <v>441</v>
      </c>
      <c r="S302" s="35" t="str">
        <f>MID(Tabla1[[#This Row],[Aplicación]],6,2)</f>
        <v>06</v>
      </c>
      <c r="T302" s="35" t="str">
        <f>VLOOKUP(Tabla1[[#This Row],[AREA]],Hoja1!A:B,2,FALSE)</f>
        <v>06. Educación, infancia, juventud e igualdad</v>
      </c>
      <c r="U302" s="35" t="str">
        <f>MID(Tabla1[[#This Row],[Aplicación]],9,4)</f>
        <v>3321</v>
      </c>
      <c r="V302" s="35" t="str">
        <f>VLOOKUP(Tabla1[[#This Row],[PROGRAMA]],Hoja1!A:B,2,FALSE)</f>
        <v>3321. Bibliotecas públicas</v>
      </c>
      <c r="W302" s="35" t="str">
        <f>MID(Tabla1[[#This Row],[Aplicación]],14,2)</f>
        <v>22</v>
      </c>
      <c r="X302" s="35" t="str">
        <f>MID(Tabla1[[#This Row],[Aplicación]],14,6)</f>
        <v>22001</v>
      </c>
    </row>
    <row r="303" spans="1:24" x14ac:dyDescent="0.25">
      <c r="A303" s="49">
        <v>220220010326</v>
      </c>
      <c r="B303" s="50" t="s">
        <v>9</v>
      </c>
      <c r="C303" s="57">
        <v>44641</v>
      </c>
      <c r="D303" s="49">
        <v>22022002903</v>
      </c>
      <c r="E303" s="50" t="s">
        <v>1436</v>
      </c>
      <c r="F303" s="58">
        <v>895</v>
      </c>
      <c r="G303" s="50" t="s">
        <v>1015</v>
      </c>
      <c r="H303" s="50" t="s">
        <v>1764</v>
      </c>
      <c r="I303" s="49" t="s">
        <v>107</v>
      </c>
      <c r="J303" s="50" t="s">
        <v>109</v>
      </c>
      <c r="K303" s="50" t="s">
        <v>109</v>
      </c>
      <c r="L303" s="50" t="s">
        <v>12</v>
      </c>
      <c r="M303" s="50" t="s">
        <v>10</v>
      </c>
      <c r="N303" s="50" t="s">
        <v>11</v>
      </c>
      <c r="O303" s="48" t="s">
        <v>632</v>
      </c>
      <c r="P303" s="45" t="s">
        <v>453</v>
      </c>
      <c r="Q303" s="35" t="str">
        <f>MID(Tabla1[[#This Row],[Aplicación]],14,1)</f>
        <v>2</v>
      </c>
      <c r="R303" s="35" t="s">
        <v>441</v>
      </c>
      <c r="S303" s="35" t="str">
        <f>MID(Tabla1[[#This Row],[Aplicación]],6,2)</f>
        <v>03</v>
      </c>
      <c r="T303" s="35" t="str">
        <f>VLOOKUP(Tabla1[[#This Row],[AREA]],Hoja1!A:B,2,FALSE)</f>
        <v>03. Participación ciudadana y deportes</v>
      </c>
      <c r="U303" s="35" t="str">
        <f>MID(Tabla1[[#This Row],[Aplicación]],9,4)</f>
        <v>9241</v>
      </c>
      <c r="V303" s="35" t="str">
        <f>VLOOKUP(Tabla1[[#This Row],[PROGRAMA]],Hoja1!A:B,2,FALSE)</f>
        <v>9241. Participación ciudadana</v>
      </c>
      <c r="W303" s="35" t="str">
        <f>MID(Tabla1[[#This Row],[Aplicación]],14,2)</f>
        <v>22</v>
      </c>
      <c r="X303" s="35" t="str">
        <f>MID(Tabla1[[#This Row],[Aplicación]],14,6)</f>
        <v>22609</v>
      </c>
    </row>
    <row r="304" spans="1:24" x14ac:dyDescent="0.25">
      <c r="A304" s="49">
        <v>220220010339</v>
      </c>
      <c r="B304" s="50" t="s">
        <v>9</v>
      </c>
      <c r="C304" s="57">
        <v>44641</v>
      </c>
      <c r="D304" s="49">
        <v>22022002946</v>
      </c>
      <c r="E304" s="50" t="s">
        <v>1765</v>
      </c>
      <c r="F304" s="58">
        <v>490</v>
      </c>
      <c r="G304" s="50" t="s">
        <v>1766</v>
      </c>
      <c r="H304" s="50" t="s">
        <v>1767</v>
      </c>
      <c r="I304" s="49" t="s">
        <v>107</v>
      </c>
      <c r="J304" s="50" t="s">
        <v>109</v>
      </c>
      <c r="K304" s="50" t="s">
        <v>109</v>
      </c>
      <c r="L304" s="50" t="s">
        <v>12</v>
      </c>
      <c r="M304" s="50" t="s">
        <v>10</v>
      </c>
      <c r="N304" s="50" t="s">
        <v>11</v>
      </c>
      <c r="O304" s="48" t="s">
        <v>632</v>
      </c>
      <c r="P304" s="45" t="s">
        <v>453</v>
      </c>
      <c r="Q304" s="35" t="str">
        <f>MID(Tabla1[[#This Row],[Aplicación]],14,1)</f>
        <v>2</v>
      </c>
      <c r="R304" s="35" t="s">
        <v>441</v>
      </c>
      <c r="S304" s="35" t="str">
        <f>MID(Tabla1[[#This Row],[Aplicación]],6,2)</f>
        <v>11</v>
      </c>
      <c r="T304" s="35" t="str">
        <f>VLOOKUP(Tabla1[[#This Row],[AREA]],Hoja1!A:B,2,FALSE)</f>
        <v>11. Salud pública y seguridad ciudadana</v>
      </c>
      <c r="U304" s="35" t="str">
        <f>MID(Tabla1[[#This Row],[Aplicación]],9,4)</f>
        <v>1321</v>
      </c>
      <c r="V304" s="35" t="str">
        <f>VLOOKUP(Tabla1[[#This Row],[PROGRAMA]],Hoja1!A:B,2,FALSE)</f>
        <v>1321. Policía municipal</v>
      </c>
      <c r="W304" s="35" t="str">
        <f>MID(Tabla1[[#This Row],[Aplicación]],14,2)</f>
        <v>22</v>
      </c>
      <c r="X304" s="35" t="str">
        <f>MID(Tabla1[[#This Row],[Aplicación]],14,6)</f>
        <v>22699</v>
      </c>
    </row>
    <row r="305" spans="1:24" x14ac:dyDescent="0.25">
      <c r="A305" s="49">
        <v>220220007107</v>
      </c>
      <c r="B305" s="50" t="s">
        <v>9</v>
      </c>
      <c r="C305" s="57">
        <v>44623</v>
      </c>
      <c r="D305" s="49">
        <v>22022002549</v>
      </c>
      <c r="E305" s="50" t="s">
        <v>1768</v>
      </c>
      <c r="F305" s="58">
        <v>3602</v>
      </c>
      <c r="G305" s="50" t="s">
        <v>1769</v>
      </c>
      <c r="H305" s="50" t="s">
        <v>1770</v>
      </c>
      <c r="I305" s="49" t="s">
        <v>107</v>
      </c>
      <c r="J305" s="50" t="s">
        <v>109</v>
      </c>
      <c r="K305" s="50" t="s">
        <v>109</v>
      </c>
      <c r="L305" s="50" t="s">
        <v>12</v>
      </c>
      <c r="M305" s="50" t="s">
        <v>10</v>
      </c>
      <c r="N305" s="50" t="s">
        <v>11</v>
      </c>
      <c r="O305" s="48" t="s">
        <v>632</v>
      </c>
      <c r="P305" s="45" t="s">
        <v>453</v>
      </c>
      <c r="Q305" s="35" t="str">
        <f>MID(Tabla1[[#This Row],[Aplicación]],14,1)</f>
        <v>2</v>
      </c>
      <c r="R305" s="35" t="s">
        <v>441</v>
      </c>
      <c r="S305" s="35" t="str">
        <f>MID(Tabla1[[#This Row],[Aplicación]],6,2)</f>
        <v>10</v>
      </c>
      <c r="T305" s="35" t="str">
        <f>VLOOKUP(Tabla1[[#This Row],[AREA]],Hoja1!A:B,2,FALSE)</f>
        <v>10. Servicios sociales y mediación comunitaria</v>
      </c>
      <c r="U305" s="35" t="str">
        <f>MID(Tabla1[[#This Row],[Aplicación]],9,4)</f>
        <v>2312</v>
      </c>
      <c r="V305" s="35" t="str">
        <f>VLOOKUP(Tabla1[[#This Row],[PROGRAMA]],Hoja1!A:B,2,FALSE)</f>
        <v>2312. Iniciativas sociales</v>
      </c>
      <c r="W305" s="35" t="str">
        <f>MID(Tabla1[[#This Row],[Aplicación]],14,2)</f>
        <v>22</v>
      </c>
      <c r="X305" s="35" t="str">
        <f>MID(Tabla1[[#This Row],[Aplicación]],14,6)</f>
        <v>22618</v>
      </c>
    </row>
    <row r="306" spans="1:24" x14ac:dyDescent="0.25">
      <c r="A306" s="49">
        <v>220220013418</v>
      </c>
      <c r="B306" s="50" t="s">
        <v>9</v>
      </c>
      <c r="C306" s="57">
        <v>44651</v>
      </c>
      <c r="D306" s="49">
        <v>22022001912</v>
      </c>
      <c r="E306" s="50" t="s">
        <v>1771</v>
      </c>
      <c r="F306" s="58">
        <v>8417.85</v>
      </c>
      <c r="G306" s="50" t="s">
        <v>975</v>
      </c>
      <c r="H306" s="50" t="s">
        <v>1772</v>
      </c>
      <c r="I306" s="49" t="s">
        <v>107</v>
      </c>
      <c r="J306" s="50" t="s">
        <v>108</v>
      </c>
      <c r="K306" s="50" t="s">
        <v>108</v>
      </c>
      <c r="L306" s="50" t="s">
        <v>17</v>
      </c>
      <c r="M306" s="50" t="s">
        <v>10</v>
      </c>
      <c r="N306" s="50" t="s">
        <v>11</v>
      </c>
      <c r="O306" s="48" t="s">
        <v>632</v>
      </c>
      <c r="P306" s="45" t="s">
        <v>453</v>
      </c>
      <c r="Q306" s="35" t="str">
        <f>MID(Tabla1[[#This Row],[Aplicación]],14,1)</f>
        <v>2</v>
      </c>
      <c r="R306" s="35" t="s">
        <v>441</v>
      </c>
      <c r="S306" s="35" t="str">
        <f>MID(Tabla1[[#This Row],[Aplicación]],6,2)</f>
        <v>05</v>
      </c>
      <c r="T306" s="35" t="str">
        <f>VLOOKUP(Tabla1[[#This Row],[AREA]],Hoja1!A:B,2,FALSE)</f>
        <v>05. Innovación, desarrollo económico, empleo y comercio</v>
      </c>
      <c r="U306" s="35" t="str">
        <f>MID(Tabla1[[#This Row],[Aplicación]],9,4)</f>
        <v>4331</v>
      </c>
      <c r="V306" s="35" t="str">
        <f>VLOOKUP(Tabla1[[#This Row],[PROGRAMA]],Hoja1!A:B,2,FALSE)</f>
        <v>4331. Desarrollo empresarial</v>
      </c>
      <c r="W306" s="35" t="str">
        <f>MID(Tabla1[[#This Row],[Aplicación]],14,2)</f>
        <v>22</v>
      </c>
      <c r="X306" s="35" t="str">
        <f>MID(Tabla1[[#This Row],[Aplicación]],14,6)</f>
        <v>22699</v>
      </c>
    </row>
    <row r="307" spans="1:24" x14ac:dyDescent="0.25">
      <c r="A307" s="49">
        <v>220220009356</v>
      </c>
      <c r="B307" s="50" t="s">
        <v>9</v>
      </c>
      <c r="C307" s="57">
        <v>44636</v>
      </c>
      <c r="D307" s="49">
        <v>22022002782</v>
      </c>
      <c r="E307" s="50" t="s">
        <v>1773</v>
      </c>
      <c r="F307" s="58">
        <v>2000</v>
      </c>
      <c r="G307" s="50" t="s">
        <v>1058</v>
      </c>
      <c r="H307" s="50" t="s">
        <v>1774</v>
      </c>
      <c r="I307" s="49" t="s">
        <v>107</v>
      </c>
      <c r="J307" s="50" t="s">
        <v>109</v>
      </c>
      <c r="K307" s="50" t="s">
        <v>109</v>
      </c>
      <c r="L307" s="50" t="s">
        <v>12</v>
      </c>
      <c r="M307" s="50" t="s">
        <v>10</v>
      </c>
      <c r="N307" s="50" t="s">
        <v>11</v>
      </c>
      <c r="O307" s="48" t="s">
        <v>632</v>
      </c>
      <c r="P307" s="45" t="s">
        <v>453</v>
      </c>
      <c r="Q307" s="35" t="str">
        <f>MID(Tabla1[[#This Row],[Aplicación]],14,1)</f>
        <v>2</v>
      </c>
      <c r="R307" s="35" t="s">
        <v>441</v>
      </c>
      <c r="S307" s="35" t="str">
        <f>MID(Tabla1[[#This Row],[Aplicación]],6,2)</f>
        <v>06</v>
      </c>
      <c r="T307" s="35" t="str">
        <f>VLOOKUP(Tabla1[[#This Row],[AREA]],Hoja1!A:B,2,FALSE)</f>
        <v>06. Educación, infancia, juventud e igualdad</v>
      </c>
      <c r="U307" s="35" t="str">
        <f>MID(Tabla1[[#This Row],[Aplicación]],9,4)</f>
        <v>2314</v>
      </c>
      <c r="V307" s="35" t="str">
        <f>VLOOKUP(Tabla1[[#This Row],[PROGRAMA]],Hoja1!A:B,2,FALSE)</f>
        <v>2314. Centro de programas juveniles</v>
      </c>
      <c r="W307" s="35" t="str">
        <f>MID(Tabla1[[#This Row],[Aplicación]],14,2)</f>
        <v>22</v>
      </c>
      <c r="X307" s="35" t="str">
        <f>MID(Tabla1[[#This Row],[Aplicación]],14,6)</f>
        <v>22613</v>
      </c>
    </row>
    <row r="308" spans="1:24" x14ac:dyDescent="0.25">
      <c r="A308" s="49">
        <v>220220002286</v>
      </c>
      <c r="B308" s="50" t="s">
        <v>9</v>
      </c>
      <c r="C308" s="57">
        <v>44593</v>
      </c>
      <c r="D308" s="49">
        <v>22022001716</v>
      </c>
      <c r="E308" s="50" t="s">
        <v>1629</v>
      </c>
      <c r="F308" s="58">
        <v>380</v>
      </c>
      <c r="G308" s="50" t="s">
        <v>1021</v>
      </c>
      <c r="H308" s="50" t="s">
        <v>1775</v>
      </c>
      <c r="I308" s="49" t="s">
        <v>107</v>
      </c>
      <c r="J308" s="50" t="s">
        <v>1022</v>
      </c>
      <c r="K308" s="50" t="s">
        <v>151</v>
      </c>
      <c r="L308" s="50" t="s">
        <v>12</v>
      </c>
      <c r="M308" s="50" t="s">
        <v>10</v>
      </c>
      <c r="N308" s="50" t="s">
        <v>11</v>
      </c>
      <c r="O308" s="48" t="s">
        <v>632</v>
      </c>
      <c r="P308" s="45" t="s">
        <v>453</v>
      </c>
      <c r="Q308" s="35" t="str">
        <f>MID(Tabla1[[#This Row],[Aplicación]],14,1)</f>
        <v>2</v>
      </c>
      <c r="R308" s="35" t="s">
        <v>441</v>
      </c>
      <c r="S308" s="35" t="str">
        <f>MID(Tabla1[[#This Row],[Aplicación]],6,2)</f>
        <v>06</v>
      </c>
      <c r="T308" s="35" t="str">
        <f>VLOOKUP(Tabla1[[#This Row],[AREA]],Hoja1!A:B,2,FALSE)</f>
        <v>06. Educación, infancia, juventud e igualdad</v>
      </c>
      <c r="U308" s="35" t="str">
        <f>MID(Tabla1[[#This Row],[Aplicación]],9,4)</f>
        <v>2315</v>
      </c>
      <c r="V308" s="35" t="str">
        <f>VLOOKUP(Tabla1[[#This Row],[PROGRAMA]],Hoja1!A:B,2,FALSE)</f>
        <v>2315. Políticas de Igualdad e infancia</v>
      </c>
      <c r="W308" s="35" t="str">
        <f>MID(Tabla1[[#This Row],[Aplicación]],14,2)</f>
        <v>22</v>
      </c>
      <c r="X308" s="35" t="str">
        <f>MID(Tabla1[[#This Row],[Aplicación]],14,6)</f>
        <v>22611</v>
      </c>
    </row>
    <row r="309" spans="1:24" x14ac:dyDescent="0.25">
      <c r="A309" s="49">
        <v>220220013423</v>
      </c>
      <c r="B309" s="50" t="s">
        <v>9</v>
      </c>
      <c r="C309" s="57">
        <v>44651</v>
      </c>
      <c r="D309" s="49">
        <v>22022002981</v>
      </c>
      <c r="E309" s="50" t="s">
        <v>1776</v>
      </c>
      <c r="F309" s="58">
        <v>600</v>
      </c>
      <c r="G309" s="50" t="s">
        <v>175</v>
      </c>
      <c r="H309" s="50" t="s">
        <v>1777</v>
      </c>
      <c r="I309" s="49" t="s">
        <v>107</v>
      </c>
      <c r="J309" s="50" t="s">
        <v>109</v>
      </c>
      <c r="K309" s="50" t="s">
        <v>109</v>
      </c>
      <c r="L309" s="50" t="s">
        <v>12</v>
      </c>
      <c r="M309" s="50" t="s">
        <v>10</v>
      </c>
      <c r="N309" s="50" t="s">
        <v>11</v>
      </c>
      <c r="O309" s="48" t="s">
        <v>632</v>
      </c>
      <c r="P309" s="45" t="s">
        <v>453</v>
      </c>
      <c r="Q309" s="35" t="str">
        <f>MID(Tabla1[[#This Row],[Aplicación]],14,1)</f>
        <v>2</v>
      </c>
      <c r="R309" s="35" t="s">
        <v>441</v>
      </c>
      <c r="S309" s="35" t="str">
        <f>MID(Tabla1[[#This Row],[Aplicación]],6,2)</f>
        <v>11</v>
      </c>
      <c r="T309" s="35" t="str">
        <f>VLOOKUP(Tabla1[[#This Row],[AREA]],Hoja1!A:B,2,FALSE)</f>
        <v>11. Salud pública y seguridad ciudadana</v>
      </c>
      <c r="U309" s="35" t="str">
        <f>MID(Tabla1[[#This Row],[Aplicación]],9,4)</f>
        <v>1631</v>
      </c>
      <c r="V309" s="35" t="str">
        <f>VLOOKUP(Tabla1[[#This Row],[PROGRAMA]],Hoja1!A:B,2,FALSE)</f>
        <v>1631. Limpieza viaria</v>
      </c>
      <c r="W309" s="35" t="str">
        <f>MID(Tabla1[[#This Row],[Aplicación]],14,2)</f>
        <v>22</v>
      </c>
      <c r="X309" s="35" t="str">
        <f>MID(Tabla1[[#This Row],[Aplicación]],14,6)</f>
        <v>22700</v>
      </c>
    </row>
    <row r="310" spans="1:24" x14ac:dyDescent="0.25">
      <c r="A310" s="49">
        <v>220209000439</v>
      </c>
      <c r="B310" s="50" t="s">
        <v>9</v>
      </c>
      <c r="C310" s="57">
        <v>44562</v>
      </c>
      <c r="D310" s="49">
        <v>22022000190</v>
      </c>
      <c r="E310" s="50" t="s">
        <v>1397</v>
      </c>
      <c r="F310" s="58">
        <v>142175</v>
      </c>
      <c r="G310" s="50" t="s">
        <v>80</v>
      </c>
      <c r="H310" s="50" t="s">
        <v>738</v>
      </c>
      <c r="I310" s="49" t="s">
        <v>107</v>
      </c>
      <c r="J310" s="50" t="s">
        <v>109</v>
      </c>
      <c r="K310" s="50" t="s">
        <v>109</v>
      </c>
      <c r="L310" s="50" t="s">
        <v>12</v>
      </c>
      <c r="M310" s="50" t="s">
        <v>13</v>
      </c>
      <c r="N310" s="50" t="s">
        <v>14</v>
      </c>
      <c r="O310" s="48" t="s">
        <v>620</v>
      </c>
      <c r="P310" s="45" t="s">
        <v>453</v>
      </c>
      <c r="Q310" s="35" t="str">
        <f>MID(Tabla1[[#This Row],[Aplicación]],14,1)</f>
        <v>2</v>
      </c>
      <c r="R310" s="35" t="s">
        <v>441</v>
      </c>
      <c r="S310" s="35" t="str">
        <f>MID(Tabla1[[#This Row],[Aplicación]],6,2)</f>
        <v>10</v>
      </c>
      <c r="T310" s="35" t="str">
        <f>VLOOKUP(Tabla1[[#This Row],[AREA]],Hoja1!A:B,2,FALSE)</f>
        <v>10. Servicios sociales y mediación comunitaria</v>
      </c>
      <c r="U310" s="35" t="str">
        <f>MID(Tabla1[[#This Row],[Aplicación]],9,4)</f>
        <v>2312</v>
      </c>
      <c r="V310" s="35" t="str">
        <f>VLOOKUP(Tabla1[[#This Row],[PROGRAMA]],Hoja1!A:B,2,FALSE)</f>
        <v>2312. Iniciativas sociales</v>
      </c>
      <c r="W310" s="35" t="str">
        <f>MID(Tabla1[[#This Row],[Aplicación]],14,2)</f>
        <v>22</v>
      </c>
      <c r="X310" s="35" t="str">
        <f>MID(Tabla1[[#This Row],[Aplicación]],14,6)</f>
        <v>22799</v>
      </c>
    </row>
    <row r="311" spans="1:24" x14ac:dyDescent="0.25">
      <c r="A311" s="49">
        <v>220210082256</v>
      </c>
      <c r="B311" s="50" t="s">
        <v>9</v>
      </c>
      <c r="C311" s="57">
        <v>44620</v>
      </c>
      <c r="D311" s="49">
        <v>22021005726</v>
      </c>
      <c r="E311" s="50" t="s">
        <v>1368</v>
      </c>
      <c r="F311" s="58">
        <v>139733.82</v>
      </c>
      <c r="G311" s="50" t="s">
        <v>1290</v>
      </c>
      <c r="H311" s="50" t="s">
        <v>1291</v>
      </c>
      <c r="I311" s="49" t="s">
        <v>107</v>
      </c>
      <c r="J311" s="50" t="s">
        <v>109</v>
      </c>
      <c r="K311" s="50" t="s">
        <v>109</v>
      </c>
      <c r="L311" s="50" t="s">
        <v>25</v>
      </c>
      <c r="M311" s="50" t="s">
        <v>13</v>
      </c>
      <c r="N311" s="50" t="s">
        <v>16</v>
      </c>
      <c r="O311" s="48" t="s">
        <v>620</v>
      </c>
      <c r="P311" s="45" t="s">
        <v>453</v>
      </c>
      <c r="Q311" s="35" t="str">
        <f>MID(Tabla1[[#This Row],[Aplicación]],14,1)</f>
        <v>6</v>
      </c>
      <c r="R311" s="35" t="s">
        <v>442</v>
      </c>
      <c r="S311" s="35" t="str">
        <f>MID(Tabla1[[#This Row],[Aplicación]],6,2)</f>
        <v>08</v>
      </c>
      <c r="T311" s="35" t="str">
        <f>VLOOKUP(Tabla1[[#This Row],[AREA]],Hoja1!A:B,2,FALSE)</f>
        <v>08. Movilidad y espacio urbano</v>
      </c>
      <c r="U311" s="35" t="str">
        <f>MID(Tabla1[[#This Row],[Aplicación]],9,4)</f>
        <v>1532</v>
      </c>
      <c r="V311" s="35" t="str">
        <f>VLOOKUP(Tabla1[[#This Row],[PROGRAMA]],Hoja1!A:B,2,FALSE)</f>
        <v>1532. Pavimentación vias públicas y otros servicios urbanísticos</v>
      </c>
      <c r="W311" s="35" t="str">
        <f>MID(Tabla1[[#This Row],[Aplicación]],14,2)</f>
        <v>61</v>
      </c>
      <c r="X311" s="35" t="str">
        <f>MID(Tabla1[[#This Row],[Aplicación]],14,6)</f>
        <v>619</v>
      </c>
    </row>
    <row r="312" spans="1:24" x14ac:dyDescent="0.25">
      <c r="A312" s="49">
        <v>220219001205</v>
      </c>
      <c r="B312" s="50" t="s">
        <v>9</v>
      </c>
      <c r="C312" s="57">
        <v>44562</v>
      </c>
      <c r="D312" s="49">
        <v>22022001833</v>
      </c>
      <c r="E312" s="50" t="s">
        <v>1408</v>
      </c>
      <c r="F312" s="58">
        <v>138344.15</v>
      </c>
      <c r="G312" s="50" t="s">
        <v>166</v>
      </c>
      <c r="H312" s="50" t="s">
        <v>1778</v>
      </c>
      <c r="I312" s="49" t="s">
        <v>107</v>
      </c>
      <c r="J312" s="50" t="s">
        <v>167</v>
      </c>
      <c r="K312" s="50" t="s">
        <v>167</v>
      </c>
      <c r="L312" s="50" t="s">
        <v>12</v>
      </c>
      <c r="M312" s="50" t="s">
        <v>13</v>
      </c>
      <c r="N312" s="50" t="s">
        <v>14</v>
      </c>
      <c r="O312" s="48" t="s">
        <v>620</v>
      </c>
      <c r="P312" s="45" t="s">
        <v>453</v>
      </c>
      <c r="Q312" s="35" t="str">
        <f>MID(Tabla1[[#This Row],[Aplicación]],14,1)</f>
        <v>2</v>
      </c>
      <c r="R312" s="35" t="s">
        <v>441</v>
      </c>
      <c r="S312" s="35" t="str">
        <f>MID(Tabla1[[#This Row],[Aplicación]],6,2)</f>
        <v>04</v>
      </c>
      <c r="T312" s="35" t="str">
        <f>VLOOKUP(Tabla1[[#This Row],[AREA]],Hoja1!A:B,2,FALSE)</f>
        <v>04. Planificación y recursos</v>
      </c>
      <c r="U312" s="35" t="str">
        <f>MID(Tabla1[[#This Row],[Aplicación]],9,4)</f>
        <v>9204</v>
      </c>
      <c r="V312" s="35" t="str">
        <f>VLOOKUP(Tabla1[[#This Row],[PROGRAMA]],Hoja1!A:B,2,FALSE)</f>
        <v>9204. Tecnologías de la información y comunicación</v>
      </c>
      <c r="W312" s="35" t="str">
        <f>MID(Tabla1[[#This Row],[Aplicación]],14,2)</f>
        <v>21</v>
      </c>
      <c r="X312" s="35" t="str">
        <f>MID(Tabla1[[#This Row],[Aplicación]],14,6)</f>
        <v>216</v>
      </c>
    </row>
    <row r="313" spans="1:24" x14ac:dyDescent="0.25">
      <c r="A313" s="49">
        <v>220219000318</v>
      </c>
      <c r="B313" s="50" t="s">
        <v>9</v>
      </c>
      <c r="C313" s="57">
        <v>44562</v>
      </c>
      <c r="D313" s="49">
        <v>22022002151</v>
      </c>
      <c r="E313" s="50" t="s">
        <v>1424</v>
      </c>
      <c r="F313" s="58">
        <v>137124.35</v>
      </c>
      <c r="G313" s="50" t="s">
        <v>697</v>
      </c>
      <c r="H313" s="50" t="s">
        <v>1779</v>
      </c>
      <c r="I313" s="49" t="s">
        <v>107</v>
      </c>
      <c r="J313" s="50" t="s">
        <v>463</v>
      </c>
      <c r="K313" s="50" t="s">
        <v>463</v>
      </c>
      <c r="L313" s="50" t="s">
        <v>25</v>
      </c>
      <c r="M313" s="50" t="s">
        <v>13</v>
      </c>
      <c r="N313" s="50" t="s">
        <v>14</v>
      </c>
      <c r="O313" s="48" t="s">
        <v>620</v>
      </c>
      <c r="P313" s="45" t="s">
        <v>453</v>
      </c>
      <c r="Q313" s="35" t="str">
        <f>MID(Tabla1[[#This Row],[Aplicación]],14,1)</f>
        <v>6</v>
      </c>
      <c r="R313" s="35" t="s">
        <v>442</v>
      </c>
      <c r="S313" s="35" t="str">
        <f>MID(Tabla1[[#This Row],[Aplicación]],6,2)</f>
        <v>06</v>
      </c>
      <c r="T313" s="35" t="str">
        <f>VLOOKUP(Tabla1[[#This Row],[AREA]],Hoja1!A:B,2,FALSE)</f>
        <v>06. Educación, infancia, juventud e igualdad</v>
      </c>
      <c r="U313" s="35" t="str">
        <f>MID(Tabla1[[#This Row],[Aplicación]],9,4)</f>
        <v>3321</v>
      </c>
      <c r="V313" s="35" t="str">
        <f>VLOOKUP(Tabla1[[#This Row],[PROGRAMA]],Hoja1!A:B,2,FALSE)</f>
        <v>3321. Bibliotecas públicas</v>
      </c>
      <c r="W313" s="35" t="str">
        <f>MID(Tabla1[[#This Row],[Aplicación]],14,2)</f>
        <v>62</v>
      </c>
      <c r="X313" s="35" t="str">
        <f>MID(Tabla1[[#This Row],[Aplicación]],14,6)</f>
        <v>622</v>
      </c>
    </row>
    <row r="314" spans="1:24" x14ac:dyDescent="0.25">
      <c r="A314" s="49">
        <v>220220006712</v>
      </c>
      <c r="B314" s="50" t="s">
        <v>9</v>
      </c>
      <c r="C314" s="57">
        <v>44620</v>
      </c>
      <c r="D314" s="49">
        <v>22022001665</v>
      </c>
      <c r="E314" s="50" t="s">
        <v>1780</v>
      </c>
      <c r="F314" s="58">
        <v>136975.75</v>
      </c>
      <c r="G314" s="50" t="s">
        <v>735</v>
      </c>
      <c r="H314" s="50" t="s">
        <v>1781</v>
      </c>
      <c r="I314" s="49" t="s">
        <v>107</v>
      </c>
      <c r="J314" s="50" t="s">
        <v>108</v>
      </c>
      <c r="K314" s="50" t="s">
        <v>108</v>
      </c>
      <c r="L314" s="50" t="s">
        <v>12</v>
      </c>
      <c r="M314" s="50" t="s">
        <v>13</v>
      </c>
      <c r="N314" s="50" t="s">
        <v>14</v>
      </c>
      <c r="O314" s="48" t="s">
        <v>620</v>
      </c>
      <c r="P314" s="45" t="s">
        <v>453</v>
      </c>
      <c r="Q314" s="35" t="str">
        <f>MID(Tabla1[[#This Row],[Aplicación]],14,1)</f>
        <v>2</v>
      </c>
      <c r="R314" s="35" t="s">
        <v>441</v>
      </c>
      <c r="S314" s="35" t="str">
        <f>MID(Tabla1[[#This Row],[Aplicación]],6,2)</f>
        <v>10</v>
      </c>
      <c r="T314" s="35" t="str">
        <f>VLOOKUP(Tabla1[[#This Row],[AREA]],Hoja1!A:B,2,FALSE)</f>
        <v>10. Servicios sociales y mediación comunitaria</v>
      </c>
      <c r="U314" s="35" t="str">
        <f>MID(Tabla1[[#This Row],[Aplicación]],9,4)</f>
        <v>2316</v>
      </c>
      <c r="V314" s="35" t="str">
        <f>VLOOKUP(Tabla1[[#This Row],[PROGRAMA]],Hoja1!A:B,2,FALSE)</f>
        <v>2316. Mediación comunitaria</v>
      </c>
      <c r="W314" s="35" t="str">
        <f>MID(Tabla1[[#This Row],[Aplicación]],14,2)</f>
        <v>22</v>
      </c>
      <c r="X314" s="35" t="str">
        <f>MID(Tabla1[[#This Row],[Aplicación]],14,6)</f>
        <v>22799</v>
      </c>
    </row>
    <row r="315" spans="1:24" x14ac:dyDescent="0.25">
      <c r="A315" s="49">
        <v>220210069213</v>
      </c>
      <c r="B315" s="50" t="s">
        <v>9</v>
      </c>
      <c r="C315" s="57">
        <v>44631</v>
      </c>
      <c r="D315" s="49">
        <v>22021004435</v>
      </c>
      <c r="E315" s="50" t="s">
        <v>1782</v>
      </c>
      <c r="F315" s="58">
        <v>131751.73000000001</v>
      </c>
      <c r="G315" s="50" t="s">
        <v>1263</v>
      </c>
      <c r="H315" s="50" t="s">
        <v>1264</v>
      </c>
      <c r="I315" s="49" t="s">
        <v>107</v>
      </c>
      <c r="J315" s="50" t="s">
        <v>1265</v>
      </c>
      <c r="K315" s="50" t="s">
        <v>128</v>
      </c>
      <c r="L315" s="50" t="s">
        <v>15</v>
      </c>
      <c r="M315" s="50" t="s">
        <v>13</v>
      </c>
      <c r="N315" s="50" t="s">
        <v>14</v>
      </c>
      <c r="O315" s="48" t="s">
        <v>620</v>
      </c>
      <c r="P315" s="45" t="s">
        <v>453</v>
      </c>
      <c r="Q315" s="35" t="str">
        <f>MID(Tabla1[[#This Row],[Aplicación]],14,1)</f>
        <v>6</v>
      </c>
      <c r="R315" s="35" t="s">
        <v>442</v>
      </c>
      <c r="S315" s="35" t="str">
        <f>MID(Tabla1[[#This Row],[Aplicación]],6,2)</f>
        <v>11</v>
      </c>
      <c r="T315" s="35" t="str">
        <f>VLOOKUP(Tabla1[[#This Row],[AREA]],Hoja1!A:B,2,FALSE)</f>
        <v>11. Salud pública y seguridad ciudadana</v>
      </c>
      <c r="U315" s="35" t="str">
        <f>MID(Tabla1[[#This Row],[Aplicación]],9,4)</f>
        <v>1321</v>
      </c>
      <c r="V315" s="35" t="str">
        <f>VLOOKUP(Tabla1[[#This Row],[PROGRAMA]],Hoja1!A:B,2,FALSE)</f>
        <v>1321. Policía municipal</v>
      </c>
      <c r="W315" s="35" t="str">
        <f>MID(Tabla1[[#This Row],[Aplicación]],14,2)</f>
        <v>62</v>
      </c>
      <c r="X315" s="35" t="str">
        <f>MID(Tabla1[[#This Row],[Aplicación]],14,6)</f>
        <v>624</v>
      </c>
    </row>
    <row r="316" spans="1:24" x14ac:dyDescent="0.25">
      <c r="A316" s="49">
        <v>220219000912</v>
      </c>
      <c r="B316" s="50" t="s">
        <v>9</v>
      </c>
      <c r="C316" s="57">
        <v>44562</v>
      </c>
      <c r="D316" s="49">
        <v>22022000108</v>
      </c>
      <c r="E316" s="50" t="s">
        <v>1783</v>
      </c>
      <c r="F316" s="58">
        <v>41200</v>
      </c>
      <c r="G316" s="50" t="s">
        <v>38</v>
      </c>
      <c r="H316" s="50" t="s">
        <v>1784</v>
      </c>
      <c r="I316" s="49" t="s">
        <v>107</v>
      </c>
      <c r="J316" s="50" t="s">
        <v>129</v>
      </c>
      <c r="K316" s="50" t="s">
        <v>170</v>
      </c>
      <c r="L316" s="50" t="s">
        <v>15</v>
      </c>
      <c r="M316" s="50" t="s">
        <v>13</v>
      </c>
      <c r="N316" s="50" t="s">
        <v>14</v>
      </c>
      <c r="O316" s="48" t="s">
        <v>620</v>
      </c>
      <c r="P316" s="45" t="s">
        <v>453</v>
      </c>
      <c r="Q316" s="35" t="str">
        <f>MID(Tabla1[[#This Row],[Aplicación]],14,1)</f>
        <v>2</v>
      </c>
      <c r="R316" s="35" t="s">
        <v>441</v>
      </c>
      <c r="S316" s="35" t="str">
        <f>MID(Tabla1[[#This Row],[Aplicación]],6,2)</f>
        <v>10</v>
      </c>
      <c r="T316" s="35" t="str">
        <f>VLOOKUP(Tabla1[[#This Row],[AREA]],Hoja1!A:B,2,FALSE)</f>
        <v>10. Servicios sociales y mediación comunitaria</v>
      </c>
      <c r="U316" s="35" t="str">
        <f>MID(Tabla1[[#This Row],[Aplicación]],9,4)</f>
        <v>2311</v>
      </c>
      <c r="V316" s="35" t="str">
        <f>VLOOKUP(Tabla1[[#This Row],[PROGRAMA]],Hoja1!A:B,2,FALSE)</f>
        <v>2311. Intervención social</v>
      </c>
      <c r="W316" s="35" t="str">
        <f>MID(Tabla1[[#This Row],[Aplicación]],14,2)</f>
        <v>22</v>
      </c>
      <c r="X316" s="35" t="str">
        <f>MID(Tabla1[[#This Row],[Aplicación]],14,6)</f>
        <v>22100</v>
      </c>
    </row>
    <row r="317" spans="1:24" x14ac:dyDescent="0.25">
      <c r="A317" s="49">
        <v>220210030862</v>
      </c>
      <c r="B317" s="50" t="s">
        <v>9</v>
      </c>
      <c r="C317" s="57">
        <v>44620</v>
      </c>
      <c r="D317" s="49">
        <v>22021003909</v>
      </c>
      <c r="E317" s="50" t="s">
        <v>1602</v>
      </c>
      <c r="F317" s="58">
        <v>31.5</v>
      </c>
      <c r="G317" s="50" t="s">
        <v>1010</v>
      </c>
      <c r="H317" s="50" t="s">
        <v>1038</v>
      </c>
      <c r="I317" s="49" t="s">
        <v>107</v>
      </c>
      <c r="J317" s="50" t="s">
        <v>1011</v>
      </c>
      <c r="K317" s="50" t="s">
        <v>128</v>
      </c>
      <c r="L317" s="50" t="s">
        <v>25</v>
      </c>
      <c r="M317" s="50" t="s">
        <v>13</v>
      </c>
      <c r="N317" s="50" t="s">
        <v>14</v>
      </c>
      <c r="O317" s="48" t="s">
        <v>631</v>
      </c>
      <c r="P317" s="45" t="s">
        <v>453</v>
      </c>
      <c r="Q317" s="35" t="str">
        <f>MID(Tabla1[[#This Row],[Aplicación]],14,1)</f>
        <v>6</v>
      </c>
      <c r="R317" s="35" t="s">
        <v>442</v>
      </c>
      <c r="S317" s="35" t="str">
        <f>MID(Tabla1[[#This Row],[Aplicación]],6,2)</f>
        <v>05</v>
      </c>
      <c r="T317" s="35" t="str">
        <f>VLOOKUP(Tabla1[[#This Row],[AREA]],Hoja1!A:B,2,FALSE)</f>
        <v>05. Innovación, desarrollo económico, empleo y comercio</v>
      </c>
      <c r="U317" s="35" t="str">
        <f>MID(Tabla1[[#This Row],[Aplicación]],9,4)</f>
        <v>4331</v>
      </c>
      <c r="V317" s="35" t="str">
        <f>VLOOKUP(Tabla1[[#This Row],[PROGRAMA]],Hoja1!A:B,2,FALSE)</f>
        <v>4331. Desarrollo empresarial</v>
      </c>
      <c r="W317" s="35" t="str">
        <f>MID(Tabla1[[#This Row],[Aplicación]],14,2)</f>
        <v>60</v>
      </c>
      <c r="X317" s="35" t="str">
        <f>MID(Tabla1[[#This Row],[Aplicación]],14,6)</f>
        <v>609</v>
      </c>
    </row>
    <row r="318" spans="1:24" x14ac:dyDescent="0.25">
      <c r="A318" s="49">
        <v>220210035417</v>
      </c>
      <c r="B318" s="50" t="s">
        <v>9</v>
      </c>
      <c r="C318" s="57">
        <v>44631</v>
      </c>
      <c r="D318" s="49">
        <v>22021005112</v>
      </c>
      <c r="E318" s="50" t="s">
        <v>1593</v>
      </c>
      <c r="F318" s="58">
        <v>1913.53</v>
      </c>
      <c r="G318" s="50" t="s">
        <v>1010</v>
      </c>
      <c r="H318" s="50" t="s">
        <v>1065</v>
      </c>
      <c r="I318" s="49" t="s">
        <v>107</v>
      </c>
      <c r="J318" s="50" t="s">
        <v>1011</v>
      </c>
      <c r="K318" s="50" t="s">
        <v>128</v>
      </c>
      <c r="L318" s="50" t="s">
        <v>12</v>
      </c>
      <c r="M318" s="50" t="s">
        <v>13</v>
      </c>
      <c r="N318" s="50" t="s">
        <v>14</v>
      </c>
      <c r="O318" s="48" t="s">
        <v>631</v>
      </c>
      <c r="P318" s="45" t="s">
        <v>453</v>
      </c>
      <c r="Q318" s="35" t="str">
        <f>MID(Tabla1[[#This Row],[Aplicación]],14,1)</f>
        <v>6</v>
      </c>
      <c r="R318" s="35" t="s">
        <v>442</v>
      </c>
      <c r="S318" s="35" t="str">
        <f>MID(Tabla1[[#This Row],[Aplicación]],6,2)</f>
        <v>07</v>
      </c>
      <c r="T318" s="35" t="str">
        <f>VLOOKUP(Tabla1[[#This Row],[AREA]],Hoja1!A:B,2,FALSE)</f>
        <v>07. Medio ambiente y desarrollo sostenible</v>
      </c>
      <c r="U318" s="35" t="str">
        <f>MID(Tabla1[[#This Row],[Aplicación]],9,4)</f>
        <v>1711</v>
      </c>
      <c r="V318" s="35" t="str">
        <f>VLOOKUP(Tabla1[[#This Row],[PROGRAMA]],Hoja1!A:B,2,FALSE)</f>
        <v>1711. Parques y jardines</v>
      </c>
      <c r="W318" s="35" t="str">
        <f>MID(Tabla1[[#This Row],[Aplicación]],14,2)</f>
        <v>61</v>
      </c>
      <c r="X318" s="35" t="str">
        <f>MID(Tabla1[[#This Row],[Aplicación]],14,6)</f>
        <v>619</v>
      </c>
    </row>
    <row r="319" spans="1:24" x14ac:dyDescent="0.25">
      <c r="A319" s="49">
        <v>220210036483</v>
      </c>
      <c r="B319" s="50" t="s">
        <v>9</v>
      </c>
      <c r="C319" s="57">
        <v>44620</v>
      </c>
      <c r="D319" s="49">
        <v>22021004806</v>
      </c>
      <c r="E319" s="50" t="s">
        <v>1368</v>
      </c>
      <c r="F319" s="58">
        <v>1742.83</v>
      </c>
      <c r="G319" s="50" t="s">
        <v>1010</v>
      </c>
      <c r="H319" s="50" t="s">
        <v>1064</v>
      </c>
      <c r="I319" s="49" t="s">
        <v>107</v>
      </c>
      <c r="J319" s="50" t="s">
        <v>1011</v>
      </c>
      <c r="K319" s="50" t="s">
        <v>128</v>
      </c>
      <c r="L319" s="50" t="s">
        <v>12</v>
      </c>
      <c r="M319" s="50" t="s">
        <v>13</v>
      </c>
      <c r="N319" s="50" t="s">
        <v>14</v>
      </c>
      <c r="O319" s="48" t="s">
        <v>631</v>
      </c>
      <c r="P319" s="45" t="s">
        <v>453</v>
      </c>
      <c r="Q319" s="35" t="str">
        <f>MID(Tabla1[[#This Row],[Aplicación]],14,1)</f>
        <v>6</v>
      </c>
      <c r="R319" s="35" t="s">
        <v>442</v>
      </c>
      <c r="S319" s="35" t="str">
        <f>MID(Tabla1[[#This Row],[Aplicación]],6,2)</f>
        <v>08</v>
      </c>
      <c r="T319" s="35" t="str">
        <f>VLOOKUP(Tabla1[[#This Row],[AREA]],Hoja1!A:B,2,FALSE)</f>
        <v>08. Movilidad y espacio urbano</v>
      </c>
      <c r="U319" s="35" t="str">
        <f>MID(Tabla1[[#This Row],[Aplicación]],9,4)</f>
        <v>1532</v>
      </c>
      <c r="V319" s="35" t="str">
        <f>VLOOKUP(Tabla1[[#This Row],[PROGRAMA]],Hoja1!A:B,2,FALSE)</f>
        <v>1532. Pavimentación vias públicas y otros servicios urbanísticos</v>
      </c>
      <c r="W319" s="35" t="str">
        <f>MID(Tabla1[[#This Row],[Aplicación]],14,2)</f>
        <v>61</v>
      </c>
      <c r="X319" s="35" t="str">
        <f>MID(Tabla1[[#This Row],[Aplicación]],14,6)</f>
        <v>619</v>
      </c>
    </row>
    <row r="320" spans="1:24" x14ac:dyDescent="0.25">
      <c r="A320" s="49">
        <v>220210036835</v>
      </c>
      <c r="B320" s="50" t="s">
        <v>9</v>
      </c>
      <c r="C320" s="57">
        <v>44620</v>
      </c>
      <c r="D320" s="49">
        <v>22021005104</v>
      </c>
      <c r="E320" s="50" t="s">
        <v>1368</v>
      </c>
      <c r="F320" s="58">
        <v>2176.13</v>
      </c>
      <c r="G320" s="50" t="s">
        <v>1010</v>
      </c>
      <c r="H320" s="50" t="s">
        <v>1067</v>
      </c>
      <c r="I320" s="49" t="s">
        <v>107</v>
      </c>
      <c r="J320" s="50" t="s">
        <v>1011</v>
      </c>
      <c r="K320" s="50" t="s">
        <v>128</v>
      </c>
      <c r="L320" s="50" t="s">
        <v>12</v>
      </c>
      <c r="M320" s="50" t="s">
        <v>13</v>
      </c>
      <c r="N320" s="50" t="s">
        <v>14</v>
      </c>
      <c r="O320" s="48" t="s">
        <v>631</v>
      </c>
      <c r="P320" s="45" t="s">
        <v>453</v>
      </c>
      <c r="Q320" s="35" t="str">
        <f>MID(Tabla1[[#This Row],[Aplicación]],14,1)</f>
        <v>6</v>
      </c>
      <c r="R320" s="35" t="s">
        <v>442</v>
      </c>
      <c r="S320" s="35" t="str">
        <f>MID(Tabla1[[#This Row],[Aplicación]],6,2)</f>
        <v>08</v>
      </c>
      <c r="T320" s="35" t="str">
        <f>VLOOKUP(Tabla1[[#This Row],[AREA]],Hoja1!A:B,2,FALSE)</f>
        <v>08. Movilidad y espacio urbano</v>
      </c>
      <c r="U320" s="35" t="str">
        <f>MID(Tabla1[[#This Row],[Aplicación]],9,4)</f>
        <v>1532</v>
      </c>
      <c r="V320" s="35" t="str">
        <f>VLOOKUP(Tabla1[[#This Row],[PROGRAMA]],Hoja1!A:B,2,FALSE)</f>
        <v>1532. Pavimentación vias públicas y otros servicios urbanísticos</v>
      </c>
      <c r="W320" s="35" t="str">
        <f>MID(Tabla1[[#This Row],[Aplicación]],14,2)</f>
        <v>61</v>
      </c>
      <c r="X320" s="35" t="str">
        <f>MID(Tabla1[[#This Row],[Aplicación]],14,6)</f>
        <v>619</v>
      </c>
    </row>
    <row r="321" spans="1:24" x14ac:dyDescent="0.25">
      <c r="A321" s="49">
        <v>220209000687</v>
      </c>
      <c r="B321" s="50" t="s">
        <v>9</v>
      </c>
      <c r="C321" s="57">
        <v>44562</v>
      </c>
      <c r="D321" s="49">
        <v>22022000241</v>
      </c>
      <c r="E321" s="50" t="s">
        <v>1785</v>
      </c>
      <c r="F321" s="58">
        <v>131496.69</v>
      </c>
      <c r="G321" s="50" t="s">
        <v>84</v>
      </c>
      <c r="H321" s="50" t="s">
        <v>733</v>
      </c>
      <c r="I321" s="49" t="s">
        <v>107</v>
      </c>
      <c r="J321" s="50" t="s">
        <v>109</v>
      </c>
      <c r="K321" s="50" t="s">
        <v>109</v>
      </c>
      <c r="L321" s="50" t="s">
        <v>12</v>
      </c>
      <c r="M321" s="50" t="s">
        <v>13</v>
      </c>
      <c r="N321" s="50" t="s">
        <v>14</v>
      </c>
      <c r="O321" s="48" t="s">
        <v>620</v>
      </c>
      <c r="P321" s="45" t="s">
        <v>453</v>
      </c>
      <c r="Q321" s="35" t="str">
        <f>MID(Tabla1[[#This Row],[Aplicación]],14,1)</f>
        <v>2</v>
      </c>
      <c r="R321" s="35" t="s">
        <v>441</v>
      </c>
      <c r="S321" s="35" t="str">
        <f>MID(Tabla1[[#This Row],[Aplicación]],6,2)</f>
        <v>11</v>
      </c>
      <c r="T321" s="35" t="str">
        <f>VLOOKUP(Tabla1[[#This Row],[AREA]],Hoja1!A:B,2,FALSE)</f>
        <v>11. Salud pública y seguridad ciudadana</v>
      </c>
      <c r="U321" s="35" t="str">
        <f>MID(Tabla1[[#This Row],[Aplicación]],9,4)</f>
        <v>1321</v>
      </c>
      <c r="V321" s="35" t="str">
        <f>VLOOKUP(Tabla1[[#This Row],[PROGRAMA]],Hoja1!A:B,2,FALSE)</f>
        <v>1321. Policía municipal</v>
      </c>
      <c r="W321" s="35" t="str">
        <f>MID(Tabla1[[#This Row],[Aplicación]],14,2)</f>
        <v>22</v>
      </c>
      <c r="X321" s="35" t="str">
        <f>MID(Tabla1[[#This Row],[Aplicación]],14,6)</f>
        <v>22700</v>
      </c>
    </row>
    <row r="322" spans="1:24" x14ac:dyDescent="0.25">
      <c r="A322" s="49">
        <v>220210037288</v>
      </c>
      <c r="B322" s="50" t="s">
        <v>9</v>
      </c>
      <c r="C322" s="57">
        <v>44620</v>
      </c>
      <c r="D322" s="49">
        <v>22021004411</v>
      </c>
      <c r="E322" s="50" t="s">
        <v>1602</v>
      </c>
      <c r="F322" s="58">
        <v>25.41</v>
      </c>
      <c r="G322" s="50" t="s">
        <v>1010</v>
      </c>
      <c r="H322" s="50" t="s">
        <v>1073</v>
      </c>
      <c r="I322" s="49" t="s">
        <v>107</v>
      </c>
      <c r="J322" s="50" t="s">
        <v>1011</v>
      </c>
      <c r="K322" s="50" t="s">
        <v>128</v>
      </c>
      <c r="L322" s="50" t="s">
        <v>25</v>
      </c>
      <c r="M322" s="50" t="s">
        <v>13</v>
      </c>
      <c r="N322" s="50" t="s">
        <v>14</v>
      </c>
      <c r="O322" s="48" t="s">
        <v>631</v>
      </c>
      <c r="P322" s="45" t="s">
        <v>453</v>
      </c>
      <c r="Q322" s="35" t="str">
        <f>MID(Tabla1[[#This Row],[Aplicación]],14,1)</f>
        <v>6</v>
      </c>
      <c r="R322" s="35" t="s">
        <v>442</v>
      </c>
      <c r="S322" s="35" t="str">
        <f>MID(Tabla1[[#This Row],[Aplicación]],6,2)</f>
        <v>05</v>
      </c>
      <c r="T322" s="35" t="str">
        <f>VLOOKUP(Tabla1[[#This Row],[AREA]],Hoja1!A:B,2,FALSE)</f>
        <v>05. Innovación, desarrollo económico, empleo y comercio</v>
      </c>
      <c r="U322" s="35" t="str">
        <f>MID(Tabla1[[#This Row],[Aplicación]],9,4)</f>
        <v>4331</v>
      </c>
      <c r="V322" s="35" t="str">
        <f>VLOOKUP(Tabla1[[#This Row],[PROGRAMA]],Hoja1!A:B,2,FALSE)</f>
        <v>4331. Desarrollo empresarial</v>
      </c>
      <c r="W322" s="35" t="str">
        <f>MID(Tabla1[[#This Row],[Aplicación]],14,2)</f>
        <v>60</v>
      </c>
      <c r="X322" s="35" t="str">
        <f>MID(Tabla1[[#This Row],[Aplicación]],14,6)</f>
        <v>609</v>
      </c>
    </row>
    <row r="323" spans="1:24" x14ac:dyDescent="0.25">
      <c r="A323" s="49">
        <v>220210037299</v>
      </c>
      <c r="B323" s="50" t="s">
        <v>9</v>
      </c>
      <c r="C323" s="57">
        <v>44631</v>
      </c>
      <c r="D323" s="49">
        <v>22021005145</v>
      </c>
      <c r="E323" s="50" t="s">
        <v>1593</v>
      </c>
      <c r="F323" s="58">
        <v>1755.95</v>
      </c>
      <c r="G323" s="50" t="s">
        <v>1010</v>
      </c>
      <c r="H323" s="50" t="s">
        <v>1068</v>
      </c>
      <c r="I323" s="49" t="s">
        <v>107</v>
      </c>
      <c r="J323" s="50" t="s">
        <v>1011</v>
      </c>
      <c r="K323" s="50" t="s">
        <v>128</v>
      </c>
      <c r="L323" s="50" t="s">
        <v>12</v>
      </c>
      <c r="M323" s="50" t="s">
        <v>13</v>
      </c>
      <c r="N323" s="50" t="s">
        <v>14</v>
      </c>
      <c r="O323" s="48" t="s">
        <v>631</v>
      </c>
      <c r="P323" s="45" t="s">
        <v>453</v>
      </c>
      <c r="Q323" s="35" t="str">
        <f>MID(Tabla1[[#This Row],[Aplicación]],14,1)</f>
        <v>6</v>
      </c>
      <c r="R323" s="35" t="s">
        <v>442</v>
      </c>
      <c r="S323" s="35" t="str">
        <f>MID(Tabla1[[#This Row],[Aplicación]],6,2)</f>
        <v>07</v>
      </c>
      <c r="T323" s="35" t="str">
        <f>VLOOKUP(Tabla1[[#This Row],[AREA]],Hoja1!A:B,2,FALSE)</f>
        <v>07. Medio ambiente y desarrollo sostenible</v>
      </c>
      <c r="U323" s="35" t="str">
        <f>MID(Tabla1[[#This Row],[Aplicación]],9,4)</f>
        <v>1711</v>
      </c>
      <c r="V323" s="35" t="str">
        <f>VLOOKUP(Tabla1[[#This Row],[PROGRAMA]],Hoja1!A:B,2,FALSE)</f>
        <v>1711. Parques y jardines</v>
      </c>
      <c r="W323" s="35" t="str">
        <f>MID(Tabla1[[#This Row],[Aplicación]],14,2)</f>
        <v>61</v>
      </c>
      <c r="X323" s="35" t="str">
        <f>MID(Tabla1[[#This Row],[Aplicación]],14,6)</f>
        <v>619</v>
      </c>
    </row>
    <row r="324" spans="1:24" x14ac:dyDescent="0.25">
      <c r="A324" s="49">
        <v>220220005807</v>
      </c>
      <c r="B324" s="50" t="s">
        <v>9</v>
      </c>
      <c r="C324" s="57">
        <v>44615</v>
      </c>
      <c r="D324" s="49">
        <v>22022002401</v>
      </c>
      <c r="E324" s="50" t="s">
        <v>1765</v>
      </c>
      <c r="F324" s="58">
        <v>5935.05</v>
      </c>
      <c r="G324" s="50" t="s">
        <v>668</v>
      </c>
      <c r="H324" s="50" t="s">
        <v>1786</v>
      </c>
      <c r="I324" s="49" t="s">
        <v>107</v>
      </c>
      <c r="J324" s="50" t="s">
        <v>109</v>
      </c>
      <c r="K324" s="50" t="s">
        <v>109</v>
      </c>
      <c r="L324" s="50" t="s">
        <v>15</v>
      </c>
      <c r="M324" s="50" t="s">
        <v>10</v>
      </c>
      <c r="N324" s="50" t="s">
        <v>11</v>
      </c>
      <c r="O324" s="48" t="s">
        <v>632</v>
      </c>
      <c r="P324" s="45" t="s">
        <v>453</v>
      </c>
      <c r="Q324" s="35" t="str">
        <f>MID(Tabla1[[#This Row],[Aplicación]],14,1)</f>
        <v>2</v>
      </c>
      <c r="R324" s="35" t="s">
        <v>441</v>
      </c>
      <c r="S324" s="35" t="str">
        <f>MID(Tabla1[[#This Row],[Aplicación]],6,2)</f>
        <v>11</v>
      </c>
      <c r="T324" s="35" t="str">
        <f>VLOOKUP(Tabla1[[#This Row],[AREA]],Hoja1!A:B,2,FALSE)</f>
        <v>11. Salud pública y seguridad ciudadana</v>
      </c>
      <c r="U324" s="35" t="str">
        <f>MID(Tabla1[[#This Row],[Aplicación]],9,4)</f>
        <v>1321</v>
      </c>
      <c r="V324" s="35" t="str">
        <f>VLOOKUP(Tabla1[[#This Row],[PROGRAMA]],Hoja1!A:B,2,FALSE)</f>
        <v>1321. Policía municipal</v>
      </c>
      <c r="W324" s="35" t="str">
        <f>MID(Tabla1[[#This Row],[Aplicación]],14,2)</f>
        <v>22</v>
      </c>
      <c r="X324" s="35" t="str">
        <f>MID(Tabla1[[#This Row],[Aplicación]],14,6)</f>
        <v>22699</v>
      </c>
    </row>
    <row r="325" spans="1:24" x14ac:dyDescent="0.25">
      <c r="A325" s="49">
        <v>220210043824</v>
      </c>
      <c r="B325" s="50" t="s">
        <v>9</v>
      </c>
      <c r="C325" s="57">
        <v>44620</v>
      </c>
      <c r="D325" s="49">
        <v>22021003909</v>
      </c>
      <c r="E325" s="50" t="s">
        <v>1602</v>
      </c>
      <c r="F325" s="58">
        <v>3429.75</v>
      </c>
      <c r="G325" s="50" t="s">
        <v>1010</v>
      </c>
      <c r="H325" s="50" t="s">
        <v>1066</v>
      </c>
      <c r="I325" s="49" t="s">
        <v>107</v>
      </c>
      <c r="J325" s="50" t="s">
        <v>1011</v>
      </c>
      <c r="K325" s="50" t="s">
        <v>128</v>
      </c>
      <c r="L325" s="50" t="s">
        <v>25</v>
      </c>
      <c r="M325" s="50" t="s">
        <v>13</v>
      </c>
      <c r="N325" s="50" t="s">
        <v>16</v>
      </c>
      <c r="O325" s="48" t="s">
        <v>631</v>
      </c>
      <c r="P325" s="45" t="s">
        <v>453</v>
      </c>
      <c r="Q325" s="35" t="str">
        <f>MID(Tabla1[[#This Row],[Aplicación]],14,1)</f>
        <v>6</v>
      </c>
      <c r="R325" s="35" t="s">
        <v>442</v>
      </c>
      <c r="S325" s="35" t="str">
        <f>MID(Tabla1[[#This Row],[Aplicación]],6,2)</f>
        <v>05</v>
      </c>
      <c r="T325" s="35" t="str">
        <f>VLOOKUP(Tabla1[[#This Row],[AREA]],Hoja1!A:B,2,FALSE)</f>
        <v>05. Innovación, desarrollo económico, empleo y comercio</v>
      </c>
      <c r="U325" s="35" t="str">
        <f>MID(Tabla1[[#This Row],[Aplicación]],9,4)</f>
        <v>4331</v>
      </c>
      <c r="V325" s="35" t="str">
        <f>VLOOKUP(Tabla1[[#This Row],[PROGRAMA]],Hoja1!A:B,2,FALSE)</f>
        <v>4331. Desarrollo empresarial</v>
      </c>
      <c r="W325" s="35" t="str">
        <f>MID(Tabla1[[#This Row],[Aplicación]],14,2)</f>
        <v>60</v>
      </c>
      <c r="X325" s="35" t="str">
        <f>MID(Tabla1[[#This Row],[Aplicación]],14,6)</f>
        <v>609</v>
      </c>
    </row>
    <row r="326" spans="1:24" x14ac:dyDescent="0.25">
      <c r="A326" s="49">
        <v>220210043856</v>
      </c>
      <c r="B326" s="50" t="s">
        <v>9</v>
      </c>
      <c r="C326" s="57">
        <v>44631</v>
      </c>
      <c r="D326" s="49">
        <v>22021004898</v>
      </c>
      <c r="E326" s="50" t="s">
        <v>1593</v>
      </c>
      <c r="F326" s="58">
        <v>996.32</v>
      </c>
      <c r="G326" s="50" t="s">
        <v>1010</v>
      </c>
      <c r="H326" s="50" t="s">
        <v>1069</v>
      </c>
      <c r="I326" s="49" t="s">
        <v>107</v>
      </c>
      <c r="J326" s="50" t="s">
        <v>1011</v>
      </c>
      <c r="K326" s="50" t="s">
        <v>128</v>
      </c>
      <c r="L326" s="50" t="s">
        <v>12</v>
      </c>
      <c r="M326" s="50" t="s">
        <v>13</v>
      </c>
      <c r="N326" s="50" t="s">
        <v>14</v>
      </c>
      <c r="O326" s="48" t="s">
        <v>631</v>
      </c>
      <c r="P326" s="45" t="s">
        <v>453</v>
      </c>
      <c r="Q326" s="35" t="str">
        <f>MID(Tabla1[[#This Row],[Aplicación]],14,1)</f>
        <v>6</v>
      </c>
      <c r="R326" s="35" t="s">
        <v>442</v>
      </c>
      <c r="S326" s="35" t="str">
        <f>MID(Tabla1[[#This Row],[Aplicación]],6,2)</f>
        <v>07</v>
      </c>
      <c r="T326" s="35" t="str">
        <f>VLOOKUP(Tabla1[[#This Row],[AREA]],Hoja1!A:B,2,FALSE)</f>
        <v>07. Medio ambiente y desarrollo sostenible</v>
      </c>
      <c r="U326" s="35" t="str">
        <f>MID(Tabla1[[#This Row],[Aplicación]],9,4)</f>
        <v>1711</v>
      </c>
      <c r="V326" s="35" t="str">
        <f>VLOOKUP(Tabla1[[#This Row],[PROGRAMA]],Hoja1!A:B,2,FALSE)</f>
        <v>1711. Parques y jardines</v>
      </c>
      <c r="W326" s="35" t="str">
        <f>MID(Tabla1[[#This Row],[Aplicación]],14,2)</f>
        <v>61</v>
      </c>
      <c r="X326" s="35" t="str">
        <f>MID(Tabla1[[#This Row],[Aplicación]],14,6)</f>
        <v>619</v>
      </c>
    </row>
    <row r="327" spans="1:24" x14ac:dyDescent="0.25">
      <c r="A327" s="49">
        <v>220210043879</v>
      </c>
      <c r="B327" s="50" t="s">
        <v>9</v>
      </c>
      <c r="C327" s="57">
        <v>44631</v>
      </c>
      <c r="D327" s="49">
        <v>22021005172</v>
      </c>
      <c r="E327" s="50" t="s">
        <v>1593</v>
      </c>
      <c r="F327" s="58">
        <v>691.97</v>
      </c>
      <c r="G327" s="50" t="s">
        <v>1010</v>
      </c>
      <c r="H327" s="50" t="s">
        <v>1071</v>
      </c>
      <c r="I327" s="49" t="s">
        <v>107</v>
      </c>
      <c r="J327" s="50" t="s">
        <v>1011</v>
      </c>
      <c r="K327" s="50" t="s">
        <v>128</v>
      </c>
      <c r="L327" s="50" t="s">
        <v>12</v>
      </c>
      <c r="M327" s="50" t="s">
        <v>13</v>
      </c>
      <c r="N327" s="50" t="s">
        <v>14</v>
      </c>
      <c r="O327" s="48" t="s">
        <v>631</v>
      </c>
      <c r="P327" s="45" t="s">
        <v>453</v>
      </c>
      <c r="Q327" s="35" t="str">
        <f>MID(Tabla1[[#This Row],[Aplicación]],14,1)</f>
        <v>6</v>
      </c>
      <c r="R327" s="35" t="s">
        <v>442</v>
      </c>
      <c r="S327" s="35" t="str">
        <f>MID(Tabla1[[#This Row],[Aplicación]],6,2)</f>
        <v>07</v>
      </c>
      <c r="T327" s="35" t="str">
        <f>VLOOKUP(Tabla1[[#This Row],[AREA]],Hoja1!A:B,2,FALSE)</f>
        <v>07. Medio ambiente y desarrollo sostenible</v>
      </c>
      <c r="U327" s="35" t="str">
        <f>MID(Tabla1[[#This Row],[Aplicación]],9,4)</f>
        <v>1711</v>
      </c>
      <c r="V327" s="35" t="str">
        <f>VLOOKUP(Tabla1[[#This Row],[PROGRAMA]],Hoja1!A:B,2,FALSE)</f>
        <v>1711. Parques y jardines</v>
      </c>
      <c r="W327" s="35" t="str">
        <f>MID(Tabla1[[#This Row],[Aplicación]],14,2)</f>
        <v>61</v>
      </c>
      <c r="X327" s="35" t="str">
        <f>MID(Tabla1[[#This Row],[Aplicación]],14,6)</f>
        <v>619</v>
      </c>
    </row>
    <row r="328" spans="1:24" x14ac:dyDescent="0.25">
      <c r="A328" s="49">
        <v>220219001268</v>
      </c>
      <c r="B328" s="50" t="s">
        <v>9</v>
      </c>
      <c r="C328" s="57">
        <v>44562</v>
      </c>
      <c r="D328" s="49">
        <v>22022001991</v>
      </c>
      <c r="E328" s="50" t="s">
        <v>1543</v>
      </c>
      <c r="F328" s="58">
        <v>131018.86</v>
      </c>
      <c r="G328" s="50" t="s">
        <v>161</v>
      </c>
      <c r="H328" s="50" t="s">
        <v>1787</v>
      </c>
      <c r="I328" s="49" t="s">
        <v>107</v>
      </c>
      <c r="J328" s="50" t="s">
        <v>108</v>
      </c>
      <c r="K328" s="50" t="s">
        <v>108</v>
      </c>
      <c r="L328" s="50" t="s">
        <v>12</v>
      </c>
      <c r="M328" s="50" t="s">
        <v>13</v>
      </c>
      <c r="N328" s="50" t="s">
        <v>14</v>
      </c>
      <c r="O328" s="48" t="s">
        <v>620</v>
      </c>
      <c r="P328" s="45" t="s">
        <v>453</v>
      </c>
      <c r="Q328" s="35" t="str">
        <f>MID(Tabla1[[#This Row],[Aplicación]],14,1)</f>
        <v>6</v>
      </c>
      <c r="R328" s="35" t="s">
        <v>442</v>
      </c>
      <c r="S328" s="35" t="str">
        <f>MID(Tabla1[[#This Row],[Aplicación]],6,2)</f>
        <v>04</v>
      </c>
      <c r="T328" s="35" t="str">
        <f>VLOOKUP(Tabla1[[#This Row],[AREA]],Hoja1!A:B,2,FALSE)</f>
        <v>04. Planificación y recursos</v>
      </c>
      <c r="U328" s="35" t="str">
        <f>MID(Tabla1[[#This Row],[Aplicación]],9,4)</f>
        <v>9204</v>
      </c>
      <c r="V328" s="35" t="str">
        <f>VLOOKUP(Tabla1[[#This Row],[PROGRAMA]],Hoja1!A:B,2,FALSE)</f>
        <v>9204. Tecnologías de la información y comunicación</v>
      </c>
      <c r="W328" s="35" t="str">
        <f>MID(Tabla1[[#This Row],[Aplicación]],14,2)</f>
        <v>63</v>
      </c>
      <c r="X328" s="35" t="str">
        <f>MID(Tabla1[[#This Row],[Aplicación]],14,6)</f>
        <v>636</v>
      </c>
    </row>
    <row r="329" spans="1:24" x14ac:dyDescent="0.25">
      <c r="A329" s="49">
        <v>220210037241</v>
      </c>
      <c r="B329" s="50" t="s">
        <v>9</v>
      </c>
      <c r="C329" s="57">
        <v>44631</v>
      </c>
      <c r="D329" s="49">
        <v>22021002556</v>
      </c>
      <c r="E329" s="50" t="s">
        <v>1713</v>
      </c>
      <c r="F329" s="58">
        <v>449.08</v>
      </c>
      <c r="G329" s="50" t="s">
        <v>1010</v>
      </c>
      <c r="H329" s="50" t="s">
        <v>1070</v>
      </c>
      <c r="I329" s="49" t="s">
        <v>107</v>
      </c>
      <c r="J329" s="50" t="s">
        <v>1011</v>
      </c>
      <c r="K329" s="50" t="s">
        <v>128</v>
      </c>
      <c r="L329" s="50" t="s">
        <v>12</v>
      </c>
      <c r="M329" s="50" t="s">
        <v>13</v>
      </c>
      <c r="N329" s="50" t="s">
        <v>14</v>
      </c>
      <c r="O329" s="48" t="s">
        <v>631</v>
      </c>
      <c r="P329" s="45" t="s">
        <v>453</v>
      </c>
      <c r="Q329" s="35" t="str">
        <f>MID(Tabla1[[#This Row],[Aplicación]],14,1)</f>
        <v>6</v>
      </c>
      <c r="R329" s="35" t="s">
        <v>442</v>
      </c>
      <c r="S329" s="35" t="str">
        <f>MID(Tabla1[[#This Row],[Aplicación]],6,2)</f>
        <v>11</v>
      </c>
      <c r="T329" s="35" t="str">
        <f>VLOOKUP(Tabla1[[#This Row],[AREA]],Hoja1!A:B,2,FALSE)</f>
        <v>11. Salud pública y seguridad ciudadana</v>
      </c>
      <c r="U329" s="35" t="str">
        <f>MID(Tabla1[[#This Row],[Aplicación]],9,4)</f>
        <v>3111</v>
      </c>
      <c r="V329" s="35" t="str">
        <f>VLOOKUP(Tabla1[[#This Row],[PROGRAMA]],Hoja1!A:B,2,FALSE)</f>
        <v>3111. Protección de la salubridad pública</v>
      </c>
      <c r="W329" s="35" t="str">
        <f>MID(Tabla1[[#This Row],[Aplicación]],14,2)</f>
        <v>63</v>
      </c>
      <c r="X329" s="35" t="str">
        <f>MID(Tabla1[[#This Row],[Aplicación]],14,6)</f>
        <v>632</v>
      </c>
    </row>
    <row r="330" spans="1:24" x14ac:dyDescent="0.25">
      <c r="A330" s="49">
        <v>220210056296</v>
      </c>
      <c r="B330" s="50" t="s">
        <v>9</v>
      </c>
      <c r="C330" s="57">
        <v>44620</v>
      </c>
      <c r="D330" s="49">
        <v>22021006395</v>
      </c>
      <c r="E330" s="50" t="s">
        <v>1755</v>
      </c>
      <c r="F330" s="58">
        <v>1502.49</v>
      </c>
      <c r="G330" s="50" t="s">
        <v>1010</v>
      </c>
      <c r="H330" s="50" t="s">
        <v>1076</v>
      </c>
      <c r="I330" s="49" t="s">
        <v>107</v>
      </c>
      <c r="J330" s="50" t="s">
        <v>1011</v>
      </c>
      <c r="K330" s="50" t="s">
        <v>128</v>
      </c>
      <c r="L330" s="50" t="s">
        <v>25</v>
      </c>
      <c r="M330" s="50" t="s">
        <v>13</v>
      </c>
      <c r="N330" s="50" t="s">
        <v>14</v>
      </c>
      <c r="O330" s="48" t="s">
        <v>631</v>
      </c>
      <c r="P330" s="45" t="s">
        <v>453</v>
      </c>
      <c r="Q330" s="35" t="str">
        <f>MID(Tabla1[[#This Row],[Aplicación]],14,1)</f>
        <v>6</v>
      </c>
      <c r="R330" s="35" t="s">
        <v>442</v>
      </c>
      <c r="S330" s="35" t="str">
        <f>MID(Tabla1[[#This Row],[Aplicación]],6,2)</f>
        <v>05</v>
      </c>
      <c r="T330" s="35" t="str">
        <f>VLOOKUP(Tabla1[[#This Row],[AREA]],Hoja1!A:B,2,FALSE)</f>
        <v>05. Innovación, desarrollo económico, empleo y comercio</v>
      </c>
      <c r="U330" s="35" t="str">
        <f>MID(Tabla1[[#This Row],[Aplicación]],9,4)</f>
        <v>4331</v>
      </c>
      <c r="V330" s="35" t="str">
        <f>VLOOKUP(Tabla1[[#This Row],[PROGRAMA]],Hoja1!A:B,2,FALSE)</f>
        <v>4331. Desarrollo empresarial</v>
      </c>
      <c r="W330" s="35" t="str">
        <f>MID(Tabla1[[#This Row],[Aplicación]],14,2)</f>
        <v>62</v>
      </c>
      <c r="X330" s="35" t="str">
        <f>MID(Tabla1[[#This Row],[Aplicación]],14,6)</f>
        <v>622</v>
      </c>
    </row>
    <row r="331" spans="1:24" x14ac:dyDescent="0.25">
      <c r="A331" s="49">
        <v>220210056343</v>
      </c>
      <c r="B331" s="50" t="s">
        <v>9</v>
      </c>
      <c r="C331" s="57">
        <v>44620</v>
      </c>
      <c r="D331" s="49">
        <v>22021006300</v>
      </c>
      <c r="E331" s="50" t="s">
        <v>1395</v>
      </c>
      <c r="F331" s="58">
        <v>4588.8</v>
      </c>
      <c r="G331" s="50" t="s">
        <v>1010</v>
      </c>
      <c r="H331" s="50" t="s">
        <v>1074</v>
      </c>
      <c r="I331" s="49" t="s">
        <v>107</v>
      </c>
      <c r="J331" s="50" t="s">
        <v>1011</v>
      </c>
      <c r="K331" s="50" t="s">
        <v>128</v>
      </c>
      <c r="L331" s="50" t="s">
        <v>12</v>
      </c>
      <c r="M331" s="50" t="s">
        <v>13</v>
      </c>
      <c r="N331" s="50" t="s">
        <v>14</v>
      </c>
      <c r="O331" s="48" t="s">
        <v>631</v>
      </c>
      <c r="P331" s="45" t="s">
        <v>453</v>
      </c>
      <c r="Q331" s="35" t="str">
        <f>MID(Tabla1[[#This Row],[Aplicación]],14,1)</f>
        <v>6</v>
      </c>
      <c r="R331" s="35" t="s">
        <v>442</v>
      </c>
      <c r="S331" s="35" t="str">
        <f>MID(Tabla1[[#This Row],[Aplicación]],6,2)</f>
        <v>06</v>
      </c>
      <c r="T331" s="35" t="str">
        <f>VLOOKUP(Tabla1[[#This Row],[AREA]],Hoja1!A:B,2,FALSE)</f>
        <v>06. Educación, infancia, juventud e igualdad</v>
      </c>
      <c r="U331" s="35" t="str">
        <f>MID(Tabla1[[#This Row],[Aplicación]],9,4)</f>
        <v>3231</v>
      </c>
      <c r="V331" s="35" t="str">
        <f>VLOOKUP(Tabla1[[#This Row],[PROGRAMA]],Hoja1!A:B,2,FALSE)</f>
        <v>3231. Escuelas infantiles</v>
      </c>
      <c r="W331" s="35" t="str">
        <f>MID(Tabla1[[#This Row],[Aplicación]],14,2)</f>
        <v>62</v>
      </c>
      <c r="X331" s="35" t="str">
        <f>MID(Tabla1[[#This Row],[Aplicación]],14,6)</f>
        <v>622</v>
      </c>
    </row>
    <row r="332" spans="1:24" x14ac:dyDescent="0.25">
      <c r="A332" s="49">
        <v>220210056353</v>
      </c>
      <c r="B332" s="50" t="s">
        <v>9</v>
      </c>
      <c r="C332" s="57">
        <v>44631</v>
      </c>
      <c r="D332" s="49">
        <v>22021006364</v>
      </c>
      <c r="E332" s="50" t="s">
        <v>1593</v>
      </c>
      <c r="F332" s="58">
        <v>1324.09</v>
      </c>
      <c r="G332" s="50" t="s">
        <v>1010</v>
      </c>
      <c r="H332" s="50" t="s">
        <v>1075</v>
      </c>
      <c r="I332" s="49" t="s">
        <v>107</v>
      </c>
      <c r="J332" s="50" t="s">
        <v>1011</v>
      </c>
      <c r="K332" s="50" t="s">
        <v>128</v>
      </c>
      <c r="L332" s="50" t="s">
        <v>12</v>
      </c>
      <c r="M332" s="50" t="s">
        <v>13</v>
      </c>
      <c r="N332" s="50" t="s">
        <v>14</v>
      </c>
      <c r="O332" s="48" t="s">
        <v>631</v>
      </c>
      <c r="P332" s="45" t="s">
        <v>453</v>
      </c>
      <c r="Q332" s="35" t="str">
        <f>MID(Tabla1[[#This Row],[Aplicación]],14,1)</f>
        <v>6</v>
      </c>
      <c r="R332" s="35" t="s">
        <v>442</v>
      </c>
      <c r="S332" s="35" t="str">
        <f>MID(Tabla1[[#This Row],[Aplicación]],6,2)</f>
        <v>07</v>
      </c>
      <c r="T332" s="35" t="str">
        <f>VLOOKUP(Tabla1[[#This Row],[AREA]],Hoja1!A:B,2,FALSE)</f>
        <v>07. Medio ambiente y desarrollo sostenible</v>
      </c>
      <c r="U332" s="35" t="str">
        <f>MID(Tabla1[[#This Row],[Aplicación]],9,4)</f>
        <v>1711</v>
      </c>
      <c r="V332" s="35" t="str">
        <f>VLOOKUP(Tabla1[[#This Row],[PROGRAMA]],Hoja1!A:B,2,FALSE)</f>
        <v>1711. Parques y jardines</v>
      </c>
      <c r="W332" s="35" t="str">
        <f>MID(Tabla1[[#This Row],[Aplicación]],14,2)</f>
        <v>61</v>
      </c>
      <c r="X332" s="35" t="str">
        <f>MID(Tabla1[[#This Row],[Aplicación]],14,6)</f>
        <v>619</v>
      </c>
    </row>
    <row r="333" spans="1:24" x14ac:dyDescent="0.25">
      <c r="A333" s="49">
        <v>220210063763</v>
      </c>
      <c r="B333" s="50" t="s">
        <v>9</v>
      </c>
      <c r="C333" s="57">
        <v>44620</v>
      </c>
      <c r="D333" s="49">
        <v>22021006774</v>
      </c>
      <c r="E333" s="50" t="s">
        <v>1602</v>
      </c>
      <c r="F333" s="58">
        <v>1625.25</v>
      </c>
      <c r="G333" s="50" t="s">
        <v>1010</v>
      </c>
      <c r="H333" s="50" t="s">
        <v>1202</v>
      </c>
      <c r="I333" s="49" t="s">
        <v>107</v>
      </c>
      <c r="J333" s="50" t="s">
        <v>1011</v>
      </c>
      <c r="K333" s="50" t="s">
        <v>128</v>
      </c>
      <c r="L333" s="50" t="s">
        <v>25</v>
      </c>
      <c r="M333" s="50" t="s">
        <v>13</v>
      </c>
      <c r="N333" s="50" t="s">
        <v>14</v>
      </c>
      <c r="O333" s="48" t="s">
        <v>631</v>
      </c>
      <c r="P333" s="45" t="s">
        <v>453</v>
      </c>
      <c r="Q333" s="35" t="str">
        <f>MID(Tabla1[[#This Row],[Aplicación]],14,1)</f>
        <v>6</v>
      </c>
      <c r="R333" s="35" t="s">
        <v>442</v>
      </c>
      <c r="S333" s="35" t="str">
        <f>MID(Tabla1[[#This Row],[Aplicación]],6,2)</f>
        <v>05</v>
      </c>
      <c r="T333" s="35" t="str">
        <f>VLOOKUP(Tabla1[[#This Row],[AREA]],Hoja1!A:B,2,FALSE)</f>
        <v>05. Innovación, desarrollo económico, empleo y comercio</v>
      </c>
      <c r="U333" s="35" t="str">
        <f>MID(Tabla1[[#This Row],[Aplicación]],9,4)</f>
        <v>4331</v>
      </c>
      <c r="V333" s="35" t="str">
        <f>VLOOKUP(Tabla1[[#This Row],[PROGRAMA]],Hoja1!A:B,2,FALSE)</f>
        <v>4331. Desarrollo empresarial</v>
      </c>
      <c r="W333" s="35" t="str">
        <f>MID(Tabla1[[#This Row],[Aplicación]],14,2)</f>
        <v>60</v>
      </c>
      <c r="X333" s="35" t="str">
        <f>MID(Tabla1[[#This Row],[Aplicación]],14,6)</f>
        <v>609</v>
      </c>
    </row>
    <row r="334" spans="1:24" x14ac:dyDescent="0.25">
      <c r="A334" s="49">
        <v>220210038356</v>
      </c>
      <c r="B334" s="50" t="s">
        <v>9</v>
      </c>
      <c r="C334" s="57">
        <v>44620</v>
      </c>
      <c r="D334" s="49">
        <v>22021005582</v>
      </c>
      <c r="E334" s="50" t="s">
        <v>1788</v>
      </c>
      <c r="F334" s="58">
        <v>79.73</v>
      </c>
      <c r="G334" s="50" t="s">
        <v>1010</v>
      </c>
      <c r="H334" s="50" t="s">
        <v>1072</v>
      </c>
      <c r="I334" s="49" t="s">
        <v>107</v>
      </c>
      <c r="J334" s="50" t="s">
        <v>1011</v>
      </c>
      <c r="K334" s="50" t="s">
        <v>128</v>
      </c>
      <c r="L334" s="50" t="s">
        <v>25</v>
      </c>
      <c r="M334" s="50" t="s">
        <v>13</v>
      </c>
      <c r="N334" s="50" t="s">
        <v>14</v>
      </c>
      <c r="O334" s="48" t="s">
        <v>631</v>
      </c>
      <c r="P334" s="45" t="s">
        <v>453</v>
      </c>
      <c r="Q334" s="35" t="str">
        <f>MID(Tabla1[[#This Row],[Aplicación]],14,1)</f>
        <v>6</v>
      </c>
      <c r="R334" s="35" t="s">
        <v>442</v>
      </c>
      <c r="S334" s="35" t="str">
        <f>MID(Tabla1[[#This Row],[Aplicación]],6,2)</f>
        <v>05</v>
      </c>
      <c r="T334" s="35" t="str">
        <f>VLOOKUP(Tabla1[[#This Row],[AREA]],Hoja1!A:B,2,FALSE)</f>
        <v>05. Innovación, desarrollo económico, empleo y comercio</v>
      </c>
      <c r="U334" s="35" t="str">
        <f>MID(Tabla1[[#This Row],[Aplicación]],9,4)</f>
        <v>4312</v>
      </c>
      <c r="V334" s="35" t="str">
        <f>VLOOKUP(Tabla1[[#This Row],[PROGRAMA]],Hoja1!A:B,2,FALSE)</f>
        <v>4312. Mercados, abastos y lonjas</v>
      </c>
      <c r="W334" s="35" t="str">
        <f>MID(Tabla1[[#This Row],[Aplicación]],14,2)</f>
        <v>63</v>
      </c>
      <c r="X334" s="35" t="str">
        <f>MID(Tabla1[[#This Row],[Aplicación]],14,6)</f>
        <v>632</v>
      </c>
    </row>
    <row r="335" spans="1:24" x14ac:dyDescent="0.25">
      <c r="A335" s="49">
        <v>220210065440</v>
      </c>
      <c r="B335" s="50" t="s">
        <v>9</v>
      </c>
      <c r="C335" s="57">
        <v>44631</v>
      </c>
      <c r="D335" s="49">
        <v>22021006468</v>
      </c>
      <c r="E335" s="50" t="s">
        <v>1593</v>
      </c>
      <c r="F335" s="58">
        <v>3354.3</v>
      </c>
      <c r="G335" s="50" t="s">
        <v>1010</v>
      </c>
      <c r="H335" s="50" t="s">
        <v>1204</v>
      </c>
      <c r="I335" s="49" t="s">
        <v>107</v>
      </c>
      <c r="J335" s="50" t="s">
        <v>1011</v>
      </c>
      <c r="K335" s="50" t="s">
        <v>128</v>
      </c>
      <c r="L335" s="50" t="s">
        <v>12</v>
      </c>
      <c r="M335" s="50" t="s">
        <v>13</v>
      </c>
      <c r="N335" s="50" t="s">
        <v>14</v>
      </c>
      <c r="O335" s="48" t="s">
        <v>631</v>
      </c>
      <c r="P335" s="45" t="s">
        <v>453</v>
      </c>
      <c r="Q335" s="35" t="str">
        <f>MID(Tabla1[[#This Row],[Aplicación]],14,1)</f>
        <v>6</v>
      </c>
      <c r="R335" s="35" t="s">
        <v>442</v>
      </c>
      <c r="S335" s="35" t="str">
        <f>MID(Tabla1[[#This Row],[Aplicación]],6,2)</f>
        <v>07</v>
      </c>
      <c r="T335" s="35" t="str">
        <f>VLOOKUP(Tabla1[[#This Row],[AREA]],Hoja1!A:B,2,FALSE)</f>
        <v>07. Medio ambiente y desarrollo sostenible</v>
      </c>
      <c r="U335" s="35" t="str">
        <f>MID(Tabla1[[#This Row],[Aplicación]],9,4)</f>
        <v>1711</v>
      </c>
      <c r="V335" s="35" t="str">
        <f>VLOOKUP(Tabla1[[#This Row],[PROGRAMA]],Hoja1!A:B,2,FALSE)</f>
        <v>1711. Parques y jardines</v>
      </c>
      <c r="W335" s="35" t="str">
        <f>MID(Tabla1[[#This Row],[Aplicación]],14,2)</f>
        <v>61</v>
      </c>
      <c r="X335" s="35" t="str">
        <f>MID(Tabla1[[#This Row],[Aplicación]],14,6)</f>
        <v>619</v>
      </c>
    </row>
    <row r="336" spans="1:24" x14ac:dyDescent="0.25">
      <c r="A336" s="49">
        <v>220210074315</v>
      </c>
      <c r="B336" s="50" t="s">
        <v>9</v>
      </c>
      <c r="C336" s="57">
        <v>44631</v>
      </c>
      <c r="D336" s="49">
        <v>22021006868</v>
      </c>
      <c r="E336" s="50" t="s">
        <v>1593</v>
      </c>
      <c r="F336" s="58">
        <v>1631.63</v>
      </c>
      <c r="G336" s="50" t="s">
        <v>1010</v>
      </c>
      <c r="H336" s="50" t="s">
        <v>1206</v>
      </c>
      <c r="I336" s="49" t="s">
        <v>107</v>
      </c>
      <c r="J336" s="50" t="s">
        <v>1011</v>
      </c>
      <c r="K336" s="50" t="s">
        <v>128</v>
      </c>
      <c r="L336" s="50" t="s">
        <v>12</v>
      </c>
      <c r="M336" s="50" t="s">
        <v>13</v>
      </c>
      <c r="N336" s="50" t="s">
        <v>14</v>
      </c>
      <c r="O336" s="48" t="s">
        <v>631</v>
      </c>
      <c r="P336" s="45" t="s">
        <v>453</v>
      </c>
      <c r="Q336" s="35" t="str">
        <f>MID(Tabla1[[#This Row],[Aplicación]],14,1)</f>
        <v>6</v>
      </c>
      <c r="R336" s="35" t="s">
        <v>442</v>
      </c>
      <c r="S336" s="35" t="str">
        <f>MID(Tabla1[[#This Row],[Aplicación]],6,2)</f>
        <v>07</v>
      </c>
      <c r="T336" s="35" t="str">
        <f>VLOOKUP(Tabla1[[#This Row],[AREA]],Hoja1!A:B,2,FALSE)</f>
        <v>07. Medio ambiente y desarrollo sostenible</v>
      </c>
      <c r="U336" s="35" t="str">
        <f>MID(Tabla1[[#This Row],[Aplicación]],9,4)</f>
        <v>1711</v>
      </c>
      <c r="V336" s="35" t="str">
        <f>VLOOKUP(Tabla1[[#This Row],[PROGRAMA]],Hoja1!A:B,2,FALSE)</f>
        <v>1711. Parques y jardines</v>
      </c>
      <c r="W336" s="35" t="str">
        <f>MID(Tabla1[[#This Row],[Aplicación]],14,2)</f>
        <v>61</v>
      </c>
      <c r="X336" s="35" t="str">
        <f>MID(Tabla1[[#This Row],[Aplicación]],14,6)</f>
        <v>619</v>
      </c>
    </row>
    <row r="337" spans="1:24" x14ac:dyDescent="0.25">
      <c r="A337" s="49">
        <v>220210074458</v>
      </c>
      <c r="B337" s="50" t="s">
        <v>9</v>
      </c>
      <c r="C337" s="57">
        <v>44631</v>
      </c>
      <c r="D337" s="49">
        <v>22021007173</v>
      </c>
      <c r="E337" s="50" t="s">
        <v>1593</v>
      </c>
      <c r="F337" s="58">
        <v>2459.77</v>
      </c>
      <c r="G337" s="50" t="s">
        <v>1010</v>
      </c>
      <c r="H337" s="50" t="s">
        <v>1205</v>
      </c>
      <c r="I337" s="49" t="s">
        <v>107</v>
      </c>
      <c r="J337" s="50" t="s">
        <v>1011</v>
      </c>
      <c r="K337" s="50" t="s">
        <v>128</v>
      </c>
      <c r="L337" s="50" t="s">
        <v>12</v>
      </c>
      <c r="M337" s="50" t="s">
        <v>13</v>
      </c>
      <c r="N337" s="50" t="s">
        <v>14</v>
      </c>
      <c r="O337" s="48" t="s">
        <v>631</v>
      </c>
      <c r="P337" s="45" t="s">
        <v>453</v>
      </c>
      <c r="Q337" s="35" t="str">
        <f>MID(Tabla1[[#This Row],[Aplicación]],14,1)</f>
        <v>6</v>
      </c>
      <c r="R337" s="35" t="s">
        <v>442</v>
      </c>
      <c r="S337" s="35" t="str">
        <f>MID(Tabla1[[#This Row],[Aplicación]],6,2)</f>
        <v>07</v>
      </c>
      <c r="T337" s="35" t="str">
        <f>VLOOKUP(Tabla1[[#This Row],[AREA]],Hoja1!A:B,2,FALSE)</f>
        <v>07. Medio ambiente y desarrollo sostenible</v>
      </c>
      <c r="U337" s="35" t="str">
        <f>MID(Tabla1[[#This Row],[Aplicación]],9,4)</f>
        <v>1711</v>
      </c>
      <c r="V337" s="35" t="str">
        <f>VLOOKUP(Tabla1[[#This Row],[PROGRAMA]],Hoja1!A:B,2,FALSE)</f>
        <v>1711. Parques y jardines</v>
      </c>
      <c r="W337" s="35" t="str">
        <f>MID(Tabla1[[#This Row],[Aplicación]],14,2)</f>
        <v>61</v>
      </c>
      <c r="X337" s="35" t="str">
        <f>MID(Tabla1[[#This Row],[Aplicación]],14,6)</f>
        <v>619</v>
      </c>
    </row>
    <row r="338" spans="1:24" x14ac:dyDescent="0.25">
      <c r="A338" s="49">
        <v>220210074648</v>
      </c>
      <c r="B338" s="50" t="s">
        <v>9</v>
      </c>
      <c r="C338" s="57">
        <v>44620</v>
      </c>
      <c r="D338" s="49">
        <v>22021008114</v>
      </c>
      <c r="E338" s="50" t="s">
        <v>1368</v>
      </c>
      <c r="F338" s="58">
        <v>2192.6999999999998</v>
      </c>
      <c r="G338" s="50" t="s">
        <v>1010</v>
      </c>
      <c r="H338" s="50" t="s">
        <v>1207</v>
      </c>
      <c r="I338" s="49" t="s">
        <v>107</v>
      </c>
      <c r="J338" s="50" t="s">
        <v>1011</v>
      </c>
      <c r="K338" s="50" t="s">
        <v>128</v>
      </c>
      <c r="L338" s="50" t="s">
        <v>12</v>
      </c>
      <c r="M338" s="50" t="s">
        <v>13</v>
      </c>
      <c r="N338" s="50" t="s">
        <v>14</v>
      </c>
      <c r="O338" s="48" t="s">
        <v>631</v>
      </c>
      <c r="P338" s="45" t="s">
        <v>453</v>
      </c>
      <c r="Q338" s="35" t="str">
        <f>MID(Tabla1[[#This Row],[Aplicación]],14,1)</f>
        <v>6</v>
      </c>
      <c r="R338" s="35" t="s">
        <v>442</v>
      </c>
      <c r="S338" s="35" t="str">
        <f>MID(Tabla1[[#This Row],[Aplicación]],6,2)</f>
        <v>08</v>
      </c>
      <c r="T338" s="35" t="str">
        <f>VLOOKUP(Tabla1[[#This Row],[AREA]],Hoja1!A:B,2,FALSE)</f>
        <v>08. Movilidad y espacio urbano</v>
      </c>
      <c r="U338" s="35" t="str">
        <f>MID(Tabla1[[#This Row],[Aplicación]],9,4)</f>
        <v>1532</v>
      </c>
      <c r="V338" s="35" t="str">
        <f>VLOOKUP(Tabla1[[#This Row],[PROGRAMA]],Hoja1!A:B,2,FALSE)</f>
        <v>1532. Pavimentación vias públicas y otros servicios urbanísticos</v>
      </c>
      <c r="W338" s="35" t="str">
        <f>MID(Tabla1[[#This Row],[Aplicación]],14,2)</f>
        <v>61</v>
      </c>
      <c r="X338" s="35" t="str">
        <f>MID(Tabla1[[#This Row],[Aplicación]],14,6)</f>
        <v>619</v>
      </c>
    </row>
    <row r="339" spans="1:24" x14ac:dyDescent="0.25">
      <c r="A339" s="49">
        <v>220210082251</v>
      </c>
      <c r="B339" s="50" t="s">
        <v>9</v>
      </c>
      <c r="C339" s="57">
        <v>44631</v>
      </c>
      <c r="D339" s="49">
        <v>22021007176</v>
      </c>
      <c r="E339" s="50" t="s">
        <v>1593</v>
      </c>
      <c r="F339" s="58">
        <v>2320.2399999999998</v>
      </c>
      <c r="G339" s="50" t="s">
        <v>1010</v>
      </c>
      <c r="H339" s="50" t="s">
        <v>1305</v>
      </c>
      <c r="I339" s="49" t="s">
        <v>107</v>
      </c>
      <c r="J339" s="50" t="s">
        <v>1011</v>
      </c>
      <c r="K339" s="50" t="s">
        <v>128</v>
      </c>
      <c r="L339" s="50" t="s">
        <v>12</v>
      </c>
      <c r="M339" s="50" t="s">
        <v>13</v>
      </c>
      <c r="N339" s="50" t="s">
        <v>14</v>
      </c>
      <c r="O339" s="48" t="s">
        <v>631</v>
      </c>
      <c r="P339" s="45" t="s">
        <v>453</v>
      </c>
      <c r="Q339" s="35" t="str">
        <f>MID(Tabla1[[#This Row],[Aplicación]],14,1)</f>
        <v>6</v>
      </c>
      <c r="R339" s="35" t="s">
        <v>442</v>
      </c>
      <c r="S339" s="35" t="str">
        <f>MID(Tabla1[[#This Row],[Aplicación]],6,2)</f>
        <v>07</v>
      </c>
      <c r="T339" s="35" t="str">
        <f>VLOOKUP(Tabla1[[#This Row],[AREA]],Hoja1!A:B,2,FALSE)</f>
        <v>07. Medio ambiente y desarrollo sostenible</v>
      </c>
      <c r="U339" s="35" t="str">
        <f>MID(Tabla1[[#This Row],[Aplicación]],9,4)</f>
        <v>1711</v>
      </c>
      <c r="V339" s="35" t="str">
        <f>VLOOKUP(Tabla1[[#This Row],[PROGRAMA]],Hoja1!A:B,2,FALSE)</f>
        <v>1711. Parques y jardines</v>
      </c>
      <c r="W339" s="35" t="str">
        <f>MID(Tabla1[[#This Row],[Aplicación]],14,2)</f>
        <v>61</v>
      </c>
      <c r="X339" s="35" t="str">
        <f>MID(Tabla1[[#This Row],[Aplicación]],14,6)</f>
        <v>619</v>
      </c>
    </row>
    <row r="340" spans="1:24" x14ac:dyDescent="0.25">
      <c r="A340" s="49">
        <v>220210040691</v>
      </c>
      <c r="B340" s="50" t="s">
        <v>9</v>
      </c>
      <c r="C340" s="57">
        <v>44620</v>
      </c>
      <c r="D340" s="49">
        <v>22021005296</v>
      </c>
      <c r="E340" s="50" t="s">
        <v>1789</v>
      </c>
      <c r="F340" s="58">
        <v>147.13</v>
      </c>
      <c r="G340" s="50" t="s">
        <v>1010</v>
      </c>
      <c r="H340" s="50" t="s">
        <v>1063</v>
      </c>
      <c r="I340" s="49" t="s">
        <v>107</v>
      </c>
      <c r="J340" s="50" t="s">
        <v>1011</v>
      </c>
      <c r="K340" s="50" t="s">
        <v>128</v>
      </c>
      <c r="L340" s="50" t="s">
        <v>25</v>
      </c>
      <c r="M340" s="50" t="s">
        <v>13</v>
      </c>
      <c r="N340" s="50" t="s">
        <v>14</v>
      </c>
      <c r="O340" s="48" t="s">
        <v>631</v>
      </c>
      <c r="P340" s="45" t="s">
        <v>453</v>
      </c>
      <c r="Q340" s="35" t="str">
        <f>MID(Tabla1[[#This Row],[Aplicación]],14,1)</f>
        <v>6</v>
      </c>
      <c r="R340" s="35" t="s">
        <v>442</v>
      </c>
      <c r="S340" s="35" t="str">
        <f>MID(Tabla1[[#This Row],[Aplicación]],6,2)</f>
        <v>10</v>
      </c>
      <c r="T340" s="35" t="str">
        <f>VLOOKUP(Tabla1[[#This Row],[AREA]],Hoja1!A:B,2,FALSE)</f>
        <v>10. Servicios sociales y mediación comunitaria</v>
      </c>
      <c r="U340" s="35" t="str">
        <f>MID(Tabla1[[#This Row],[Aplicación]],9,4)</f>
        <v>2311</v>
      </c>
      <c r="V340" s="35" t="str">
        <f>VLOOKUP(Tabla1[[#This Row],[PROGRAMA]],Hoja1!A:B,2,FALSE)</f>
        <v>2311. Intervención social</v>
      </c>
      <c r="W340" s="35" t="str">
        <f>MID(Tabla1[[#This Row],[Aplicación]],14,2)</f>
        <v>63</v>
      </c>
      <c r="X340" s="35" t="str">
        <f>MID(Tabla1[[#This Row],[Aplicación]],14,6)</f>
        <v>632</v>
      </c>
    </row>
    <row r="341" spans="1:24" x14ac:dyDescent="0.25">
      <c r="A341" s="49">
        <v>220210084925</v>
      </c>
      <c r="B341" s="50" t="s">
        <v>9</v>
      </c>
      <c r="C341" s="57">
        <v>44620</v>
      </c>
      <c r="D341" s="49">
        <v>22021005726</v>
      </c>
      <c r="E341" s="50" t="s">
        <v>1368</v>
      </c>
      <c r="F341" s="58">
        <v>1736.72</v>
      </c>
      <c r="G341" s="50" t="s">
        <v>1010</v>
      </c>
      <c r="H341" s="50" t="s">
        <v>1307</v>
      </c>
      <c r="I341" s="49" t="s">
        <v>107</v>
      </c>
      <c r="J341" s="50" t="s">
        <v>1011</v>
      </c>
      <c r="K341" s="50" t="s">
        <v>128</v>
      </c>
      <c r="L341" s="50" t="s">
        <v>12</v>
      </c>
      <c r="M341" s="50" t="s">
        <v>13</v>
      </c>
      <c r="N341" s="50" t="s">
        <v>14</v>
      </c>
      <c r="O341" s="48" t="s">
        <v>631</v>
      </c>
      <c r="P341" s="45" t="s">
        <v>453</v>
      </c>
      <c r="Q341" s="35" t="str">
        <f>MID(Tabla1[[#This Row],[Aplicación]],14,1)</f>
        <v>6</v>
      </c>
      <c r="R341" s="35" t="s">
        <v>442</v>
      </c>
      <c r="S341" s="35" t="str">
        <f>MID(Tabla1[[#This Row],[Aplicación]],6,2)</f>
        <v>08</v>
      </c>
      <c r="T341" s="35" t="str">
        <f>VLOOKUP(Tabla1[[#This Row],[AREA]],Hoja1!A:B,2,FALSE)</f>
        <v>08. Movilidad y espacio urbano</v>
      </c>
      <c r="U341" s="35" t="str">
        <f>MID(Tabla1[[#This Row],[Aplicación]],9,4)</f>
        <v>1532</v>
      </c>
      <c r="V341" s="35" t="str">
        <f>VLOOKUP(Tabla1[[#This Row],[PROGRAMA]],Hoja1!A:B,2,FALSE)</f>
        <v>1532. Pavimentación vias públicas y otros servicios urbanísticos</v>
      </c>
      <c r="W341" s="35" t="str">
        <f>MID(Tabla1[[#This Row],[Aplicación]],14,2)</f>
        <v>61</v>
      </c>
      <c r="X341" s="35" t="str">
        <f>MID(Tabla1[[#This Row],[Aplicación]],14,6)</f>
        <v>619</v>
      </c>
    </row>
    <row r="342" spans="1:24" x14ac:dyDescent="0.25">
      <c r="A342" s="49">
        <v>220210088319</v>
      </c>
      <c r="B342" s="50" t="s">
        <v>9</v>
      </c>
      <c r="C342" s="57">
        <v>44620</v>
      </c>
      <c r="D342" s="49">
        <v>22021005678</v>
      </c>
      <c r="E342" s="50" t="s">
        <v>1362</v>
      </c>
      <c r="F342" s="58">
        <v>3135.28</v>
      </c>
      <c r="G342" s="50" t="s">
        <v>1010</v>
      </c>
      <c r="H342" s="50" t="s">
        <v>1308</v>
      </c>
      <c r="I342" s="49" t="s">
        <v>107</v>
      </c>
      <c r="J342" s="50" t="s">
        <v>1011</v>
      </c>
      <c r="K342" s="50" t="s">
        <v>128</v>
      </c>
      <c r="L342" s="50" t="s">
        <v>12</v>
      </c>
      <c r="M342" s="50" t="s">
        <v>13</v>
      </c>
      <c r="N342" s="50" t="s">
        <v>16</v>
      </c>
      <c r="O342" s="48" t="s">
        <v>631</v>
      </c>
      <c r="P342" s="45" t="s">
        <v>453</v>
      </c>
      <c r="Q342" s="35" t="str">
        <f>MID(Tabla1[[#This Row],[Aplicación]],14,1)</f>
        <v>6</v>
      </c>
      <c r="R342" s="35" t="s">
        <v>442</v>
      </c>
      <c r="S342" s="35" t="str">
        <f>MID(Tabla1[[#This Row],[Aplicación]],6,2)</f>
        <v>08</v>
      </c>
      <c r="T342" s="35" t="str">
        <f>VLOOKUP(Tabla1[[#This Row],[AREA]],Hoja1!A:B,2,FALSE)</f>
        <v>08. Movilidad y espacio urbano</v>
      </c>
      <c r="U342" s="35" t="str">
        <f>MID(Tabla1[[#This Row],[Aplicación]],9,4)</f>
        <v>1341</v>
      </c>
      <c r="V342" s="35" t="str">
        <f>VLOOKUP(Tabla1[[#This Row],[PROGRAMA]],Hoja1!A:B,2,FALSE)</f>
        <v>1341. Movilidad</v>
      </c>
      <c r="W342" s="35" t="str">
        <f>MID(Tabla1[[#This Row],[Aplicación]],14,2)</f>
        <v>60</v>
      </c>
      <c r="X342" s="35" t="str">
        <f>MID(Tabla1[[#This Row],[Aplicación]],14,6)</f>
        <v>609</v>
      </c>
    </row>
    <row r="343" spans="1:24" x14ac:dyDescent="0.25">
      <c r="A343" s="49">
        <v>220219000657</v>
      </c>
      <c r="B343" s="50" t="s">
        <v>9</v>
      </c>
      <c r="C343" s="57">
        <v>44562</v>
      </c>
      <c r="D343" s="49">
        <v>22022002082</v>
      </c>
      <c r="E343" s="50" t="s">
        <v>1755</v>
      </c>
      <c r="F343" s="58">
        <v>1295.8399999999999</v>
      </c>
      <c r="G343" s="50" t="s">
        <v>1010</v>
      </c>
      <c r="H343" s="50" t="s">
        <v>1076</v>
      </c>
      <c r="I343" s="49" t="s">
        <v>107</v>
      </c>
      <c r="J343" s="50" t="s">
        <v>1011</v>
      </c>
      <c r="K343" s="50" t="s">
        <v>128</v>
      </c>
      <c r="L343" s="50" t="s">
        <v>25</v>
      </c>
      <c r="M343" s="50" t="s">
        <v>13</v>
      </c>
      <c r="N343" s="50" t="s">
        <v>14</v>
      </c>
      <c r="O343" s="48" t="s">
        <v>631</v>
      </c>
      <c r="P343" s="45" t="s">
        <v>453</v>
      </c>
      <c r="Q343" s="35" t="str">
        <f>MID(Tabla1[[#This Row],[Aplicación]],14,1)</f>
        <v>6</v>
      </c>
      <c r="R343" s="35" t="s">
        <v>442</v>
      </c>
      <c r="S343" s="35" t="str">
        <f>MID(Tabla1[[#This Row],[Aplicación]],6,2)</f>
        <v>05</v>
      </c>
      <c r="T343" s="35" t="str">
        <f>VLOOKUP(Tabla1[[#This Row],[AREA]],Hoja1!A:B,2,FALSE)</f>
        <v>05. Innovación, desarrollo económico, empleo y comercio</v>
      </c>
      <c r="U343" s="35" t="str">
        <f>MID(Tabla1[[#This Row],[Aplicación]],9,4)</f>
        <v>4331</v>
      </c>
      <c r="V343" s="35" t="str">
        <f>VLOOKUP(Tabla1[[#This Row],[PROGRAMA]],Hoja1!A:B,2,FALSE)</f>
        <v>4331. Desarrollo empresarial</v>
      </c>
      <c r="W343" s="35" t="str">
        <f>MID(Tabla1[[#This Row],[Aplicación]],14,2)</f>
        <v>62</v>
      </c>
      <c r="X343" s="35" t="str">
        <f>MID(Tabla1[[#This Row],[Aplicación]],14,6)</f>
        <v>622</v>
      </c>
    </row>
    <row r="344" spans="1:24" x14ac:dyDescent="0.25">
      <c r="A344" s="49">
        <v>220219000899</v>
      </c>
      <c r="B344" s="50" t="s">
        <v>9</v>
      </c>
      <c r="C344" s="57">
        <v>44562</v>
      </c>
      <c r="D344" s="49">
        <v>22022002154</v>
      </c>
      <c r="E344" s="50" t="s">
        <v>1395</v>
      </c>
      <c r="F344" s="58">
        <v>9177.59</v>
      </c>
      <c r="G344" s="50" t="s">
        <v>1010</v>
      </c>
      <c r="H344" s="50" t="s">
        <v>1790</v>
      </c>
      <c r="I344" s="49" t="s">
        <v>107</v>
      </c>
      <c r="J344" s="50" t="s">
        <v>1011</v>
      </c>
      <c r="K344" s="50" t="s">
        <v>128</v>
      </c>
      <c r="L344" s="50" t="s">
        <v>12</v>
      </c>
      <c r="M344" s="50" t="s">
        <v>13</v>
      </c>
      <c r="N344" s="50" t="s">
        <v>14</v>
      </c>
      <c r="O344" s="48" t="s">
        <v>631</v>
      </c>
      <c r="P344" s="45" t="s">
        <v>453</v>
      </c>
      <c r="Q344" s="35" t="str">
        <f>MID(Tabla1[[#This Row],[Aplicación]],14,1)</f>
        <v>6</v>
      </c>
      <c r="R344" s="35" t="s">
        <v>442</v>
      </c>
      <c r="S344" s="35" t="str">
        <f>MID(Tabla1[[#This Row],[Aplicación]],6,2)</f>
        <v>06</v>
      </c>
      <c r="T344" s="35" t="str">
        <f>VLOOKUP(Tabla1[[#This Row],[AREA]],Hoja1!A:B,2,FALSE)</f>
        <v>06. Educación, infancia, juventud e igualdad</v>
      </c>
      <c r="U344" s="35" t="str">
        <f>MID(Tabla1[[#This Row],[Aplicación]],9,4)</f>
        <v>3231</v>
      </c>
      <c r="V344" s="35" t="str">
        <f>VLOOKUP(Tabla1[[#This Row],[PROGRAMA]],Hoja1!A:B,2,FALSE)</f>
        <v>3231. Escuelas infantiles</v>
      </c>
      <c r="W344" s="35" t="str">
        <f>MID(Tabla1[[#This Row],[Aplicación]],14,2)</f>
        <v>62</v>
      </c>
      <c r="X344" s="35" t="str">
        <f>MID(Tabla1[[#This Row],[Aplicación]],14,6)</f>
        <v>622</v>
      </c>
    </row>
    <row r="345" spans="1:24" x14ac:dyDescent="0.25">
      <c r="A345" s="49">
        <v>220210056285</v>
      </c>
      <c r="B345" s="50" t="s">
        <v>9</v>
      </c>
      <c r="C345" s="57">
        <v>44631</v>
      </c>
      <c r="D345" s="49">
        <v>22022002811</v>
      </c>
      <c r="E345" s="50" t="s">
        <v>1791</v>
      </c>
      <c r="F345" s="58">
        <v>671.1</v>
      </c>
      <c r="G345" s="50" t="s">
        <v>1010</v>
      </c>
      <c r="H345" s="50" t="s">
        <v>1077</v>
      </c>
      <c r="I345" s="49" t="s">
        <v>107</v>
      </c>
      <c r="J345" s="50" t="s">
        <v>1011</v>
      </c>
      <c r="K345" s="50" t="s">
        <v>128</v>
      </c>
      <c r="L345" s="50" t="s">
        <v>12</v>
      </c>
      <c r="M345" s="50" t="s">
        <v>13</v>
      </c>
      <c r="N345" s="50" t="s">
        <v>14</v>
      </c>
      <c r="O345" s="48" t="s">
        <v>631</v>
      </c>
      <c r="P345" s="45" t="s">
        <v>453</v>
      </c>
      <c r="Q345" s="35" t="str">
        <f>MID(Tabla1[[#This Row],[Aplicación]],14,1)</f>
        <v>6</v>
      </c>
      <c r="R345" s="35" t="s">
        <v>442</v>
      </c>
      <c r="S345" s="35" t="str">
        <f>MID(Tabla1[[#This Row],[Aplicación]],6,2)</f>
        <v>11</v>
      </c>
      <c r="T345" s="35" t="str">
        <f>VLOOKUP(Tabla1[[#This Row],[AREA]],Hoja1!A:B,2,FALSE)</f>
        <v>11. Salud pública y seguridad ciudadana</v>
      </c>
      <c r="U345" s="35" t="str">
        <f>MID(Tabla1[[#This Row],[Aplicación]],9,4)</f>
        <v>1631</v>
      </c>
      <c r="V345" s="35" t="str">
        <f>VLOOKUP(Tabla1[[#This Row],[PROGRAMA]],Hoja1!A:B,2,FALSE)</f>
        <v>1631. Limpieza viaria</v>
      </c>
      <c r="W345" s="35" t="str">
        <f>MID(Tabla1[[#This Row],[Aplicación]],14,2)</f>
        <v>63</v>
      </c>
      <c r="X345" s="35" t="str">
        <f>MID(Tabla1[[#This Row],[Aplicación]],14,6)</f>
        <v>632</v>
      </c>
    </row>
    <row r="346" spans="1:24" x14ac:dyDescent="0.25">
      <c r="A346" s="49">
        <v>220219001271</v>
      </c>
      <c r="B346" s="50" t="s">
        <v>9</v>
      </c>
      <c r="C346" s="57">
        <v>44562</v>
      </c>
      <c r="D346" s="49">
        <v>22022001994</v>
      </c>
      <c r="E346" s="50" t="s">
        <v>1362</v>
      </c>
      <c r="F346" s="58">
        <v>28217.55</v>
      </c>
      <c r="G346" s="50" t="s">
        <v>1010</v>
      </c>
      <c r="H346" s="50" t="s">
        <v>1792</v>
      </c>
      <c r="I346" s="49" t="s">
        <v>107</v>
      </c>
      <c r="J346" s="50" t="s">
        <v>1011</v>
      </c>
      <c r="K346" s="50" t="s">
        <v>128</v>
      </c>
      <c r="L346" s="50" t="s">
        <v>12</v>
      </c>
      <c r="M346" s="50" t="s">
        <v>13</v>
      </c>
      <c r="N346" s="50" t="s">
        <v>16</v>
      </c>
      <c r="O346" s="48" t="s">
        <v>631</v>
      </c>
      <c r="P346" s="45" t="s">
        <v>453</v>
      </c>
      <c r="Q346" s="35" t="str">
        <f>MID(Tabla1[[#This Row],[Aplicación]],14,1)</f>
        <v>6</v>
      </c>
      <c r="R346" s="35" t="s">
        <v>442</v>
      </c>
      <c r="S346" s="35" t="str">
        <f>MID(Tabla1[[#This Row],[Aplicación]],6,2)</f>
        <v>08</v>
      </c>
      <c r="T346" s="35" t="str">
        <f>VLOOKUP(Tabla1[[#This Row],[AREA]],Hoja1!A:B,2,FALSE)</f>
        <v>08. Movilidad y espacio urbano</v>
      </c>
      <c r="U346" s="35" t="str">
        <f>MID(Tabla1[[#This Row],[Aplicación]],9,4)</f>
        <v>1341</v>
      </c>
      <c r="V346" s="35" t="str">
        <f>VLOOKUP(Tabla1[[#This Row],[PROGRAMA]],Hoja1!A:B,2,FALSE)</f>
        <v>1341. Movilidad</v>
      </c>
      <c r="W346" s="35" t="str">
        <f>MID(Tabla1[[#This Row],[Aplicación]],14,2)</f>
        <v>60</v>
      </c>
      <c r="X346" s="35" t="str">
        <f>MID(Tabla1[[#This Row],[Aplicación]],14,6)</f>
        <v>609</v>
      </c>
    </row>
    <row r="347" spans="1:24" x14ac:dyDescent="0.25">
      <c r="A347" s="49">
        <v>220210056290</v>
      </c>
      <c r="B347" s="50" t="s">
        <v>9</v>
      </c>
      <c r="C347" s="57">
        <v>44620</v>
      </c>
      <c r="D347" s="49">
        <v>22021005812</v>
      </c>
      <c r="E347" s="50" t="s">
        <v>1789</v>
      </c>
      <c r="F347" s="58">
        <v>605.04999999999995</v>
      </c>
      <c r="G347" s="50" t="s">
        <v>1010</v>
      </c>
      <c r="H347" s="50" t="s">
        <v>1078</v>
      </c>
      <c r="I347" s="49" t="s">
        <v>107</v>
      </c>
      <c r="J347" s="50" t="s">
        <v>1011</v>
      </c>
      <c r="K347" s="50" t="s">
        <v>128</v>
      </c>
      <c r="L347" s="50" t="s">
        <v>25</v>
      </c>
      <c r="M347" s="50" t="s">
        <v>13</v>
      </c>
      <c r="N347" s="50" t="s">
        <v>14</v>
      </c>
      <c r="O347" s="48" t="s">
        <v>631</v>
      </c>
      <c r="P347" s="45" t="s">
        <v>453</v>
      </c>
      <c r="Q347" s="35" t="str">
        <f>MID(Tabla1[[#This Row],[Aplicación]],14,1)</f>
        <v>6</v>
      </c>
      <c r="R347" s="35" t="s">
        <v>442</v>
      </c>
      <c r="S347" s="35" t="str">
        <f>MID(Tabla1[[#This Row],[Aplicación]],6,2)</f>
        <v>10</v>
      </c>
      <c r="T347" s="35" t="str">
        <f>VLOOKUP(Tabla1[[#This Row],[AREA]],Hoja1!A:B,2,FALSE)</f>
        <v>10. Servicios sociales y mediación comunitaria</v>
      </c>
      <c r="U347" s="35" t="str">
        <f>MID(Tabla1[[#This Row],[Aplicación]],9,4)</f>
        <v>2311</v>
      </c>
      <c r="V347" s="35" t="str">
        <f>VLOOKUP(Tabla1[[#This Row],[PROGRAMA]],Hoja1!A:B,2,FALSE)</f>
        <v>2311. Intervención social</v>
      </c>
      <c r="W347" s="35" t="str">
        <f>MID(Tabla1[[#This Row],[Aplicación]],14,2)</f>
        <v>63</v>
      </c>
      <c r="X347" s="35" t="str">
        <f>MID(Tabla1[[#This Row],[Aplicación]],14,6)</f>
        <v>632</v>
      </c>
    </row>
    <row r="348" spans="1:24" x14ac:dyDescent="0.25">
      <c r="A348" s="49">
        <v>220210065438</v>
      </c>
      <c r="B348" s="50" t="s">
        <v>9</v>
      </c>
      <c r="C348" s="57">
        <v>44620</v>
      </c>
      <c r="D348" s="49">
        <v>22021007085</v>
      </c>
      <c r="E348" s="50" t="s">
        <v>1652</v>
      </c>
      <c r="F348" s="58">
        <v>87.97</v>
      </c>
      <c r="G348" s="50" t="s">
        <v>1010</v>
      </c>
      <c r="H348" s="50" t="s">
        <v>1203</v>
      </c>
      <c r="I348" s="49" t="s">
        <v>107</v>
      </c>
      <c r="J348" s="50" t="s">
        <v>1011</v>
      </c>
      <c r="K348" s="50" t="s">
        <v>128</v>
      </c>
      <c r="L348" s="50" t="s">
        <v>12</v>
      </c>
      <c r="M348" s="50" t="s">
        <v>13</v>
      </c>
      <c r="N348" s="50" t="s">
        <v>14</v>
      </c>
      <c r="O348" s="48" t="s">
        <v>631</v>
      </c>
      <c r="P348" s="45" t="s">
        <v>453</v>
      </c>
      <c r="Q348" s="35" t="str">
        <f>MID(Tabla1[[#This Row],[Aplicación]],14,1)</f>
        <v>6</v>
      </c>
      <c r="R348" s="35" t="s">
        <v>442</v>
      </c>
      <c r="S348" s="35" t="str">
        <f>MID(Tabla1[[#This Row],[Aplicación]],6,2)</f>
        <v>09</v>
      </c>
      <c r="T348" s="35" t="str">
        <f>VLOOKUP(Tabla1[[#This Row],[AREA]],Hoja1!A:B,2,FALSE)</f>
        <v>09. Cultura y turismo</v>
      </c>
      <c r="U348" s="35" t="str">
        <f>MID(Tabla1[[#This Row],[Aplicación]],9,4)</f>
        <v>3341</v>
      </c>
      <c r="V348" s="35" t="str">
        <f>VLOOKUP(Tabla1[[#This Row],[PROGRAMA]],Hoja1!A:B,2,FALSE)</f>
        <v>3341. Coordinación de políticas culturales</v>
      </c>
      <c r="W348" s="35" t="str">
        <f>MID(Tabla1[[#This Row],[Aplicación]],14,2)</f>
        <v>63</v>
      </c>
      <c r="X348" s="35" t="str">
        <f>MID(Tabla1[[#This Row],[Aplicación]],14,6)</f>
        <v>632</v>
      </c>
    </row>
    <row r="349" spans="1:24" x14ac:dyDescent="0.25">
      <c r="A349" s="49">
        <v>220210084923</v>
      </c>
      <c r="B349" s="50" t="s">
        <v>9</v>
      </c>
      <c r="C349" s="57">
        <v>44620</v>
      </c>
      <c r="D349" s="49">
        <v>22021004334</v>
      </c>
      <c r="E349" s="50" t="s">
        <v>1652</v>
      </c>
      <c r="F349" s="58">
        <v>3633.09</v>
      </c>
      <c r="G349" s="50" t="s">
        <v>1010</v>
      </c>
      <c r="H349" s="50" t="s">
        <v>1306</v>
      </c>
      <c r="I349" s="49" t="s">
        <v>107</v>
      </c>
      <c r="J349" s="50" t="s">
        <v>1011</v>
      </c>
      <c r="K349" s="50" t="s">
        <v>128</v>
      </c>
      <c r="L349" s="50" t="s">
        <v>12</v>
      </c>
      <c r="M349" s="50" t="s">
        <v>13</v>
      </c>
      <c r="N349" s="50" t="s">
        <v>14</v>
      </c>
      <c r="O349" s="48" t="s">
        <v>631</v>
      </c>
      <c r="P349" s="45" t="s">
        <v>453</v>
      </c>
      <c r="Q349" s="35" t="str">
        <f>MID(Tabla1[[#This Row],[Aplicación]],14,1)</f>
        <v>6</v>
      </c>
      <c r="R349" s="35" t="s">
        <v>442</v>
      </c>
      <c r="S349" s="35" t="str">
        <f>MID(Tabla1[[#This Row],[Aplicación]],6,2)</f>
        <v>09</v>
      </c>
      <c r="T349" s="35" t="str">
        <f>VLOOKUP(Tabla1[[#This Row],[AREA]],Hoja1!A:B,2,FALSE)</f>
        <v>09. Cultura y turismo</v>
      </c>
      <c r="U349" s="35" t="str">
        <f>MID(Tabla1[[#This Row],[Aplicación]],9,4)</f>
        <v>3341</v>
      </c>
      <c r="V349" s="35" t="str">
        <f>VLOOKUP(Tabla1[[#This Row],[PROGRAMA]],Hoja1!A:B,2,FALSE)</f>
        <v>3341. Coordinación de políticas culturales</v>
      </c>
      <c r="W349" s="35" t="str">
        <f>MID(Tabla1[[#This Row],[Aplicación]],14,2)</f>
        <v>63</v>
      </c>
      <c r="X349" s="35" t="str">
        <f>MID(Tabla1[[#This Row],[Aplicación]],14,6)</f>
        <v>632</v>
      </c>
    </row>
    <row r="350" spans="1:24" x14ac:dyDescent="0.25">
      <c r="A350" s="49">
        <v>220219001114</v>
      </c>
      <c r="B350" s="50" t="s">
        <v>9</v>
      </c>
      <c r="C350" s="57">
        <v>44562</v>
      </c>
      <c r="D350" s="49">
        <v>22022001984</v>
      </c>
      <c r="E350" s="50" t="s">
        <v>1652</v>
      </c>
      <c r="F350" s="58">
        <v>2783</v>
      </c>
      <c r="G350" s="50" t="s">
        <v>1010</v>
      </c>
      <c r="H350" s="50" t="s">
        <v>1793</v>
      </c>
      <c r="I350" s="49" t="s">
        <v>107</v>
      </c>
      <c r="J350" s="50" t="s">
        <v>1011</v>
      </c>
      <c r="K350" s="50" t="s">
        <v>128</v>
      </c>
      <c r="L350" s="50" t="s">
        <v>12</v>
      </c>
      <c r="M350" s="50" t="s">
        <v>13</v>
      </c>
      <c r="N350" s="50" t="s">
        <v>14</v>
      </c>
      <c r="O350" s="48" t="s">
        <v>631</v>
      </c>
      <c r="P350" s="45" t="s">
        <v>453</v>
      </c>
      <c r="Q350" s="35" t="str">
        <f>MID(Tabla1[[#This Row],[Aplicación]],14,1)</f>
        <v>6</v>
      </c>
      <c r="R350" s="35" t="s">
        <v>442</v>
      </c>
      <c r="S350" s="35" t="str">
        <f>MID(Tabla1[[#This Row],[Aplicación]],6,2)</f>
        <v>09</v>
      </c>
      <c r="T350" s="35" t="str">
        <f>VLOOKUP(Tabla1[[#This Row],[AREA]],Hoja1!A:B,2,FALSE)</f>
        <v>09. Cultura y turismo</v>
      </c>
      <c r="U350" s="35" t="str">
        <f>MID(Tabla1[[#This Row],[Aplicación]],9,4)</f>
        <v>3341</v>
      </c>
      <c r="V350" s="35" t="str">
        <f>VLOOKUP(Tabla1[[#This Row],[PROGRAMA]],Hoja1!A:B,2,FALSE)</f>
        <v>3341. Coordinación de políticas culturales</v>
      </c>
      <c r="W350" s="35" t="str">
        <f>MID(Tabla1[[#This Row],[Aplicación]],14,2)</f>
        <v>63</v>
      </c>
      <c r="X350" s="35" t="str">
        <f>MID(Tabla1[[#This Row],[Aplicación]],14,6)</f>
        <v>632</v>
      </c>
    </row>
    <row r="351" spans="1:24" x14ac:dyDescent="0.25">
      <c r="A351" s="49">
        <v>220219000031</v>
      </c>
      <c r="B351" s="50" t="s">
        <v>9</v>
      </c>
      <c r="C351" s="57">
        <v>44562</v>
      </c>
      <c r="D351" s="49">
        <v>22022000345</v>
      </c>
      <c r="E351" s="50" t="s">
        <v>1794</v>
      </c>
      <c r="F351" s="58">
        <v>65.95</v>
      </c>
      <c r="G351" s="50" t="s">
        <v>58</v>
      </c>
      <c r="H351" s="50" t="s">
        <v>1795</v>
      </c>
      <c r="I351" s="49" t="s">
        <v>107</v>
      </c>
      <c r="J351" s="50" t="s">
        <v>109</v>
      </c>
      <c r="K351" s="50" t="s">
        <v>109</v>
      </c>
      <c r="L351" s="50" t="s">
        <v>12</v>
      </c>
      <c r="M351" s="50" t="s">
        <v>13</v>
      </c>
      <c r="N351" s="50" t="s">
        <v>14</v>
      </c>
      <c r="O351" s="48" t="s">
        <v>620</v>
      </c>
      <c r="P351" s="45" t="s">
        <v>453</v>
      </c>
      <c r="Q351" s="35" t="str">
        <f>MID(Tabla1[[#This Row],[Aplicación]],14,1)</f>
        <v>2</v>
      </c>
      <c r="R351" s="35" t="s">
        <v>441</v>
      </c>
      <c r="S351" s="35" t="str">
        <f>MID(Tabla1[[#This Row],[Aplicación]],6,2)</f>
        <v>01</v>
      </c>
      <c r="T351" s="35" t="str">
        <f>VLOOKUP(Tabla1[[#This Row],[AREA]],Hoja1!A:B,2,FALSE)</f>
        <v>01. Alcaldía</v>
      </c>
      <c r="U351" s="35" t="str">
        <f>MID(Tabla1[[#This Row],[Aplicación]],9,4)</f>
        <v>9203</v>
      </c>
      <c r="V351" s="35" t="str">
        <f>VLOOKUP(Tabla1[[#This Row],[PROGRAMA]],Hoja1!A:B,2,FALSE)</f>
        <v>9203. Unidad de régimen interior</v>
      </c>
      <c r="W351" s="35" t="str">
        <f>MID(Tabla1[[#This Row],[Aplicación]],14,2)</f>
        <v>20</v>
      </c>
      <c r="X351" s="35" t="str">
        <f>MID(Tabla1[[#This Row],[Aplicación]],14,6)</f>
        <v>203</v>
      </c>
    </row>
    <row r="352" spans="1:24" x14ac:dyDescent="0.25">
      <c r="A352" s="49">
        <v>220219000032</v>
      </c>
      <c r="B352" s="50" t="s">
        <v>9</v>
      </c>
      <c r="C352" s="57">
        <v>44562</v>
      </c>
      <c r="D352" s="49">
        <v>22022000346</v>
      </c>
      <c r="E352" s="50" t="s">
        <v>1576</v>
      </c>
      <c r="F352" s="58">
        <v>80</v>
      </c>
      <c r="G352" s="50" t="s">
        <v>58</v>
      </c>
      <c r="H352" s="50" t="s">
        <v>1796</v>
      </c>
      <c r="I352" s="49" t="s">
        <v>107</v>
      </c>
      <c r="J352" s="50" t="s">
        <v>109</v>
      </c>
      <c r="K352" s="50" t="s">
        <v>109</v>
      </c>
      <c r="L352" s="50" t="s">
        <v>12</v>
      </c>
      <c r="M352" s="50" t="s">
        <v>13</v>
      </c>
      <c r="N352" s="50" t="s">
        <v>14</v>
      </c>
      <c r="O352" s="48" t="s">
        <v>620</v>
      </c>
      <c r="P352" s="45" t="s">
        <v>453</v>
      </c>
      <c r="Q352" s="35" t="str">
        <f>MID(Tabla1[[#This Row],[Aplicación]],14,1)</f>
        <v>2</v>
      </c>
      <c r="R352" s="35" t="s">
        <v>441</v>
      </c>
      <c r="S352" s="35" t="str">
        <f>MID(Tabla1[[#This Row],[Aplicación]],6,2)</f>
        <v>01</v>
      </c>
      <c r="T352" s="35" t="str">
        <f>VLOOKUP(Tabla1[[#This Row],[AREA]],Hoja1!A:B,2,FALSE)</f>
        <v>01. Alcaldía</v>
      </c>
      <c r="U352" s="35" t="str">
        <f>MID(Tabla1[[#This Row],[Aplicación]],9,4)</f>
        <v>9203</v>
      </c>
      <c r="V352" s="35" t="str">
        <f>VLOOKUP(Tabla1[[#This Row],[PROGRAMA]],Hoja1!A:B,2,FALSE)</f>
        <v>9203. Unidad de régimen interior</v>
      </c>
      <c r="W352" s="35" t="str">
        <f>MID(Tabla1[[#This Row],[Aplicación]],14,2)</f>
        <v>21</v>
      </c>
      <c r="X352" s="35" t="str">
        <f>MID(Tabla1[[#This Row],[Aplicación]],14,6)</f>
        <v>213</v>
      </c>
    </row>
    <row r="353" spans="1:24" x14ac:dyDescent="0.25">
      <c r="A353" s="49">
        <v>220220006909</v>
      </c>
      <c r="B353" s="50" t="s">
        <v>9</v>
      </c>
      <c r="C353" s="57">
        <v>44622</v>
      </c>
      <c r="D353" s="49">
        <v>22022002543</v>
      </c>
      <c r="E353" s="50" t="s">
        <v>1665</v>
      </c>
      <c r="F353" s="58">
        <v>846.57</v>
      </c>
      <c r="G353" s="50" t="s">
        <v>1010</v>
      </c>
      <c r="H353" s="50" t="s">
        <v>1797</v>
      </c>
      <c r="I353" s="49" t="s">
        <v>107</v>
      </c>
      <c r="J353" s="50" t="s">
        <v>1011</v>
      </c>
      <c r="K353" s="50" t="s">
        <v>128</v>
      </c>
      <c r="L353" s="50" t="s">
        <v>15</v>
      </c>
      <c r="M353" s="50" t="s">
        <v>13</v>
      </c>
      <c r="N353" s="50" t="s">
        <v>14</v>
      </c>
      <c r="O353" s="48" t="s">
        <v>631</v>
      </c>
      <c r="P353" s="45" t="s">
        <v>453</v>
      </c>
      <c r="Q353" s="35" t="str">
        <f>MID(Tabla1[[#This Row],[Aplicación]],14,1)</f>
        <v>6</v>
      </c>
      <c r="R353" s="35" t="s">
        <v>442</v>
      </c>
      <c r="S353" s="35" t="str">
        <f>MID(Tabla1[[#This Row],[Aplicación]],6,2)</f>
        <v>02</v>
      </c>
      <c r="T353" s="35" t="str">
        <f>VLOOKUP(Tabla1[[#This Row],[AREA]],Hoja1!A:B,2,FALSE)</f>
        <v>02. Planeamiento urbanístico y vivienda</v>
      </c>
      <c r="U353" s="35" t="str">
        <f>MID(Tabla1[[#This Row],[Aplicación]],9,4)</f>
        <v>9332</v>
      </c>
      <c r="V353" s="35" t="str">
        <f>VLOOKUP(Tabla1[[#This Row],[PROGRAMA]],Hoja1!A:B,2,FALSE)</f>
        <v>9332. Mantenimiento de edificios e instalaciones municipales</v>
      </c>
      <c r="W353" s="35" t="str">
        <f>MID(Tabla1[[#This Row],[Aplicación]],14,2)</f>
        <v>63</v>
      </c>
      <c r="X353" s="35" t="str">
        <f>MID(Tabla1[[#This Row],[Aplicación]],14,6)</f>
        <v>632</v>
      </c>
    </row>
    <row r="354" spans="1:24" x14ac:dyDescent="0.25">
      <c r="A354" s="49">
        <v>220219000034</v>
      </c>
      <c r="B354" s="50" t="s">
        <v>9</v>
      </c>
      <c r="C354" s="57">
        <v>44562</v>
      </c>
      <c r="D354" s="49">
        <v>22022000348</v>
      </c>
      <c r="E354" s="50" t="s">
        <v>1798</v>
      </c>
      <c r="F354" s="58">
        <v>160</v>
      </c>
      <c r="G354" s="50" t="s">
        <v>58</v>
      </c>
      <c r="H354" s="50" t="s">
        <v>1799</v>
      </c>
      <c r="I354" s="49" t="s">
        <v>107</v>
      </c>
      <c r="J354" s="50" t="s">
        <v>109</v>
      </c>
      <c r="K354" s="50" t="s">
        <v>109</v>
      </c>
      <c r="L354" s="50" t="s">
        <v>12</v>
      </c>
      <c r="M354" s="50" t="s">
        <v>13</v>
      </c>
      <c r="N354" s="50" t="s">
        <v>14</v>
      </c>
      <c r="O354" s="48" t="s">
        <v>620</v>
      </c>
      <c r="P354" s="45" t="s">
        <v>453</v>
      </c>
      <c r="Q354" s="35" t="str">
        <f>MID(Tabla1[[#This Row],[Aplicación]],14,1)</f>
        <v>2</v>
      </c>
      <c r="R354" s="35" t="s">
        <v>441</v>
      </c>
      <c r="S354" s="35" t="str">
        <f>MID(Tabla1[[#This Row],[Aplicación]],6,2)</f>
        <v>04</v>
      </c>
      <c r="T354" s="35" t="str">
        <f>VLOOKUP(Tabla1[[#This Row],[AREA]],Hoja1!A:B,2,FALSE)</f>
        <v>04. Planificación y recursos</v>
      </c>
      <c r="U354" s="35" t="str">
        <f>MID(Tabla1[[#This Row],[Aplicación]],9,4)</f>
        <v>9202</v>
      </c>
      <c r="V354" s="35" t="str">
        <f>VLOOKUP(Tabla1[[#This Row],[PROGRAMA]],Hoja1!A:B,2,FALSE)</f>
        <v>9202. Gestión de recursos humanos</v>
      </c>
      <c r="W354" s="35" t="str">
        <f>MID(Tabla1[[#This Row],[Aplicación]],14,2)</f>
        <v>20</v>
      </c>
      <c r="X354" s="35" t="str">
        <f>MID(Tabla1[[#This Row],[Aplicación]],14,6)</f>
        <v>203</v>
      </c>
    </row>
    <row r="355" spans="1:24" x14ac:dyDescent="0.25">
      <c r="A355" s="49">
        <v>220219000035</v>
      </c>
      <c r="B355" s="50" t="s">
        <v>9</v>
      </c>
      <c r="C355" s="57">
        <v>44562</v>
      </c>
      <c r="D355" s="49">
        <v>22022000349</v>
      </c>
      <c r="E355" s="50" t="s">
        <v>1800</v>
      </c>
      <c r="F355" s="58">
        <v>260</v>
      </c>
      <c r="G355" s="50" t="s">
        <v>58</v>
      </c>
      <c r="H355" s="50" t="s">
        <v>1801</v>
      </c>
      <c r="I355" s="49" t="s">
        <v>107</v>
      </c>
      <c r="J355" s="50" t="s">
        <v>109</v>
      </c>
      <c r="K355" s="50" t="s">
        <v>109</v>
      </c>
      <c r="L355" s="50" t="s">
        <v>12</v>
      </c>
      <c r="M355" s="50" t="s">
        <v>13</v>
      </c>
      <c r="N355" s="50" t="s">
        <v>14</v>
      </c>
      <c r="O355" s="48" t="s">
        <v>620</v>
      </c>
      <c r="P355" s="45" t="s">
        <v>453</v>
      </c>
      <c r="Q355" s="35" t="str">
        <f>MID(Tabla1[[#This Row],[Aplicación]],14,1)</f>
        <v>2</v>
      </c>
      <c r="R355" s="35" t="s">
        <v>441</v>
      </c>
      <c r="S355" s="35" t="str">
        <f>MID(Tabla1[[#This Row],[Aplicación]],6,2)</f>
        <v>04</v>
      </c>
      <c r="T355" s="35" t="str">
        <f>VLOOKUP(Tabla1[[#This Row],[AREA]],Hoja1!A:B,2,FALSE)</f>
        <v>04. Planificación y recursos</v>
      </c>
      <c r="U355" s="35" t="str">
        <f>MID(Tabla1[[#This Row],[Aplicación]],9,4)</f>
        <v>9202</v>
      </c>
      <c r="V355" s="35" t="str">
        <f>VLOOKUP(Tabla1[[#This Row],[PROGRAMA]],Hoja1!A:B,2,FALSE)</f>
        <v>9202. Gestión de recursos humanos</v>
      </c>
      <c r="W355" s="35" t="str">
        <f>MID(Tabla1[[#This Row],[Aplicación]],14,2)</f>
        <v>21</v>
      </c>
      <c r="X355" s="35" t="str">
        <f>MID(Tabla1[[#This Row],[Aplicación]],14,6)</f>
        <v>213</v>
      </c>
    </row>
    <row r="356" spans="1:24" x14ac:dyDescent="0.25">
      <c r="A356" s="49">
        <v>220220007917</v>
      </c>
      <c r="B356" s="50" t="s">
        <v>172</v>
      </c>
      <c r="C356" s="57">
        <v>44627</v>
      </c>
      <c r="D356" s="49">
        <v>22022002032</v>
      </c>
      <c r="E356" s="50" t="s">
        <v>1362</v>
      </c>
      <c r="F356" s="58">
        <v>42944.91</v>
      </c>
      <c r="G356" s="50" t="s">
        <v>1010</v>
      </c>
      <c r="H356" s="50" t="s">
        <v>1802</v>
      </c>
      <c r="I356" s="49" t="s">
        <v>173</v>
      </c>
      <c r="J356" s="50" t="s">
        <v>1011</v>
      </c>
      <c r="K356" s="50" t="s">
        <v>128</v>
      </c>
      <c r="L356" s="50" t="s">
        <v>12</v>
      </c>
      <c r="M356" s="50" t="s">
        <v>13</v>
      </c>
      <c r="N356" s="50" t="s">
        <v>16</v>
      </c>
      <c r="O356" s="48" t="s">
        <v>631</v>
      </c>
      <c r="P356" s="45" t="s">
        <v>453</v>
      </c>
      <c r="Q356" s="35" t="str">
        <f>MID(Tabla1[[#This Row],[Aplicación]],14,1)</f>
        <v>6</v>
      </c>
      <c r="R356" s="35" t="s">
        <v>442</v>
      </c>
      <c r="S356" s="35" t="str">
        <f>MID(Tabla1[[#This Row],[Aplicación]],6,2)</f>
        <v>08</v>
      </c>
      <c r="T356" s="35" t="str">
        <f>VLOOKUP(Tabla1[[#This Row],[AREA]],Hoja1!A:B,2,FALSE)</f>
        <v>08. Movilidad y espacio urbano</v>
      </c>
      <c r="U356" s="35" t="str">
        <f>MID(Tabla1[[#This Row],[Aplicación]],9,4)</f>
        <v>1341</v>
      </c>
      <c r="V356" s="35" t="str">
        <f>VLOOKUP(Tabla1[[#This Row],[PROGRAMA]],Hoja1!A:B,2,FALSE)</f>
        <v>1341. Movilidad</v>
      </c>
      <c r="W356" s="35" t="str">
        <f>MID(Tabla1[[#This Row],[Aplicación]],14,2)</f>
        <v>60</v>
      </c>
      <c r="X356" s="35" t="str">
        <f>MID(Tabla1[[#This Row],[Aplicación]],14,6)</f>
        <v>609</v>
      </c>
    </row>
    <row r="357" spans="1:24" x14ac:dyDescent="0.25">
      <c r="A357" s="49">
        <v>220210078783</v>
      </c>
      <c r="B357" s="50" t="s">
        <v>9</v>
      </c>
      <c r="C357" s="57">
        <v>44620</v>
      </c>
      <c r="D357" s="49">
        <v>22021007317</v>
      </c>
      <c r="E357" s="50" t="s">
        <v>1410</v>
      </c>
      <c r="F357" s="58">
        <v>284.27999999999997</v>
      </c>
      <c r="G357" s="50" t="s">
        <v>1010</v>
      </c>
      <c r="H357" s="50" t="s">
        <v>1208</v>
      </c>
      <c r="I357" s="49" t="s">
        <v>107</v>
      </c>
      <c r="J357" s="50" t="s">
        <v>1011</v>
      </c>
      <c r="K357" s="50" t="s">
        <v>128</v>
      </c>
      <c r="L357" s="50" t="s">
        <v>12</v>
      </c>
      <c r="M357" s="50" t="s">
        <v>13</v>
      </c>
      <c r="N357" s="50" t="s">
        <v>14</v>
      </c>
      <c r="O357" s="48" t="s">
        <v>631</v>
      </c>
      <c r="P357" s="45" t="s">
        <v>453</v>
      </c>
      <c r="Q357" s="35" t="str">
        <f>MID(Tabla1[[#This Row],[Aplicación]],14,1)</f>
        <v>6</v>
      </c>
      <c r="R357" s="35" t="s">
        <v>442</v>
      </c>
      <c r="S357" s="35" t="str">
        <f>MID(Tabla1[[#This Row],[Aplicación]],6,2)</f>
        <v>03</v>
      </c>
      <c r="T357" s="35" t="str">
        <f>VLOOKUP(Tabla1[[#This Row],[AREA]],Hoja1!A:B,2,FALSE)</f>
        <v>03. Participación ciudadana y deportes</v>
      </c>
      <c r="U357" s="35" t="str">
        <f>MID(Tabla1[[#This Row],[Aplicación]],9,4)</f>
        <v>9241</v>
      </c>
      <c r="V357" s="35" t="str">
        <f>VLOOKUP(Tabla1[[#This Row],[PROGRAMA]],Hoja1!A:B,2,FALSE)</f>
        <v>9241. Participación ciudadana</v>
      </c>
      <c r="W357" s="35" t="str">
        <f>MID(Tabla1[[#This Row],[Aplicación]],14,2)</f>
        <v>63</v>
      </c>
      <c r="X357" s="35" t="str">
        <f>MID(Tabla1[[#This Row],[Aplicación]],14,6)</f>
        <v>632</v>
      </c>
    </row>
    <row r="358" spans="1:24" x14ac:dyDescent="0.25">
      <c r="A358" s="49">
        <v>220219000038</v>
      </c>
      <c r="B358" s="50" t="s">
        <v>9</v>
      </c>
      <c r="C358" s="57">
        <v>44562</v>
      </c>
      <c r="D358" s="49">
        <v>22022000352</v>
      </c>
      <c r="E358" s="50" t="s">
        <v>1512</v>
      </c>
      <c r="F358" s="58">
        <v>216.15</v>
      </c>
      <c r="G358" s="50" t="s">
        <v>58</v>
      </c>
      <c r="H358" s="50" t="s">
        <v>1803</v>
      </c>
      <c r="I358" s="49" t="s">
        <v>107</v>
      </c>
      <c r="J358" s="50" t="s">
        <v>109</v>
      </c>
      <c r="K358" s="50" t="s">
        <v>109</v>
      </c>
      <c r="L358" s="50" t="s">
        <v>12</v>
      </c>
      <c r="M358" s="50" t="s">
        <v>13</v>
      </c>
      <c r="N358" s="50" t="s">
        <v>14</v>
      </c>
      <c r="O358" s="48" t="s">
        <v>620</v>
      </c>
      <c r="P358" s="45" t="s">
        <v>453</v>
      </c>
      <c r="Q358" s="35" t="str">
        <f>MID(Tabla1[[#This Row],[Aplicación]],14,1)</f>
        <v>2</v>
      </c>
      <c r="R358" s="35" t="s">
        <v>441</v>
      </c>
      <c r="S358" s="35" t="str">
        <f>MID(Tabla1[[#This Row],[Aplicación]],6,2)</f>
        <v>01</v>
      </c>
      <c r="T358" s="35" t="str">
        <f>VLOOKUP(Tabla1[[#This Row],[AREA]],Hoja1!A:B,2,FALSE)</f>
        <v>01. Alcaldía</v>
      </c>
      <c r="U358" s="35" t="str">
        <f>MID(Tabla1[[#This Row],[Aplicación]],9,4)</f>
        <v>9207</v>
      </c>
      <c r="V358" s="35" t="str">
        <f>VLOOKUP(Tabla1[[#This Row],[PROGRAMA]],Hoja1!A:B,2,FALSE)</f>
        <v>9207. Gobierno y relaciones</v>
      </c>
      <c r="W358" s="35" t="str">
        <f>MID(Tabla1[[#This Row],[Aplicación]],14,2)</f>
        <v>20</v>
      </c>
      <c r="X358" s="35" t="str">
        <f>MID(Tabla1[[#This Row],[Aplicación]],14,6)</f>
        <v>203</v>
      </c>
    </row>
    <row r="359" spans="1:24" x14ac:dyDescent="0.25">
      <c r="A359" s="49">
        <v>220210078786</v>
      </c>
      <c r="B359" s="50" t="s">
        <v>9</v>
      </c>
      <c r="C359" s="57">
        <v>44620</v>
      </c>
      <c r="D359" s="49">
        <v>22021007319</v>
      </c>
      <c r="E359" s="50" t="s">
        <v>1410</v>
      </c>
      <c r="F359" s="58">
        <v>211.36</v>
      </c>
      <c r="G359" s="50" t="s">
        <v>1010</v>
      </c>
      <c r="H359" s="50" t="s">
        <v>1209</v>
      </c>
      <c r="I359" s="49" t="s">
        <v>107</v>
      </c>
      <c r="J359" s="50" t="s">
        <v>1011</v>
      </c>
      <c r="K359" s="50" t="s">
        <v>128</v>
      </c>
      <c r="L359" s="50" t="s">
        <v>12</v>
      </c>
      <c r="M359" s="50" t="s">
        <v>13</v>
      </c>
      <c r="N359" s="50" t="s">
        <v>14</v>
      </c>
      <c r="O359" s="48" t="s">
        <v>631</v>
      </c>
      <c r="P359" s="45" t="s">
        <v>453</v>
      </c>
      <c r="Q359" s="35" t="str">
        <f>MID(Tabla1[[#This Row],[Aplicación]],14,1)</f>
        <v>6</v>
      </c>
      <c r="R359" s="35" t="s">
        <v>442</v>
      </c>
      <c r="S359" s="35" t="str">
        <f>MID(Tabla1[[#This Row],[Aplicación]],6,2)</f>
        <v>03</v>
      </c>
      <c r="T359" s="35" t="str">
        <f>VLOOKUP(Tabla1[[#This Row],[AREA]],Hoja1!A:B,2,FALSE)</f>
        <v>03. Participación ciudadana y deportes</v>
      </c>
      <c r="U359" s="35" t="str">
        <f>MID(Tabla1[[#This Row],[Aplicación]],9,4)</f>
        <v>9241</v>
      </c>
      <c r="V359" s="35" t="str">
        <f>VLOOKUP(Tabla1[[#This Row],[PROGRAMA]],Hoja1!A:B,2,FALSE)</f>
        <v>9241. Participación ciudadana</v>
      </c>
      <c r="W359" s="35" t="str">
        <f>MID(Tabla1[[#This Row],[Aplicación]],14,2)</f>
        <v>63</v>
      </c>
      <c r="X359" s="35" t="str">
        <f>MID(Tabla1[[#This Row],[Aplicación]],14,6)</f>
        <v>632</v>
      </c>
    </row>
    <row r="360" spans="1:24" x14ac:dyDescent="0.25">
      <c r="A360" s="49">
        <v>220210078789</v>
      </c>
      <c r="B360" s="50" t="s">
        <v>9</v>
      </c>
      <c r="C360" s="57">
        <v>44620</v>
      </c>
      <c r="D360" s="49">
        <v>22021007321</v>
      </c>
      <c r="E360" s="50" t="s">
        <v>1410</v>
      </c>
      <c r="F360" s="58">
        <v>670.74</v>
      </c>
      <c r="G360" s="50" t="s">
        <v>1010</v>
      </c>
      <c r="H360" s="50" t="s">
        <v>1210</v>
      </c>
      <c r="I360" s="49" t="s">
        <v>107</v>
      </c>
      <c r="J360" s="50" t="s">
        <v>1011</v>
      </c>
      <c r="K360" s="50" t="s">
        <v>128</v>
      </c>
      <c r="L360" s="50" t="s">
        <v>12</v>
      </c>
      <c r="M360" s="50" t="s">
        <v>13</v>
      </c>
      <c r="N360" s="50" t="s">
        <v>14</v>
      </c>
      <c r="O360" s="48" t="s">
        <v>631</v>
      </c>
      <c r="P360" s="45" t="s">
        <v>453</v>
      </c>
      <c r="Q360" s="35" t="str">
        <f>MID(Tabla1[[#This Row],[Aplicación]],14,1)</f>
        <v>6</v>
      </c>
      <c r="R360" s="35" t="s">
        <v>442</v>
      </c>
      <c r="S360" s="35" t="str">
        <f>MID(Tabla1[[#This Row],[Aplicación]],6,2)</f>
        <v>03</v>
      </c>
      <c r="T360" s="35" t="str">
        <f>VLOOKUP(Tabla1[[#This Row],[AREA]],Hoja1!A:B,2,FALSE)</f>
        <v>03. Participación ciudadana y deportes</v>
      </c>
      <c r="U360" s="35" t="str">
        <f>MID(Tabla1[[#This Row],[Aplicación]],9,4)</f>
        <v>9241</v>
      </c>
      <c r="V360" s="35" t="str">
        <f>VLOOKUP(Tabla1[[#This Row],[PROGRAMA]],Hoja1!A:B,2,FALSE)</f>
        <v>9241. Participación ciudadana</v>
      </c>
      <c r="W360" s="35" t="str">
        <f>MID(Tabla1[[#This Row],[Aplicación]],14,2)</f>
        <v>63</v>
      </c>
      <c r="X360" s="35" t="str">
        <f>MID(Tabla1[[#This Row],[Aplicación]],14,6)</f>
        <v>632</v>
      </c>
    </row>
    <row r="361" spans="1:24" x14ac:dyDescent="0.25">
      <c r="A361" s="49">
        <v>220219000043</v>
      </c>
      <c r="B361" s="50" t="s">
        <v>9</v>
      </c>
      <c r="C361" s="57">
        <v>44562</v>
      </c>
      <c r="D361" s="49">
        <v>22022000355</v>
      </c>
      <c r="E361" s="50" t="s">
        <v>1563</v>
      </c>
      <c r="F361" s="58">
        <v>115</v>
      </c>
      <c r="G361" s="50" t="s">
        <v>58</v>
      </c>
      <c r="H361" s="50" t="s">
        <v>1804</v>
      </c>
      <c r="I361" s="49" t="s">
        <v>107</v>
      </c>
      <c r="J361" s="50" t="s">
        <v>109</v>
      </c>
      <c r="K361" s="50" t="s">
        <v>109</v>
      </c>
      <c r="L361" s="50" t="s">
        <v>12</v>
      </c>
      <c r="M361" s="50" t="s">
        <v>13</v>
      </c>
      <c r="N361" s="50" t="s">
        <v>14</v>
      </c>
      <c r="O361" s="48" t="s">
        <v>620</v>
      </c>
      <c r="P361" s="45" t="s">
        <v>453</v>
      </c>
      <c r="Q361" s="35" t="str">
        <f>MID(Tabla1[[#This Row],[Aplicación]],14,1)</f>
        <v>2</v>
      </c>
      <c r="R361" s="35" t="s">
        <v>441</v>
      </c>
      <c r="S361" s="35" t="str">
        <f>MID(Tabla1[[#This Row],[Aplicación]],6,2)</f>
        <v>04</v>
      </c>
      <c r="T361" s="35" t="str">
        <f>VLOOKUP(Tabla1[[#This Row],[AREA]],Hoja1!A:B,2,FALSE)</f>
        <v>04. Planificación y recursos</v>
      </c>
      <c r="U361" s="35" t="str">
        <f>MID(Tabla1[[#This Row],[Aplicación]],9,4)</f>
        <v>3121</v>
      </c>
      <c r="V361" s="35" t="str">
        <f>VLOOKUP(Tabla1[[#This Row],[PROGRAMA]],Hoja1!A:B,2,FALSE)</f>
        <v>3121. Prevención y salud laboral</v>
      </c>
      <c r="W361" s="35" t="str">
        <f>MID(Tabla1[[#This Row],[Aplicación]],14,2)</f>
        <v>21</v>
      </c>
      <c r="X361" s="35" t="str">
        <f>MID(Tabla1[[#This Row],[Aplicación]],14,6)</f>
        <v>213</v>
      </c>
    </row>
    <row r="362" spans="1:24" x14ac:dyDescent="0.25">
      <c r="A362" s="49">
        <v>220219000044</v>
      </c>
      <c r="B362" s="50" t="s">
        <v>9</v>
      </c>
      <c r="C362" s="57">
        <v>44562</v>
      </c>
      <c r="D362" s="49">
        <v>22022000356</v>
      </c>
      <c r="E362" s="50" t="s">
        <v>1525</v>
      </c>
      <c r="F362" s="58">
        <v>105</v>
      </c>
      <c r="G362" s="50" t="s">
        <v>58</v>
      </c>
      <c r="H362" s="50" t="s">
        <v>1805</v>
      </c>
      <c r="I362" s="49" t="s">
        <v>107</v>
      </c>
      <c r="J362" s="50" t="s">
        <v>109</v>
      </c>
      <c r="K362" s="50" t="s">
        <v>109</v>
      </c>
      <c r="L362" s="50" t="s">
        <v>12</v>
      </c>
      <c r="M362" s="50" t="s">
        <v>13</v>
      </c>
      <c r="N362" s="50" t="s">
        <v>14</v>
      </c>
      <c r="O362" s="48" t="s">
        <v>620</v>
      </c>
      <c r="P362" s="45" t="s">
        <v>453</v>
      </c>
      <c r="Q362" s="35" t="str">
        <f>MID(Tabla1[[#This Row],[Aplicación]],14,1)</f>
        <v>2</v>
      </c>
      <c r="R362" s="35" t="s">
        <v>441</v>
      </c>
      <c r="S362" s="35" t="str">
        <f>MID(Tabla1[[#This Row],[Aplicación]],6,2)</f>
        <v>08</v>
      </c>
      <c r="T362" s="35" t="str">
        <f>VLOOKUP(Tabla1[[#This Row],[AREA]],Hoja1!A:B,2,FALSE)</f>
        <v>08. Movilidad y espacio urbano</v>
      </c>
      <c r="U362" s="35" t="str">
        <f>MID(Tabla1[[#This Row],[Aplicación]],9,4)</f>
        <v>1341</v>
      </c>
      <c r="V362" s="35" t="str">
        <f>VLOOKUP(Tabla1[[#This Row],[PROGRAMA]],Hoja1!A:B,2,FALSE)</f>
        <v>1341. Movilidad</v>
      </c>
      <c r="W362" s="35" t="str">
        <f>MID(Tabla1[[#This Row],[Aplicación]],14,2)</f>
        <v>20</v>
      </c>
      <c r="X362" s="35" t="str">
        <f>MID(Tabla1[[#This Row],[Aplicación]],14,6)</f>
        <v>203</v>
      </c>
    </row>
    <row r="363" spans="1:24" x14ac:dyDescent="0.25">
      <c r="A363" s="49">
        <v>220219000045</v>
      </c>
      <c r="B363" s="50" t="s">
        <v>9</v>
      </c>
      <c r="C363" s="57">
        <v>44562</v>
      </c>
      <c r="D363" s="49">
        <v>22022000357</v>
      </c>
      <c r="E363" s="50" t="s">
        <v>1528</v>
      </c>
      <c r="F363" s="58">
        <v>230</v>
      </c>
      <c r="G363" s="50" t="s">
        <v>58</v>
      </c>
      <c r="H363" s="50" t="s">
        <v>1806</v>
      </c>
      <c r="I363" s="49" t="s">
        <v>107</v>
      </c>
      <c r="J363" s="50" t="s">
        <v>109</v>
      </c>
      <c r="K363" s="50" t="s">
        <v>109</v>
      </c>
      <c r="L363" s="50" t="s">
        <v>12</v>
      </c>
      <c r="M363" s="50" t="s">
        <v>13</v>
      </c>
      <c r="N363" s="50" t="s">
        <v>14</v>
      </c>
      <c r="O363" s="48" t="s">
        <v>620</v>
      </c>
      <c r="P363" s="45" t="s">
        <v>453</v>
      </c>
      <c r="Q363" s="35" t="str">
        <f>MID(Tabla1[[#This Row],[Aplicación]],14,1)</f>
        <v>2</v>
      </c>
      <c r="R363" s="35" t="s">
        <v>441</v>
      </c>
      <c r="S363" s="35" t="str">
        <f>MID(Tabla1[[#This Row],[Aplicación]],6,2)</f>
        <v>08</v>
      </c>
      <c r="T363" s="35" t="str">
        <f>VLOOKUP(Tabla1[[#This Row],[AREA]],Hoja1!A:B,2,FALSE)</f>
        <v>08. Movilidad y espacio urbano</v>
      </c>
      <c r="U363" s="35" t="str">
        <f>MID(Tabla1[[#This Row],[Aplicación]],9,4)</f>
        <v>1341</v>
      </c>
      <c r="V363" s="35" t="str">
        <f>VLOOKUP(Tabla1[[#This Row],[PROGRAMA]],Hoja1!A:B,2,FALSE)</f>
        <v>1341. Movilidad</v>
      </c>
      <c r="W363" s="35" t="str">
        <f>MID(Tabla1[[#This Row],[Aplicación]],14,2)</f>
        <v>21</v>
      </c>
      <c r="X363" s="35" t="str">
        <f>MID(Tabla1[[#This Row],[Aplicación]],14,6)</f>
        <v>213</v>
      </c>
    </row>
    <row r="364" spans="1:24" x14ac:dyDescent="0.25">
      <c r="A364" s="49">
        <v>220219000046</v>
      </c>
      <c r="B364" s="50" t="s">
        <v>9</v>
      </c>
      <c r="C364" s="57">
        <v>44562</v>
      </c>
      <c r="D364" s="49">
        <v>22022000359</v>
      </c>
      <c r="E364" s="50" t="s">
        <v>1525</v>
      </c>
      <c r="F364" s="58">
        <v>105</v>
      </c>
      <c r="G364" s="50" t="s">
        <v>58</v>
      </c>
      <c r="H364" s="50" t="s">
        <v>1807</v>
      </c>
      <c r="I364" s="49" t="s">
        <v>107</v>
      </c>
      <c r="J364" s="50" t="s">
        <v>109</v>
      </c>
      <c r="K364" s="50" t="s">
        <v>109</v>
      </c>
      <c r="L364" s="50" t="s">
        <v>12</v>
      </c>
      <c r="M364" s="50" t="s">
        <v>13</v>
      </c>
      <c r="N364" s="50" t="s">
        <v>14</v>
      </c>
      <c r="O364" s="48" t="s">
        <v>620</v>
      </c>
      <c r="P364" s="45" t="s">
        <v>453</v>
      </c>
      <c r="Q364" s="35" t="str">
        <f>MID(Tabla1[[#This Row],[Aplicación]],14,1)</f>
        <v>2</v>
      </c>
      <c r="R364" s="35" t="s">
        <v>441</v>
      </c>
      <c r="S364" s="35" t="str">
        <f>MID(Tabla1[[#This Row],[Aplicación]],6,2)</f>
        <v>08</v>
      </c>
      <c r="T364" s="35" t="str">
        <f>VLOOKUP(Tabla1[[#This Row],[AREA]],Hoja1!A:B,2,FALSE)</f>
        <v>08. Movilidad y espacio urbano</v>
      </c>
      <c r="U364" s="35" t="str">
        <f>MID(Tabla1[[#This Row],[Aplicación]],9,4)</f>
        <v>1341</v>
      </c>
      <c r="V364" s="35" t="str">
        <f>VLOOKUP(Tabla1[[#This Row],[PROGRAMA]],Hoja1!A:B,2,FALSE)</f>
        <v>1341. Movilidad</v>
      </c>
      <c r="W364" s="35" t="str">
        <f>MID(Tabla1[[#This Row],[Aplicación]],14,2)</f>
        <v>20</v>
      </c>
      <c r="X364" s="35" t="str">
        <f>MID(Tabla1[[#This Row],[Aplicación]],14,6)</f>
        <v>203</v>
      </c>
    </row>
    <row r="365" spans="1:24" x14ac:dyDescent="0.25">
      <c r="A365" s="49">
        <v>220219000047</v>
      </c>
      <c r="B365" s="50" t="s">
        <v>9</v>
      </c>
      <c r="C365" s="57">
        <v>44562</v>
      </c>
      <c r="D365" s="49">
        <v>22022000360</v>
      </c>
      <c r="E365" s="50" t="s">
        <v>1528</v>
      </c>
      <c r="F365" s="58">
        <v>105</v>
      </c>
      <c r="G365" s="50" t="s">
        <v>58</v>
      </c>
      <c r="H365" s="50" t="s">
        <v>1808</v>
      </c>
      <c r="I365" s="49" t="s">
        <v>107</v>
      </c>
      <c r="J365" s="50" t="s">
        <v>109</v>
      </c>
      <c r="K365" s="50" t="s">
        <v>109</v>
      </c>
      <c r="L365" s="50" t="s">
        <v>12</v>
      </c>
      <c r="M365" s="50" t="s">
        <v>13</v>
      </c>
      <c r="N365" s="50" t="s">
        <v>14</v>
      </c>
      <c r="O365" s="48" t="s">
        <v>620</v>
      </c>
      <c r="P365" s="45" t="s">
        <v>453</v>
      </c>
      <c r="Q365" s="35" t="str">
        <f>MID(Tabla1[[#This Row],[Aplicación]],14,1)</f>
        <v>2</v>
      </c>
      <c r="R365" s="35" t="s">
        <v>441</v>
      </c>
      <c r="S365" s="35" t="str">
        <f>MID(Tabla1[[#This Row],[Aplicación]],6,2)</f>
        <v>08</v>
      </c>
      <c r="T365" s="35" t="str">
        <f>VLOOKUP(Tabla1[[#This Row],[AREA]],Hoja1!A:B,2,FALSE)</f>
        <v>08. Movilidad y espacio urbano</v>
      </c>
      <c r="U365" s="35" t="str">
        <f>MID(Tabla1[[#This Row],[Aplicación]],9,4)</f>
        <v>1341</v>
      </c>
      <c r="V365" s="35" t="str">
        <f>VLOOKUP(Tabla1[[#This Row],[PROGRAMA]],Hoja1!A:B,2,FALSE)</f>
        <v>1341. Movilidad</v>
      </c>
      <c r="W365" s="35" t="str">
        <f>MID(Tabla1[[#This Row],[Aplicación]],14,2)</f>
        <v>21</v>
      </c>
      <c r="X365" s="35" t="str">
        <f>MID(Tabla1[[#This Row],[Aplicación]],14,6)</f>
        <v>213</v>
      </c>
    </row>
    <row r="366" spans="1:24" x14ac:dyDescent="0.25">
      <c r="A366" s="49">
        <v>220210078792</v>
      </c>
      <c r="B366" s="50" t="s">
        <v>9</v>
      </c>
      <c r="C366" s="57">
        <v>44620</v>
      </c>
      <c r="D366" s="49">
        <v>22021007316</v>
      </c>
      <c r="E366" s="50" t="s">
        <v>1410</v>
      </c>
      <c r="F366" s="58">
        <v>2097.12</v>
      </c>
      <c r="G366" s="50" t="s">
        <v>1010</v>
      </c>
      <c r="H366" s="50" t="s">
        <v>1211</v>
      </c>
      <c r="I366" s="49" t="s">
        <v>107</v>
      </c>
      <c r="J366" s="50" t="s">
        <v>1011</v>
      </c>
      <c r="K366" s="50" t="s">
        <v>128</v>
      </c>
      <c r="L366" s="50" t="s">
        <v>12</v>
      </c>
      <c r="M366" s="50" t="s">
        <v>13</v>
      </c>
      <c r="N366" s="50" t="s">
        <v>14</v>
      </c>
      <c r="O366" s="48" t="s">
        <v>631</v>
      </c>
      <c r="P366" s="45" t="s">
        <v>453</v>
      </c>
      <c r="Q366" s="35" t="str">
        <f>MID(Tabla1[[#This Row],[Aplicación]],14,1)</f>
        <v>6</v>
      </c>
      <c r="R366" s="35" t="s">
        <v>442</v>
      </c>
      <c r="S366" s="35" t="str">
        <f>MID(Tabla1[[#This Row],[Aplicación]],6,2)</f>
        <v>03</v>
      </c>
      <c r="T366" s="35" t="str">
        <f>VLOOKUP(Tabla1[[#This Row],[AREA]],Hoja1!A:B,2,FALSE)</f>
        <v>03. Participación ciudadana y deportes</v>
      </c>
      <c r="U366" s="35" t="str">
        <f>MID(Tabla1[[#This Row],[Aplicación]],9,4)</f>
        <v>9241</v>
      </c>
      <c r="V366" s="35" t="str">
        <f>VLOOKUP(Tabla1[[#This Row],[PROGRAMA]],Hoja1!A:B,2,FALSE)</f>
        <v>9241. Participación ciudadana</v>
      </c>
      <c r="W366" s="35" t="str">
        <f>MID(Tabla1[[#This Row],[Aplicación]],14,2)</f>
        <v>63</v>
      </c>
      <c r="X366" s="35" t="str">
        <f>MID(Tabla1[[#This Row],[Aplicación]],14,6)</f>
        <v>632</v>
      </c>
    </row>
    <row r="367" spans="1:24" x14ac:dyDescent="0.25">
      <c r="A367" s="49">
        <v>220220010682</v>
      </c>
      <c r="B367" s="50" t="s">
        <v>172</v>
      </c>
      <c r="C367" s="57">
        <v>44642</v>
      </c>
      <c r="D367" s="49">
        <v>22021003437</v>
      </c>
      <c r="E367" s="50" t="s">
        <v>1374</v>
      </c>
      <c r="F367" s="58">
        <v>1759.75</v>
      </c>
      <c r="G367" s="50" t="s">
        <v>1010</v>
      </c>
      <c r="H367" s="50" t="s">
        <v>1809</v>
      </c>
      <c r="I367" s="49" t="s">
        <v>173</v>
      </c>
      <c r="J367" s="50" t="s">
        <v>1011</v>
      </c>
      <c r="K367" s="50" t="s">
        <v>128</v>
      </c>
      <c r="L367" s="50" t="s">
        <v>12</v>
      </c>
      <c r="M367" s="50" t="s">
        <v>13</v>
      </c>
      <c r="N367" s="50" t="s">
        <v>14</v>
      </c>
      <c r="O367" s="48" t="s">
        <v>631</v>
      </c>
      <c r="P367" s="45" t="s">
        <v>453</v>
      </c>
      <c r="Q367" s="35" t="str">
        <f>MID(Tabla1[[#This Row],[Aplicación]],14,1)</f>
        <v>6</v>
      </c>
      <c r="R367" s="35" t="s">
        <v>442</v>
      </c>
      <c r="S367" s="35" t="str">
        <f>MID(Tabla1[[#This Row],[Aplicación]],6,2)</f>
        <v>08</v>
      </c>
      <c r="T367" s="35" t="str">
        <f>VLOOKUP(Tabla1[[#This Row],[AREA]],Hoja1!A:B,2,FALSE)</f>
        <v>08. Movilidad y espacio urbano</v>
      </c>
      <c r="U367" s="35" t="str">
        <f>MID(Tabla1[[#This Row],[Aplicación]],9,4)</f>
        <v>1651</v>
      </c>
      <c r="V367" s="35" t="str">
        <f>VLOOKUP(Tabla1[[#This Row],[PROGRAMA]],Hoja1!A:B,2,FALSE)</f>
        <v>1651. Alumbrado público</v>
      </c>
      <c r="W367" s="35" t="str">
        <f>MID(Tabla1[[#This Row],[Aplicación]],14,2)</f>
        <v>61</v>
      </c>
      <c r="X367" s="35" t="str">
        <f>MID(Tabla1[[#This Row],[Aplicación]],14,6)</f>
        <v>619</v>
      </c>
    </row>
    <row r="368" spans="1:24" x14ac:dyDescent="0.25">
      <c r="A368" s="49">
        <v>220220013185</v>
      </c>
      <c r="B368" s="50" t="s">
        <v>9</v>
      </c>
      <c r="C368" s="57">
        <v>44650</v>
      </c>
      <c r="D368" s="49">
        <v>22022003050</v>
      </c>
      <c r="E368" s="50" t="s">
        <v>1399</v>
      </c>
      <c r="F368" s="58">
        <v>475.02</v>
      </c>
      <c r="G368" s="50" t="s">
        <v>1010</v>
      </c>
      <c r="H368" s="50" t="s">
        <v>1810</v>
      </c>
      <c r="I368" s="49" t="s">
        <v>107</v>
      </c>
      <c r="J368" s="50" t="s">
        <v>1011</v>
      </c>
      <c r="K368" s="50" t="s">
        <v>128</v>
      </c>
      <c r="L368" s="50" t="s">
        <v>12</v>
      </c>
      <c r="M368" s="50" t="s">
        <v>13</v>
      </c>
      <c r="N368" s="50" t="s">
        <v>14</v>
      </c>
      <c r="O368" s="48" t="s">
        <v>631</v>
      </c>
      <c r="P368" s="45" t="s">
        <v>453</v>
      </c>
      <c r="Q368" s="35" t="str">
        <f>MID(Tabla1[[#This Row],[Aplicación]],14,1)</f>
        <v>6</v>
      </c>
      <c r="R368" s="35" t="s">
        <v>442</v>
      </c>
      <c r="S368" s="35" t="str">
        <f>MID(Tabla1[[#This Row],[Aplicación]],6,2)</f>
        <v>02</v>
      </c>
      <c r="T368" s="35" t="str">
        <f>VLOOKUP(Tabla1[[#This Row],[AREA]],Hoja1!A:B,2,FALSE)</f>
        <v>02. Planeamiento urbanístico y vivienda</v>
      </c>
      <c r="U368" s="35" t="str">
        <f>MID(Tabla1[[#This Row],[Aplicación]],9,4)</f>
        <v>1511</v>
      </c>
      <c r="V368" s="35" t="str">
        <f>VLOOKUP(Tabla1[[#This Row],[PROGRAMA]],Hoja1!A:B,2,FALSE)</f>
        <v>1511. Planficación y gestión del urbanismo</v>
      </c>
      <c r="W368" s="35" t="str">
        <f>MID(Tabla1[[#This Row],[Aplicación]],14,2)</f>
        <v>60</v>
      </c>
      <c r="X368" s="35" t="str">
        <f>MID(Tabla1[[#This Row],[Aplicación]],14,6)</f>
        <v>609</v>
      </c>
    </row>
    <row r="369" spans="1:24" x14ac:dyDescent="0.25">
      <c r="A369" s="49">
        <v>220220007936</v>
      </c>
      <c r="B369" s="50" t="s">
        <v>9</v>
      </c>
      <c r="C369" s="57">
        <v>44627</v>
      </c>
      <c r="D369" s="49">
        <v>22021008078</v>
      </c>
      <c r="E369" s="50" t="s">
        <v>1789</v>
      </c>
      <c r="F369" s="58">
        <v>108.77</v>
      </c>
      <c r="G369" s="50" t="s">
        <v>1010</v>
      </c>
      <c r="H369" s="50" t="s">
        <v>1811</v>
      </c>
      <c r="I369" s="49" t="s">
        <v>181</v>
      </c>
      <c r="J369" s="50" t="s">
        <v>1011</v>
      </c>
      <c r="K369" s="50" t="s">
        <v>128</v>
      </c>
      <c r="L369" s="50" t="s">
        <v>25</v>
      </c>
      <c r="M369" s="50" t="s">
        <v>13</v>
      </c>
      <c r="N369" s="50" t="s">
        <v>14</v>
      </c>
      <c r="O369" s="48" t="s">
        <v>631</v>
      </c>
      <c r="P369" s="45" t="s">
        <v>453</v>
      </c>
      <c r="Q369" s="35" t="str">
        <f>MID(Tabla1[[#This Row],[Aplicación]],14,1)</f>
        <v>6</v>
      </c>
      <c r="R369" s="35" t="s">
        <v>442</v>
      </c>
      <c r="S369" s="35" t="str">
        <f>MID(Tabla1[[#This Row],[Aplicación]],6,2)</f>
        <v>10</v>
      </c>
      <c r="T369" s="35" t="str">
        <f>VLOOKUP(Tabla1[[#This Row],[AREA]],Hoja1!A:B,2,FALSE)</f>
        <v>10. Servicios sociales y mediación comunitaria</v>
      </c>
      <c r="U369" s="35" t="str">
        <f>MID(Tabla1[[#This Row],[Aplicación]],9,4)</f>
        <v>2311</v>
      </c>
      <c r="V369" s="35" t="str">
        <f>VLOOKUP(Tabla1[[#This Row],[PROGRAMA]],Hoja1!A:B,2,FALSE)</f>
        <v>2311. Intervención social</v>
      </c>
      <c r="W369" s="35" t="str">
        <f>MID(Tabla1[[#This Row],[Aplicación]],14,2)</f>
        <v>63</v>
      </c>
      <c r="X369" s="35" t="str">
        <f>MID(Tabla1[[#This Row],[Aplicación]],14,6)</f>
        <v>632</v>
      </c>
    </row>
    <row r="370" spans="1:24" x14ac:dyDescent="0.25">
      <c r="A370" s="49">
        <v>220220010341</v>
      </c>
      <c r="B370" s="50" t="s">
        <v>9</v>
      </c>
      <c r="C370" s="57">
        <v>44641</v>
      </c>
      <c r="D370" s="49">
        <v>22022002953</v>
      </c>
      <c r="E370" s="50" t="s">
        <v>1744</v>
      </c>
      <c r="F370" s="58">
        <v>329.6</v>
      </c>
      <c r="G370" s="50" t="s">
        <v>1010</v>
      </c>
      <c r="H370" s="50" t="s">
        <v>1812</v>
      </c>
      <c r="I370" s="49" t="s">
        <v>107</v>
      </c>
      <c r="J370" s="50" t="s">
        <v>1011</v>
      </c>
      <c r="K370" s="50" t="s">
        <v>128</v>
      </c>
      <c r="L370" s="55" t="s">
        <v>12</v>
      </c>
      <c r="M370" s="55" t="s">
        <v>13</v>
      </c>
      <c r="N370" s="55" t="s">
        <v>14</v>
      </c>
      <c r="O370" s="48" t="s">
        <v>631</v>
      </c>
      <c r="P370" s="45" t="s">
        <v>453</v>
      </c>
      <c r="Q370" s="35" t="str">
        <f>MID(Tabla1[[#This Row],[Aplicación]],14,1)</f>
        <v>8</v>
      </c>
      <c r="R370" s="35" t="s">
        <v>443</v>
      </c>
      <c r="S370" s="35" t="str">
        <f>MID(Tabla1[[#This Row],[Aplicación]],6,2)</f>
        <v>08</v>
      </c>
      <c r="T370" s="35" t="str">
        <f>VLOOKUP(Tabla1[[#This Row],[AREA]],Hoja1!A:B,2,FALSE)</f>
        <v>08. Movilidad y espacio urbano</v>
      </c>
      <c r="U370" s="35" t="str">
        <f>MID(Tabla1[[#This Row],[Aplicación]],9,4)</f>
        <v>1513</v>
      </c>
      <c r="V370" s="35" t="str">
        <f>VLOOKUP(Tabla1[[#This Row],[PROGRAMA]],Hoja1!A:B,2,FALSE)</f>
        <v>1513. Licencias urbanísticas</v>
      </c>
      <c r="W370" s="35" t="str">
        <f>MID(Tabla1[[#This Row],[Aplicación]],14,2)</f>
        <v>83</v>
      </c>
      <c r="X370" s="35" t="str">
        <f>MID(Tabla1[[#This Row],[Aplicación]],14,6)</f>
        <v>83100</v>
      </c>
    </row>
    <row r="371" spans="1:24" x14ac:dyDescent="0.25">
      <c r="A371" s="49">
        <v>220209000463</v>
      </c>
      <c r="B371" s="50" t="s">
        <v>9</v>
      </c>
      <c r="C371" s="57">
        <v>44562</v>
      </c>
      <c r="D371" s="49">
        <v>22022000195</v>
      </c>
      <c r="E371" s="50" t="s">
        <v>1429</v>
      </c>
      <c r="F371" s="58">
        <v>127080</v>
      </c>
      <c r="G371" s="50" t="s">
        <v>124</v>
      </c>
      <c r="H371" s="50" t="s">
        <v>805</v>
      </c>
      <c r="I371" s="49" t="s">
        <v>107</v>
      </c>
      <c r="J371" s="50" t="s">
        <v>109</v>
      </c>
      <c r="K371" s="50" t="s">
        <v>109</v>
      </c>
      <c r="L371" s="50" t="s">
        <v>12</v>
      </c>
      <c r="M371" s="50" t="s">
        <v>13</v>
      </c>
      <c r="N371" s="50" t="s">
        <v>14</v>
      </c>
      <c r="O371" s="48" t="s">
        <v>620</v>
      </c>
      <c r="P371" s="45" t="s">
        <v>453</v>
      </c>
      <c r="Q371" s="35" t="str">
        <f>MID(Tabla1[[#This Row],[Aplicación]],14,1)</f>
        <v>2</v>
      </c>
      <c r="R371" s="35" t="s">
        <v>441</v>
      </c>
      <c r="S371" s="35" t="str">
        <f>MID(Tabla1[[#This Row],[Aplicación]],6,2)</f>
        <v>06</v>
      </c>
      <c r="T371" s="35" t="str">
        <f>VLOOKUP(Tabla1[[#This Row],[AREA]],Hoja1!A:B,2,FALSE)</f>
        <v>06. Educación, infancia, juventud e igualdad</v>
      </c>
      <c r="U371" s="35" t="str">
        <f>MID(Tabla1[[#This Row],[Aplicación]],9,4)</f>
        <v>3231</v>
      </c>
      <c r="V371" s="35" t="str">
        <f>VLOOKUP(Tabla1[[#This Row],[PROGRAMA]],Hoja1!A:B,2,FALSE)</f>
        <v>3231. Escuelas infantiles</v>
      </c>
      <c r="W371" s="35" t="str">
        <f>MID(Tabla1[[#This Row],[Aplicación]],14,2)</f>
        <v>22</v>
      </c>
      <c r="X371" s="35" t="str">
        <f>MID(Tabla1[[#This Row],[Aplicación]],14,6)</f>
        <v>22799</v>
      </c>
    </row>
    <row r="372" spans="1:24" x14ac:dyDescent="0.25">
      <c r="A372" s="49">
        <v>220210066694</v>
      </c>
      <c r="B372" s="50" t="s">
        <v>9</v>
      </c>
      <c r="C372" s="57">
        <v>44620</v>
      </c>
      <c r="D372" s="49">
        <v>22021004411</v>
      </c>
      <c r="E372" s="50" t="s">
        <v>1602</v>
      </c>
      <c r="F372" s="58">
        <v>125591.23</v>
      </c>
      <c r="G372" s="50" t="s">
        <v>890</v>
      </c>
      <c r="H372" s="50" t="s">
        <v>1172</v>
      </c>
      <c r="I372" s="49" t="s">
        <v>107</v>
      </c>
      <c r="J372" s="50" t="s">
        <v>109</v>
      </c>
      <c r="K372" s="50" t="s">
        <v>109</v>
      </c>
      <c r="L372" s="50" t="s">
        <v>25</v>
      </c>
      <c r="M372" s="50" t="s">
        <v>13</v>
      </c>
      <c r="N372" s="50" t="s">
        <v>16</v>
      </c>
      <c r="O372" s="48" t="s">
        <v>620</v>
      </c>
      <c r="P372" s="45" t="s">
        <v>453</v>
      </c>
      <c r="Q372" s="35" t="str">
        <f>MID(Tabla1[[#This Row],[Aplicación]],14,1)</f>
        <v>6</v>
      </c>
      <c r="R372" s="35" t="s">
        <v>442</v>
      </c>
      <c r="S372" s="35" t="str">
        <f>MID(Tabla1[[#This Row],[Aplicación]],6,2)</f>
        <v>05</v>
      </c>
      <c r="T372" s="35" t="str">
        <f>VLOOKUP(Tabla1[[#This Row],[AREA]],Hoja1!A:B,2,FALSE)</f>
        <v>05. Innovación, desarrollo económico, empleo y comercio</v>
      </c>
      <c r="U372" s="35" t="str">
        <f>MID(Tabla1[[#This Row],[Aplicación]],9,4)</f>
        <v>4331</v>
      </c>
      <c r="V372" s="35" t="str">
        <f>VLOOKUP(Tabla1[[#This Row],[PROGRAMA]],Hoja1!A:B,2,FALSE)</f>
        <v>4331. Desarrollo empresarial</v>
      </c>
      <c r="W372" s="35" t="str">
        <f>MID(Tabla1[[#This Row],[Aplicación]],14,2)</f>
        <v>60</v>
      </c>
      <c r="X372" s="35" t="str">
        <f>MID(Tabla1[[#This Row],[Aplicación]],14,6)</f>
        <v>609</v>
      </c>
    </row>
    <row r="373" spans="1:24" x14ac:dyDescent="0.25">
      <c r="A373" s="49">
        <v>220220013188</v>
      </c>
      <c r="B373" s="50" t="s">
        <v>9</v>
      </c>
      <c r="C373" s="57">
        <v>44650</v>
      </c>
      <c r="D373" s="49">
        <v>22022003086</v>
      </c>
      <c r="E373" s="50" t="s">
        <v>1813</v>
      </c>
      <c r="F373" s="58">
        <v>1986.26</v>
      </c>
      <c r="G373" s="50" t="s">
        <v>901</v>
      </c>
      <c r="H373" s="50" t="s">
        <v>1814</v>
      </c>
      <c r="I373" s="49" t="s">
        <v>107</v>
      </c>
      <c r="J373" s="50" t="s">
        <v>109</v>
      </c>
      <c r="K373" s="50" t="s">
        <v>109</v>
      </c>
      <c r="L373" s="50" t="s">
        <v>12</v>
      </c>
      <c r="M373" s="50" t="s">
        <v>10</v>
      </c>
      <c r="N373" s="50" t="s">
        <v>11</v>
      </c>
      <c r="O373" s="48" t="s">
        <v>632</v>
      </c>
      <c r="P373" s="45" t="s">
        <v>453</v>
      </c>
      <c r="Q373" s="35" t="str">
        <f>MID(Tabla1[[#This Row],[Aplicación]],14,1)</f>
        <v>2</v>
      </c>
      <c r="R373" s="35" t="s">
        <v>441</v>
      </c>
      <c r="S373" s="35" t="str">
        <f>MID(Tabla1[[#This Row],[Aplicación]],6,2)</f>
        <v>09</v>
      </c>
      <c r="T373" s="35" t="str">
        <f>VLOOKUP(Tabla1[[#This Row],[AREA]],Hoja1!A:B,2,FALSE)</f>
        <v>09. Cultura y turismo</v>
      </c>
      <c r="U373" s="35" t="str">
        <f>MID(Tabla1[[#This Row],[Aplicación]],9,4)</f>
        <v>3341</v>
      </c>
      <c r="V373" s="35" t="str">
        <f>VLOOKUP(Tabla1[[#This Row],[PROGRAMA]],Hoja1!A:B,2,FALSE)</f>
        <v>3341. Coordinación de políticas culturales</v>
      </c>
      <c r="W373" s="35" t="str">
        <f>MID(Tabla1[[#This Row],[Aplicación]],14,2)</f>
        <v>22</v>
      </c>
      <c r="X373" s="35" t="str">
        <f>MID(Tabla1[[#This Row],[Aplicación]],14,6)</f>
        <v>22200</v>
      </c>
    </row>
    <row r="374" spans="1:24" x14ac:dyDescent="0.25">
      <c r="A374" s="49">
        <v>220219000056</v>
      </c>
      <c r="B374" s="50" t="s">
        <v>9</v>
      </c>
      <c r="C374" s="57">
        <v>44562</v>
      </c>
      <c r="D374" s="49">
        <v>22022000369</v>
      </c>
      <c r="E374" s="50" t="s">
        <v>1532</v>
      </c>
      <c r="F374" s="58">
        <v>200</v>
      </c>
      <c r="G374" s="50" t="s">
        <v>58</v>
      </c>
      <c r="H374" s="50" t="s">
        <v>1815</v>
      </c>
      <c r="I374" s="49" t="s">
        <v>107</v>
      </c>
      <c r="J374" s="50" t="s">
        <v>109</v>
      </c>
      <c r="K374" s="50" t="s">
        <v>109</v>
      </c>
      <c r="L374" s="50" t="s">
        <v>12</v>
      </c>
      <c r="M374" s="50" t="s">
        <v>13</v>
      </c>
      <c r="N374" s="50" t="s">
        <v>14</v>
      </c>
      <c r="O374" s="48" t="s">
        <v>620</v>
      </c>
      <c r="P374" s="45" t="s">
        <v>453</v>
      </c>
      <c r="Q374" s="35" t="str">
        <f>MID(Tabla1[[#This Row],[Aplicación]],14,1)</f>
        <v>2</v>
      </c>
      <c r="R374" s="35" t="s">
        <v>441</v>
      </c>
      <c r="S374" s="35" t="str">
        <f>MID(Tabla1[[#This Row],[Aplicación]],6,2)</f>
        <v>05</v>
      </c>
      <c r="T374" s="35" t="str">
        <f>VLOOKUP(Tabla1[[#This Row],[AREA]],Hoja1!A:B,2,FALSE)</f>
        <v>05. Innovación, desarrollo económico, empleo y comercio</v>
      </c>
      <c r="U374" s="35" t="str">
        <f>MID(Tabla1[[#This Row],[Aplicación]],9,4)</f>
        <v>4312</v>
      </c>
      <c r="V374" s="35" t="str">
        <f>VLOOKUP(Tabla1[[#This Row],[PROGRAMA]],Hoja1!A:B,2,FALSE)</f>
        <v>4312. Mercados, abastos y lonjas</v>
      </c>
      <c r="W374" s="35" t="str">
        <f>MID(Tabla1[[#This Row],[Aplicación]],14,2)</f>
        <v>20</v>
      </c>
      <c r="X374" s="35" t="str">
        <f>MID(Tabla1[[#This Row],[Aplicación]],14,6)</f>
        <v>203</v>
      </c>
    </row>
    <row r="375" spans="1:24" x14ac:dyDescent="0.25">
      <c r="A375" s="49">
        <v>220219000149</v>
      </c>
      <c r="B375" s="50" t="s">
        <v>9</v>
      </c>
      <c r="C375" s="57">
        <v>44562</v>
      </c>
      <c r="D375" s="49">
        <v>22022000384</v>
      </c>
      <c r="E375" s="50" t="s">
        <v>1813</v>
      </c>
      <c r="F375" s="58">
        <v>522.72</v>
      </c>
      <c r="G375" s="50" t="s">
        <v>901</v>
      </c>
      <c r="H375" s="50" t="s">
        <v>902</v>
      </c>
      <c r="I375" s="49" t="s">
        <v>107</v>
      </c>
      <c r="J375" s="50" t="s">
        <v>109</v>
      </c>
      <c r="K375" s="50" t="s">
        <v>109</v>
      </c>
      <c r="L375" s="50" t="s">
        <v>12</v>
      </c>
      <c r="M375" s="50" t="s">
        <v>10</v>
      </c>
      <c r="N375" s="50" t="s">
        <v>11</v>
      </c>
      <c r="O375" s="48" t="s">
        <v>632</v>
      </c>
      <c r="P375" s="45" t="s">
        <v>453</v>
      </c>
      <c r="Q375" s="35" t="str">
        <f>MID(Tabla1[[#This Row],[Aplicación]],14,1)</f>
        <v>2</v>
      </c>
      <c r="R375" s="35" t="s">
        <v>441</v>
      </c>
      <c r="S375" s="35" t="str">
        <f>MID(Tabla1[[#This Row],[Aplicación]],6,2)</f>
        <v>09</v>
      </c>
      <c r="T375" s="35" t="str">
        <f>VLOOKUP(Tabla1[[#This Row],[AREA]],Hoja1!A:B,2,FALSE)</f>
        <v>09. Cultura y turismo</v>
      </c>
      <c r="U375" s="35" t="str">
        <f>MID(Tabla1[[#This Row],[Aplicación]],9,4)</f>
        <v>3341</v>
      </c>
      <c r="V375" s="35" t="str">
        <f>VLOOKUP(Tabla1[[#This Row],[PROGRAMA]],Hoja1!A:B,2,FALSE)</f>
        <v>3341. Coordinación de políticas culturales</v>
      </c>
      <c r="W375" s="35" t="str">
        <f>MID(Tabla1[[#This Row],[Aplicación]],14,2)</f>
        <v>22</v>
      </c>
      <c r="X375" s="35" t="str">
        <f>MID(Tabla1[[#This Row],[Aplicación]],14,6)</f>
        <v>22200</v>
      </c>
    </row>
    <row r="376" spans="1:24" x14ac:dyDescent="0.25">
      <c r="A376" s="49">
        <v>220219000921</v>
      </c>
      <c r="B376" s="50" t="s">
        <v>9</v>
      </c>
      <c r="C376" s="57">
        <v>44562</v>
      </c>
      <c r="D376" s="49">
        <v>22022000117</v>
      </c>
      <c r="E376" s="50" t="s">
        <v>1816</v>
      </c>
      <c r="F376" s="58">
        <v>38000</v>
      </c>
      <c r="G376" s="50" t="s">
        <v>38</v>
      </c>
      <c r="H376" s="50" t="s">
        <v>1817</v>
      </c>
      <c r="I376" s="49" t="s">
        <v>107</v>
      </c>
      <c r="J376" s="50" t="s">
        <v>129</v>
      </c>
      <c r="K376" s="50" t="s">
        <v>170</v>
      </c>
      <c r="L376" s="50" t="s">
        <v>12</v>
      </c>
      <c r="M376" s="50" t="s">
        <v>13</v>
      </c>
      <c r="N376" s="50" t="s">
        <v>14</v>
      </c>
      <c r="O376" s="48" t="s">
        <v>620</v>
      </c>
      <c r="P376" s="45" t="s">
        <v>453</v>
      </c>
      <c r="Q376" s="35" t="str">
        <f>MID(Tabla1[[#This Row],[Aplicación]],14,1)</f>
        <v>2</v>
      </c>
      <c r="R376" s="35" t="s">
        <v>441</v>
      </c>
      <c r="S376" s="35" t="str">
        <f>MID(Tabla1[[#This Row],[Aplicación]],6,2)</f>
        <v>11</v>
      </c>
      <c r="T376" s="35" t="str">
        <f>VLOOKUP(Tabla1[[#This Row],[AREA]],Hoja1!A:B,2,FALSE)</f>
        <v>11. Salud pública y seguridad ciudadana</v>
      </c>
      <c r="U376" s="35" t="str">
        <f>MID(Tabla1[[#This Row],[Aplicación]],9,4)</f>
        <v>1361</v>
      </c>
      <c r="V376" s="35" t="str">
        <f>VLOOKUP(Tabla1[[#This Row],[PROGRAMA]],Hoja1!A:B,2,FALSE)</f>
        <v>1361. Prevención y extinción de incencios</v>
      </c>
      <c r="W376" s="35" t="str">
        <f>MID(Tabla1[[#This Row],[Aplicación]],14,2)</f>
        <v>22</v>
      </c>
      <c r="X376" s="35" t="str">
        <f>MID(Tabla1[[#This Row],[Aplicación]],14,6)</f>
        <v>22100</v>
      </c>
    </row>
    <row r="377" spans="1:24" x14ac:dyDescent="0.25">
      <c r="A377" s="49">
        <v>220219000926</v>
      </c>
      <c r="B377" s="50" t="s">
        <v>9</v>
      </c>
      <c r="C377" s="57">
        <v>44562</v>
      </c>
      <c r="D377" s="49">
        <v>22022000122</v>
      </c>
      <c r="E377" s="50" t="s">
        <v>1818</v>
      </c>
      <c r="F377" s="58">
        <v>38000</v>
      </c>
      <c r="G377" s="50" t="s">
        <v>38</v>
      </c>
      <c r="H377" s="50" t="s">
        <v>1819</v>
      </c>
      <c r="I377" s="49" t="s">
        <v>107</v>
      </c>
      <c r="J377" s="50" t="s">
        <v>129</v>
      </c>
      <c r="K377" s="50" t="s">
        <v>170</v>
      </c>
      <c r="L377" s="50" t="s">
        <v>15</v>
      </c>
      <c r="M377" s="50" t="s">
        <v>13</v>
      </c>
      <c r="N377" s="50" t="s">
        <v>14</v>
      </c>
      <c r="O377" s="48" t="s">
        <v>620</v>
      </c>
      <c r="P377" s="45" t="s">
        <v>453</v>
      </c>
      <c r="Q377" s="35" t="str">
        <f>MID(Tabla1[[#This Row],[Aplicación]],14,1)</f>
        <v>2</v>
      </c>
      <c r="R377" s="35" t="s">
        <v>441</v>
      </c>
      <c r="S377" s="35" t="str">
        <f>MID(Tabla1[[#This Row],[Aplicación]],6,2)</f>
        <v>11</v>
      </c>
      <c r="T377" s="35" t="str">
        <f>VLOOKUP(Tabla1[[#This Row],[AREA]],Hoja1!A:B,2,FALSE)</f>
        <v>11. Salud pública y seguridad ciudadana</v>
      </c>
      <c r="U377" s="35" t="str">
        <f>MID(Tabla1[[#This Row],[Aplicación]],9,4)</f>
        <v>1621</v>
      </c>
      <c r="V377" s="35" t="str">
        <f>VLOOKUP(Tabla1[[#This Row],[PROGRAMA]],Hoja1!A:B,2,FALSE)</f>
        <v>1621. Servicio de limpieza</v>
      </c>
      <c r="W377" s="35" t="str">
        <f>MID(Tabla1[[#This Row],[Aplicación]],14,2)</f>
        <v>22</v>
      </c>
      <c r="X377" s="35" t="str">
        <f>MID(Tabla1[[#This Row],[Aplicación]],14,6)</f>
        <v>22100</v>
      </c>
    </row>
    <row r="378" spans="1:24" x14ac:dyDescent="0.25">
      <c r="A378" s="49">
        <v>220220000067</v>
      </c>
      <c r="B378" s="50" t="s">
        <v>9</v>
      </c>
      <c r="C378" s="57">
        <v>44580</v>
      </c>
      <c r="D378" s="49">
        <v>22022000888</v>
      </c>
      <c r="E378" s="50" t="s">
        <v>1820</v>
      </c>
      <c r="F378" s="58">
        <v>2500</v>
      </c>
      <c r="G378" s="50" t="s">
        <v>260</v>
      </c>
      <c r="H378" s="50" t="s">
        <v>1821</v>
      </c>
      <c r="I378" s="49" t="s">
        <v>107</v>
      </c>
      <c r="J378" s="50" t="s">
        <v>109</v>
      </c>
      <c r="K378" s="50" t="s">
        <v>109</v>
      </c>
      <c r="L378" s="50" t="s">
        <v>12</v>
      </c>
      <c r="M378" s="50" t="s">
        <v>10</v>
      </c>
      <c r="N378" s="50" t="s">
        <v>11</v>
      </c>
      <c r="O378" s="48" t="s">
        <v>632</v>
      </c>
      <c r="P378" s="45" t="s">
        <v>453</v>
      </c>
      <c r="Q378" s="35" t="str">
        <f>MID(Tabla1[[#This Row],[Aplicación]],14,1)</f>
        <v>2</v>
      </c>
      <c r="R378" s="35" t="s">
        <v>441</v>
      </c>
      <c r="S378" s="35" t="str">
        <f>MID(Tabla1[[#This Row],[Aplicación]],6,2)</f>
        <v>11</v>
      </c>
      <c r="T378" s="35" t="str">
        <f>VLOOKUP(Tabla1[[#This Row],[AREA]],Hoja1!A:B,2,FALSE)</f>
        <v>11. Salud pública y seguridad ciudadana</v>
      </c>
      <c r="U378" s="35" t="str">
        <f>MID(Tabla1[[#This Row],[Aplicación]],9,4)</f>
        <v>1631</v>
      </c>
      <c r="V378" s="35" t="str">
        <f>VLOOKUP(Tabla1[[#This Row],[PROGRAMA]],Hoja1!A:B,2,FALSE)</f>
        <v>1631. Limpieza viaria</v>
      </c>
      <c r="W378" s="35" t="str">
        <f>MID(Tabla1[[#This Row],[Aplicación]],14,2)</f>
        <v>20</v>
      </c>
      <c r="X378" s="35" t="str">
        <f>MID(Tabla1[[#This Row],[Aplicación]],14,6)</f>
        <v>204</v>
      </c>
    </row>
    <row r="379" spans="1:24" x14ac:dyDescent="0.25">
      <c r="A379" s="49">
        <v>220210082250</v>
      </c>
      <c r="B379" s="50" t="s">
        <v>9</v>
      </c>
      <c r="C379" s="57">
        <v>44631</v>
      </c>
      <c r="D379" s="49">
        <v>22021006867</v>
      </c>
      <c r="E379" s="50" t="s">
        <v>1593</v>
      </c>
      <c r="F379" s="58">
        <v>125474.6</v>
      </c>
      <c r="G379" s="50" t="s">
        <v>778</v>
      </c>
      <c r="H379" s="50" t="s">
        <v>1187</v>
      </c>
      <c r="I379" s="49" t="s">
        <v>107</v>
      </c>
      <c r="J379" s="50" t="s">
        <v>157</v>
      </c>
      <c r="K379" s="50" t="s">
        <v>157</v>
      </c>
      <c r="L379" s="50" t="s">
        <v>25</v>
      </c>
      <c r="M379" s="50" t="s">
        <v>13</v>
      </c>
      <c r="N379" s="50" t="s">
        <v>14</v>
      </c>
      <c r="O379" s="48" t="s">
        <v>620</v>
      </c>
      <c r="P379" s="45" t="s">
        <v>453</v>
      </c>
      <c r="Q379" s="35" t="str">
        <f>MID(Tabla1[[#This Row],[Aplicación]],14,1)</f>
        <v>6</v>
      </c>
      <c r="R379" s="35" t="s">
        <v>442</v>
      </c>
      <c r="S379" s="35" t="str">
        <f>MID(Tabla1[[#This Row],[Aplicación]],6,2)</f>
        <v>07</v>
      </c>
      <c r="T379" s="35" t="str">
        <f>VLOOKUP(Tabla1[[#This Row],[AREA]],Hoja1!A:B,2,FALSE)</f>
        <v>07. Medio ambiente y desarrollo sostenible</v>
      </c>
      <c r="U379" s="35" t="str">
        <f>MID(Tabla1[[#This Row],[Aplicación]],9,4)</f>
        <v>1711</v>
      </c>
      <c r="V379" s="35" t="str">
        <f>VLOOKUP(Tabla1[[#This Row],[PROGRAMA]],Hoja1!A:B,2,FALSE)</f>
        <v>1711. Parques y jardines</v>
      </c>
      <c r="W379" s="35" t="str">
        <f>MID(Tabla1[[#This Row],[Aplicación]],14,2)</f>
        <v>61</v>
      </c>
      <c r="X379" s="35" t="str">
        <f>MID(Tabla1[[#This Row],[Aplicación]],14,6)</f>
        <v>619</v>
      </c>
    </row>
    <row r="380" spans="1:24" x14ac:dyDescent="0.25">
      <c r="A380" s="49">
        <v>220220003108</v>
      </c>
      <c r="B380" s="50" t="s">
        <v>9</v>
      </c>
      <c r="C380" s="57">
        <v>44601</v>
      </c>
      <c r="D380" s="49">
        <v>22022002024</v>
      </c>
      <c r="E380" s="50" t="s">
        <v>1606</v>
      </c>
      <c r="F380" s="58">
        <v>723.58</v>
      </c>
      <c r="G380" s="50" t="s">
        <v>1200</v>
      </c>
      <c r="H380" s="50" t="s">
        <v>1822</v>
      </c>
      <c r="I380" s="49" t="s">
        <v>107</v>
      </c>
      <c r="J380" s="50" t="s">
        <v>1201</v>
      </c>
      <c r="K380" s="50" t="s">
        <v>118</v>
      </c>
      <c r="L380" s="50" t="s">
        <v>15</v>
      </c>
      <c r="M380" s="50" t="s">
        <v>10</v>
      </c>
      <c r="N380" s="50" t="s">
        <v>11</v>
      </c>
      <c r="O380" s="48" t="s">
        <v>632</v>
      </c>
      <c r="P380" s="45" t="s">
        <v>453</v>
      </c>
      <c r="Q380" s="35" t="str">
        <f>MID(Tabla1[[#This Row],[Aplicación]],14,1)</f>
        <v>2</v>
      </c>
      <c r="R380" s="35" t="s">
        <v>441</v>
      </c>
      <c r="S380" s="35" t="str">
        <f>MID(Tabla1[[#This Row],[Aplicación]],6,2)</f>
        <v>11</v>
      </c>
      <c r="T380" s="35" t="str">
        <f>VLOOKUP(Tabla1[[#This Row],[AREA]],Hoja1!A:B,2,FALSE)</f>
        <v>11. Salud pública y seguridad ciudadana</v>
      </c>
      <c r="U380" s="35" t="str">
        <f>MID(Tabla1[[#This Row],[Aplicación]],9,4)</f>
        <v>1361</v>
      </c>
      <c r="V380" s="35" t="str">
        <f>VLOOKUP(Tabla1[[#This Row],[PROGRAMA]],Hoja1!A:B,2,FALSE)</f>
        <v>1361. Prevención y extinción de incencios</v>
      </c>
      <c r="W380" s="35" t="str">
        <f>MID(Tabla1[[#This Row],[Aplicación]],14,2)</f>
        <v>22</v>
      </c>
      <c r="X380" s="35" t="str">
        <f>MID(Tabla1[[#This Row],[Aplicación]],14,6)</f>
        <v>22199</v>
      </c>
    </row>
    <row r="381" spans="1:24" x14ac:dyDescent="0.25">
      <c r="A381" s="49">
        <v>220219000126</v>
      </c>
      <c r="B381" s="50" t="s">
        <v>9</v>
      </c>
      <c r="C381" s="57">
        <v>44562</v>
      </c>
      <c r="D381" s="49">
        <v>22022000037</v>
      </c>
      <c r="E381" s="50" t="s">
        <v>1417</v>
      </c>
      <c r="F381" s="58">
        <v>125000</v>
      </c>
      <c r="G381" s="50" t="s">
        <v>925</v>
      </c>
      <c r="H381" s="50" t="s">
        <v>926</v>
      </c>
      <c r="I381" s="49" t="s">
        <v>107</v>
      </c>
      <c r="J381" s="50" t="s">
        <v>108</v>
      </c>
      <c r="K381" s="50" t="s">
        <v>108</v>
      </c>
      <c r="L381" s="50" t="s">
        <v>12</v>
      </c>
      <c r="M381" s="50" t="s">
        <v>13</v>
      </c>
      <c r="N381" s="50" t="s">
        <v>14</v>
      </c>
      <c r="O381" s="48" t="s">
        <v>620</v>
      </c>
      <c r="P381" s="45" t="s">
        <v>453</v>
      </c>
      <c r="Q381" s="35" t="str">
        <f>MID(Tabla1[[#This Row],[Aplicación]],14,1)</f>
        <v>2</v>
      </c>
      <c r="R381" s="35" t="s">
        <v>441</v>
      </c>
      <c r="S381" s="35" t="str">
        <f>MID(Tabla1[[#This Row],[Aplicación]],6,2)</f>
        <v>11</v>
      </c>
      <c r="T381" s="35" t="str">
        <f>VLOOKUP(Tabla1[[#This Row],[AREA]],Hoja1!A:B,2,FALSE)</f>
        <v>11. Salud pública y seguridad ciudadana</v>
      </c>
      <c r="U381" s="35" t="str">
        <f>MID(Tabla1[[#This Row],[Aplicación]],9,4)</f>
        <v>1621</v>
      </c>
      <c r="V381" s="35" t="str">
        <f>VLOOKUP(Tabla1[[#This Row],[PROGRAMA]],Hoja1!A:B,2,FALSE)</f>
        <v>1621. Servicio de limpieza</v>
      </c>
      <c r="W381" s="35" t="str">
        <f>MID(Tabla1[[#This Row],[Aplicación]],14,2)</f>
        <v>22</v>
      </c>
      <c r="X381" s="35" t="str">
        <f>MID(Tabla1[[#This Row],[Aplicación]],14,6)</f>
        <v>22700</v>
      </c>
    </row>
    <row r="382" spans="1:24" x14ac:dyDescent="0.25">
      <c r="A382" s="49">
        <v>220220013419</v>
      </c>
      <c r="B382" s="50" t="s">
        <v>9</v>
      </c>
      <c r="C382" s="57">
        <v>44651</v>
      </c>
      <c r="D382" s="49">
        <v>22022002550</v>
      </c>
      <c r="E382" s="50" t="s">
        <v>1381</v>
      </c>
      <c r="F382" s="58">
        <v>5404.62</v>
      </c>
      <c r="G382" s="50" t="s">
        <v>589</v>
      </c>
      <c r="H382" s="50" t="s">
        <v>1823</v>
      </c>
      <c r="I382" s="49" t="s">
        <v>107</v>
      </c>
      <c r="J382" s="50" t="s">
        <v>109</v>
      </c>
      <c r="K382" s="50" t="s">
        <v>109</v>
      </c>
      <c r="L382" s="50" t="s">
        <v>12</v>
      </c>
      <c r="M382" s="50" t="s">
        <v>13</v>
      </c>
      <c r="N382" s="50" t="s">
        <v>14</v>
      </c>
      <c r="O382" s="48" t="s">
        <v>620</v>
      </c>
      <c r="P382" s="45" t="s">
        <v>453</v>
      </c>
      <c r="Q382" s="35" t="str">
        <f>MID(Tabla1[[#This Row],[Aplicación]],14,1)</f>
        <v>6</v>
      </c>
      <c r="R382" s="35" t="s">
        <v>442</v>
      </c>
      <c r="S382" s="35" t="str">
        <f>MID(Tabla1[[#This Row],[Aplicación]],6,2)</f>
        <v>08</v>
      </c>
      <c r="T382" s="35" t="str">
        <f>VLOOKUP(Tabla1[[#This Row],[AREA]],Hoja1!A:B,2,FALSE)</f>
        <v>08. Movilidad y espacio urbano</v>
      </c>
      <c r="U382" s="35" t="str">
        <f>MID(Tabla1[[#This Row],[Aplicación]],9,4)</f>
        <v>1532</v>
      </c>
      <c r="V382" s="35" t="str">
        <f>VLOOKUP(Tabla1[[#This Row],[PROGRAMA]],Hoja1!A:B,2,FALSE)</f>
        <v>1532. Pavimentación vias públicas y otros servicios urbanísticos</v>
      </c>
      <c r="W382" s="35" t="str">
        <f>MID(Tabla1[[#This Row],[Aplicación]],14,2)</f>
        <v>62</v>
      </c>
      <c r="X382" s="35" t="str">
        <f>MID(Tabla1[[#This Row],[Aplicación]],14,6)</f>
        <v>622</v>
      </c>
    </row>
    <row r="383" spans="1:24" x14ac:dyDescent="0.25">
      <c r="A383" s="49">
        <v>220210081395</v>
      </c>
      <c r="B383" s="50" t="s">
        <v>9</v>
      </c>
      <c r="C383" s="57">
        <v>44620</v>
      </c>
      <c r="D383" s="49">
        <v>22021007258</v>
      </c>
      <c r="E383" s="50" t="s">
        <v>1410</v>
      </c>
      <c r="F383" s="58">
        <v>3649.85</v>
      </c>
      <c r="G383" s="50" t="s">
        <v>589</v>
      </c>
      <c r="H383" s="50" t="s">
        <v>1328</v>
      </c>
      <c r="I383" s="49" t="s">
        <v>107</v>
      </c>
      <c r="J383" s="50" t="s">
        <v>109</v>
      </c>
      <c r="K383" s="50" t="s">
        <v>109</v>
      </c>
      <c r="L383" s="50" t="s">
        <v>12</v>
      </c>
      <c r="M383" s="50" t="s">
        <v>13</v>
      </c>
      <c r="N383" s="50" t="s">
        <v>14</v>
      </c>
      <c r="O383" s="48" t="s">
        <v>620</v>
      </c>
      <c r="P383" s="45" t="s">
        <v>453</v>
      </c>
      <c r="Q383" s="35" t="str">
        <f>MID(Tabla1[[#This Row],[Aplicación]],14,1)</f>
        <v>6</v>
      </c>
      <c r="R383" s="35" t="s">
        <v>442</v>
      </c>
      <c r="S383" s="35" t="str">
        <f>MID(Tabla1[[#This Row],[Aplicación]],6,2)</f>
        <v>03</v>
      </c>
      <c r="T383" s="35" t="str">
        <f>VLOOKUP(Tabla1[[#This Row],[AREA]],Hoja1!A:B,2,FALSE)</f>
        <v>03. Participación ciudadana y deportes</v>
      </c>
      <c r="U383" s="35" t="str">
        <f>MID(Tabla1[[#This Row],[Aplicación]],9,4)</f>
        <v>9241</v>
      </c>
      <c r="V383" s="35" t="str">
        <f>VLOOKUP(Tabla1[[#This Row],[PROGRAMA]],Hoja1!A:B,2,FALSE)</f>
        <v>9241. Participación ciudadana</v>
      </c>
      <c r="W383" s="35" t="str">
        <f>MID(Tabla1[[#This Row],[Aplicación]],14,2)</f>
        <v>63</v>
      </c>
      <c r="X383" s="35" t="str">
        <f>MID(Tabla1[[#This Row],[Aplicación]],14,6)</f>
        <v>632</v>
      </c>
    </row>
    <row r="384" spans="1:24" x14ac:dyDescent="0.25">
      <c r="A384" s="49">
        <v>220219000901</v>
      </c>
      <c r="B384" s="50" t="s">
        <v>9</v>
      </c>
      <c r="C384" s="57">
        <v>44562</v>
      </c>
      <c r="D384" s="49">
        <v>22022002156</v>
      </c>
      <c r="E384" s="50" t="s">
        <v>1395</v>
      </c>
      <c r="F384" s="58">
        <v>3106.85</v>
      </c>
      <c r="G384" s="50" t="s">
        <v>589</v>
      </c>
      <c r="H384" s="50" t="s">
        <v>1824</v>
      </c>
      <c r="I384" s="49" t="s">
        <v>107</v>
      </c>
      <c r="J384" s="50" t="s">
        <v>109</v>
      </c>
      <c r="K384" s="50" t="s">
        <v>109</v>
      </c>
      <c r="L384" s="50" t="s">
        <v>12</v>
      </c>
      <c r="M384" s="50" t="s">
        <v>13</v>
      </c>
      <c r="N384" s="50" t="s">
        <v>14</v>
      </c>
      <c r="O384" s="48" t="s">
        <v>620</v>
      </c>
      <c r="P384" s="45" t="s">
        <v>453</v>
      </c>
      <c r="Q384" s="35" t="str">
        <f>MID(Tabla1[[#This Row],[Aplicación]],14,1)</f>
        <v>6</v>
      </c>
      <c r="R384" s="35" t="s">
        <v>442</v>
      </c>
      <c r="S384" s="35" t="str">
        <f>MID(Tabla1[[#This Row],[Aplicación]],6,2)</f>
        <v>06</v>
      </c>
      <c r="T384" s="35" t="str">
        <f>VLOOKUP(Tabla1[[#This Row],[AREA]],Hoja1!A:B,2,FALSE)</f>
        <v>06. Educación, infancia, juventud e igualdad</v>
      </c>
      <c r="U384" s="35" t="str">
        <f>MID(Tabla1[[#This Row],[Aplicación]],9,4)</f>
        <v>3231</v>
      </c>
      <c r="V384" s="35" t="str">
        <f>VLOOKUP(Tabla1[[#This Row],[PROGRAMA]],Hoja1!A:B,2,FALSE)</f>
        <v>3231. Escuelas infantiles</v>
      </c>
      <c r="W384" s="35" t="str">
        <f>MID(Tabla1[[#This Row],[Aplicación]],14,2)</f>
        <v>62</v>
      </c>
      <c r="X384" s="35" t="str">
        <f>MID(Tabla1[[#This Row],[Aplicación]],14,6)</f>
        <v>622</v>
      </c>
    </row>
    <row r="385" spans="1:24" x14ac:dyDescent="0.25">
      <c r="A385" s="49">
        <v>220220012871</v>
      </c>
      <c r="B385" s="50" t="s">
        <v>9</v>
      </c>
      <c r="C385" s="57">
        <v>44645</v>
      </c>
      <c r="D385" s="49">
        <v>22022002070</v>
      </c>
      <c r="E385" s="50" t="s">
        <v>1676</v>
      </c>
      <c r="F385" s="58">
        <v>47261.43</v>
      </c>
      <c r="G385" s="50" t="s">
        <v>190</v>
      </c>
      <c r="H385" s="50" t="s">
        <v>1825</v>
      </c>
      <c r="I385" s="49" t="s">
        <v>107</v>
      </c>
      <c r="J385" s="50" t="s">
        <v>549</v>
      </c>
      <c r="K385" s="50" t="s">
        <v>118</v>
      </c>
      <c r="L385" s="50" t="s">
        <v>12</v>
      </c>
      <c r="M385" s="50" t="s">
        <v>23</v>
      </c>
      <c r="N385" s="50" t="s">
        <v>11</v>
      </c>
      <c r="O385" s="48" t="s">
        <v>622</v>
      </c>
      <c r="P385" s="45" t="s">
        <v>453</v>
      </c>
      <c r="Q385" s="35" t="str">
        <f>MID(Tabla1[[#This Row],[Aplicación]],14,1)</f>
        <v>6</v>
      </c>
      <c r="R385" s="35" t="s">
        <v>442</v>
      </c>
      <c r="S385" s="35" t="str">
        <f>MID(Tabla1[[#This Row],[Aplicación]],6,2)</f>
        <v>04</v>
      </c>
      <c r="T385" s="35" t="str">
        <f>VLOOKUP(Tabla1[[#This Row],[AREA]],Hoja1!A:B,2,FALSE)</f>
        <v>04. Planificación y recursos</v>
      </c>
      <c r="U385" s="35" t="str">
        <f>MID(Tabla1[[#This Row],[Aplicación]],9,4)</f>
        <v>9204</v>
      </c>
      <c r="V385" s="35" t="str">
        <f>VLOOKUP(Tabla1[[#This Row],[PROGRAMA]],Hoja1!A:B,2,FALSE)</f>
        <v>9204. Tecnologías de la información y comunicación</v>
      </c>
      <c r="W385" s="35" t="str">
        <f>MID(Tabla1[[#This Row],[Aplicación]],14,2)</f>
        <v>64</v>
      </c>
      <c r="X385" s="35" t="str">
        <f>MID(Tabla1[[#This Row],[Aplicación]],14,6)</f>
        <v>641</v>
      </c>
    </row>
    <row r="386" spans="1:24" x14ac:dyDescent="0.25">
      <c r="A386" s="49">
        <v>220209000849</v>
      </c>
      <c r="B386" s="50" t="s">
        <v>9</v>
      </c>
      <c r="C386" s="57">
        <v>44562</v>
      </c>
      <c r="D386" s="49">
        <v>22022002021</v>
      </c>
      <c r="E386" s="50" t="s">
        <v>1826</v>
      </c>
      <c r="F386" s="58">
        <v>40344.65</v>
      </c>
      <c r="G386" s="50" t="s">
        <v>500</v>
      </c>
      <c r="H386" s="50" t="s">
        <v>835</v>
      </c>
      <c r="I386" s="49" t="s">
        <v>107</v>
      </c>
      <c r="J386" s="50" t="s">
        <v>128</v>
      </c>
      <c r="K386" s="50" t="s">
        <v>128</v>
      </c>
      <c r="L386" s="50" t="s">
        <v>12</v>
      </c>
      <c r="M386" s="50" t="s">
        <v>23</v>
      </c>
      <c r="N386" s="50" t="s">
        <v>11</v>
      </c>
      <c r="O386" s="48" t="s">
        <v>622</v>
      </c>
      <c r="P386" s="45" t="s">
        <v>453</v>
      </c>
      <c r="Q386" s="35" t="str">
        <f>MID(Tabla1[[#This Row],[Aplicación]],14,1)</f>
        <v>6</v>
      </c>
      <c r="R386" s="35" t="s">
        <v>442</v>
      </c>
      <c r="S386" s="35" t="str">
        <f>MID(Tabla1[[#This Row],[Aplicación]],6,2)</f>
        <v>04</v>
      </c>
      <c r="T386" s="35" t="str">
        <f>VLOOKUP(Tabla1[[#This Row],[AREA]],Hoja1!A:B,2,FALSE)</f>
        <v>04. Planificación y recursos</v>
      </c>
      <c r="U386" s="35" t="str">
        <f>MID(Tabla1[[#This Row],[Aplicación]],9,4)</f>
        <v>9321</v>
      </c>
      <c r="V386" s="35" t="str">
        <f>VLOOKUP(Tabla1[[#This Row],[PROGRAMA]],Hoja1!A:B,2,FALSE)</f>
        <v>9321. Gestión de ingresos e inspección</v>
      </c>
      <c r="W386" s="35" t="str">
        <f>MID(Tabla1[[#This Row],[Aplicación]],14,2)</f>
        <v>64</v>
      </c>
      <c r="X386" s="35" t="str">
        <f>MID(Tabla1[[#This Row],[Aplicación]],14,6)</f>
        <v>641</v>
      </c>
    </row>
    <row r="387" spans="1:24" x14ac:dyDescent="0.25">
      <c r="A387" s="49">
        <v>220210028594</v>
      </c>
      <c r="B387" s="50" t="s">
        <v>9</v>
      </c>
      <c r="C387" s="57">
        <v>44620</v>
      </c>
      <c r="D387" s="49">
        <v>22021001304</v>
      </c>
      <c r="E387" s="50" t="s">
        <v>1399</v>
      </c>
      <c r="F387" s="58">
        <v>2508.34</v>
      </c>
      <c r="G387" s="50" t="s">
        <v>589</v>
      </c>
      <c r="H387" s="50" t="s">
        <v>917</v>
      </c>
      <c r="I387" s="49" t="s">
        <v>107</v>
      </c>
      <c r="J387" s="50" t="s">
        <v>109</v>
      </c>
      <c r="K387" s="50" t="s">
        <v>109</v>
      </c>
      <c r="L387" s="50" t="s">
        <v>12</v>
      </c>
      <c r="M387" s="50" t="s">
        <v>13</v>
      </c>
      <c r="N387" s="50" t="s">
        <v>14</v>
      </c>
      <c r="O387" s="48" t="s">
        <v>620</v>
      </c>
      <c r="P387" s="45" t="s">
        <v>453</v>
      </c>
      <c r="Q387" s="35" t="str">
        <f>MID(Tabla1[[#This Row],[Aplicación]],14,1)</f>
        <v>6</v>
      </c>
      <c r="R387" s="35" t="s">
        <v>442</v>
      </c>
      <c r="S387" s="35" t="str">
        <f>MID(Tabla1[[#This Row],[Aplicación]],6,2)</f>
        <v>02</v>
      </c>
      <c r="T387" s="35" t="str">
        <f>VLOOKUP(Tabla1[[#This Row],[AREA]],Hoja1!A:B,2,FALSE)</f>
        <v>02. Planeamiento urbanístico y vivienda</v>
      </c>
      <c r="U387" s="35" t="str">
        <f>MID(Tabla1[[#This Row],[Aplicación]],9,4)</f>
        <v>1511</v>
      </c>
      <c r="V387" s="35" t="str">
        <f>VLOOKUP(Tabla1[[#This Row],[PROGRAMA]],Hoja1!A:B,2,FALSE)</f>
        <v>1511. Planficación y gestión del urbanismo</v>
      </c>
      <c r="W387" s="35" t="str">
        <f>MID(Tabla1[[#This Row],[Aplicación]],14,2)</f>
        <v>60</v>
      </c>
      <c r="X387" s="35" t="str">
        <f>MID(Tabla1[[#This Row],[Aplicación]],14,6)</f>
        <v>609</v>
      </c>
    </row>
    <row r="388" spans="1:24" x14ac:dyDescent="0.25">
      <c r="A388" s="49">
        <v>220219000151</v>
      </c>
      <c r="B388" s="50" t="s">
        <v>9</v>
      </c>
      <c r="C388" s="57">
        <v>44562</v>
      </c>
      <c r="D388" s="49">
        <v>22022002183</v>
      </c>
      <c r="E388" s="50" t="s">
        <v>1676</v>
      </c>
      <c r="F388" s="58">
        <v>29407.11</v>
      </c>
      <c r="G388" s="50" t="s">
        <v>190</v>
      </c>
      <c r="H388" s="50" t="s">
        <v>927</v>
      </c>
      <c r="I388" s="49" t="s">
        <v>107</v>
      </c>
      <c r="J388" s="50" t="s">
        <v>549</v>
      </c>
      <c r="K388" s="50" t="s">
        <v>118</v>
      </c>
      <c r="L388" s="50" t="s">
        <v>12</v>
      </c>
      <c r="M388" s="50" t="s">
        <v>23</v>
      </c>
      <c r="N388" s="50" t="s">
        <v>11</v>
      </c>
      <c r="O388" s="48" t="s">
        <v>622</v>
      </c>
      <c r="P388" s="45" t="s">
        <v>453</v>
      </c>
      <c r="Q388" s="35" t="str">
        <f>MID(Tabla1[[#This Row],[Aplicación]],14,1)</f>
        <v>6</v>
      </c>
      <c r="R388" s="35" t="s">
        <v>442</v>
      </c>
      <c r="S388" s="35" t="str">
        <f>MID(Tabla1[[#This Row],[Aplicación]],6,2)</f>
        <v>04</v>
      </c>
      <c r="T388" s="35" t="str">
        <f>VLOOKUP(Tabla1[[#This Row],[AREA]],Hoja1!A:B,2,FALSE)</f>
        <v>04. Planificación y recursos</v>
      </c>
      <c r="U388" s="35" t="str">
        <f>MID(Tabla1[[#This Row],[Aplicación]],9,4)</f>
        <v>9204</v>
      </c>
      <c r="V388" s="35" t="str">
        <f>VLOOKUP(Tabla1[[#This Row],[PROGRAMA]],Hoja1!A:B,2,FALSE)</f>
        <v>9204. Tecnologías de la información y comunicación</v>
      </c>
      <c r="W388" s="35" t="str">
        <f>MID(Tabla1[[#This Row],[Aplicación]],14,2)</f>
        <v>64</v>
      </c>
      <c r="X388" s="35" t="str">
        <f>MID(Tabla1[[#This Row],[Aplicación]],14,6)</f>
        <v>641</v>
      </c>
    </row>
    <row r="389" spans="1:24" x14ac:dyDescent="0.25">
      <c r="A389" s="49">
        <v>220219001216</v>
      </c>
      <c r="B389" s="50" t="s">
        <v>9</v>
      </c>
      <c r="C389" s="57">
        <v>44562</v>
      </c>
      <c r="D389" s="49">
        <v>22022001489</v>
      </c>
      <c r="E389" s="50" t="s">
        <v>1827</v>
      </c>
      <c r="F389" s="58">
        <v>23818.41</v>
      </c>
      <c r="G389" s="50" t="s">
        <v>1284</v>
      </c>
      <c r="H389" s="50" t="s">
        <v>1828</v>
      </c>
      <c r="I389" s="49" t="s">
        <v>107</v>
      </c>
      <c r="J389" s="50" t="s">
        <v>1285</v>
      </c>
      <c r="K389" s="50" t="s">
        <v>108</v>
      </c>
      <c r="L389" s="50" t="s">
        <v>12</v>
      </c>
      <c r="M389" s="50" t="s">
        <v>23</v>
      </c>
      <c r="N389" s="50" t="s">
        <v>11</v>
      </c>
      <c r="O389" s="48" t="s">
        <v>622</v>
      </c>
      <c r="P389" s="45" t="s">
        <v>453</v>
      </c>
      <c r="Q389" s="35" t="str">
        <f>MID(Tabla1[[#This Row],[Aplicación]],14,1)</f>
        <v>2</v>
      </c>
      <c r="R389" s="35" t="s">
        <v>441</v>
      </c>
      <c r="S389" s="35" t="str">
        <f>MID(Tabla1[[#This Row],[Aplicación]],6,2)</f>
        <v>11</v>
      </c>
      <c r="T389" s="35" t="str">
        <f>VLOOKUP(Tabla1[[#This Row],[AREA]],Hoja1!A:B,2,FALSE)</f>
        <v>11. Salud pública y seguridad ciudadana</v>
      </c>
      <c r="U389" s="35" t="str">
        <f>MID(Tabla1[[#This Row],[Aplicación]],9,4)</f>
        <v>1361</v>
      </c>
      <c r="V389" s="35" t="str">
        <f>VLOOKUP(Tabla1[[#This Row],[PROGRAMA]],Hoja1!A:B,2,FALSE)</f>
        <v>1361. Prevención y extinción de incencios</v>
      </c>
      <c r="W389" s="35" t="str">
        <f>MID(Tabla1[[#This Row],[Aplicación]],14,2)</f>
        <v>21</v>
      </c>
      <c r="X389" s="35" t="str">
        <f>MID(Tabla1[[#This Row],[Aplicación]],14,6)</f>
        <v>214</v>
      </c>
    </row>
    <row r="390" spans="1:24" x14ac:dyDescent="0.25">
      <c r="A390" s="49">
        <v>220220003525</v>
      </c>
      <c r="B390" s="50" t="s">
        <v>9</v>
      </c>
      <c r="C390" s="57">
        <v>44606</v>
      </c>
      <c r="D390" s="49">
        <v>22022001763</v>
      </c>
      <c r="E390" s="50" t="s">
        <v>1829</v>
      </c>
      <c r="F390" s="58">
        <v>18000</v>
      </c>
      <c r="G390" s="50" t="s">
        <v>671</v>
      </c>
      <c r="H390" s="50" t="s">
        <v>1830</v>
      </c>
      <c r="I390" s="49" t="s">
        <v>107</v>
      </c>
      <c r="J390" s="50" t="s">
        <v>109</v>
      </c>
      <c r="K390" s="50" t="s">
        <v>109</v>
      </c>
      <c r="L390" s="50" t="s">
        <v>15</v>
      </c>
      <c r="M390" s="50" t="s">
        <v>10</v>
      </c>
      <c r="N390" s="50" t="s">
        <v>11</v>
      </c>
      <c r="O390" s="48" t="s">
        <v>632</v>
      </c>
      <c r="P390" s="45" t="s">
        <v>453</v>
      </c>
      <c r="Q390" s="35" t="str">
        <f>MID(Tabla1[[#This Row],[Aplicación]],14,1)</f>
        <v>2</v>
      </c>
      <c r="R390" s="35" t="s">
        <v>441</v>
      </c>
      <c r="S390" s="35" t="str">
        <f>MID(Tabla1[[#This Row],[Aplicación]],6,2)</f>
        <v>04</v>
      </c>
      <c r="T390" s="35" t="str">
        <f>VLOOKUP(Tabla1[[#This Row],[AREA]],Hoja1!A:B,2,FALSE)</f>
        <v>04. Planificación y recursos</v>
      </c>
      <c r="U390" s="35" t="str">
        <f>MID(Tabla1[[#This Row],[Aplicación]],9,4)</f>
        <v>3121</v>
      </c>
      <c r="V390" s="35" t="str">
        <f>VLOOKUP(Tabla1[[#This Row],[PROGRAMA]],Hoja1!A:B,2,FALSE)</f>
        <v>3121. Prevención y salud laboral</v>
      </c>
      <c r="W390" s="35" t="str">
        <f>MID(Tabla1[[#This Row],[Aplicación]],14,2)</f>
        <v>22</v>
      </c>
      <c r="X390" s="35" t="str">
        <f>MID(Tabla1[[#This Row],[Aplicación]],14,6)</f>
        <v>22106</v>
      </c>
    </row>
    <row r="391" spans="1:24" x14ac:dyDescent="0.25">
      <c r="A391" s="49">
        <v>220210043781</v>
      </c>
      <c r="B391" s="50" t="s">
        <v>9</v>
      </c>
      <c r="C391" s="57">
        <v>44631</v>
      </c>
      <c r="D391" s="49">
        <v>22021002556</v>
      </c>
      <c r="E391" s="50" t="s">
        <v>1713</v>
      </c>
      <c r="F391" s="58">
        <v>754.66</v>
      </c>
      <c r="G391" s="50" t="s">
        <v>589</v>
      </c>
      <c r="H391" s="50" t="s">
        <v>1041</v>
      </c>
      <c r="I391" s="49" t="s">
        <v>107</v>
      </c>
      <c r="J391" s="50" t="s">
        <v>109</v>
      </c>
      <c r="K391" s="50" t="s">
        <v>109</v>
      </c>
      <c r="L391" s="50" t="s">
        <v>12</v>
      </c>
      <c r="M391" s="50" t="s">
        <v>13</v>
      </c>
      <c r="N391" s="50" t="s">
        <v>14</v>
      </c>
      <c r="O391" s="48" t="s">
        <v>620</v>
      </c>
      <c r="P391" s="45" t="s">
        <v>453</v>
      </c>
      <c r="Q391" s="35" t="str">
        <f>MID(Tabla1[[#This Row],[Aplicación]],14,1)</f>
        <v>6</v>
      </c>
      <c r="R391" s="35" t="s">
        <v>442</v>
      </c>
      <c r="S391" s="35" t="str">
        <f>MID(Tabla1[[#This Row],[Aplicación]],6,2)</f>
        <v>11</v>
      </c>
      <c r="T391" s="35" t="str">
        <f>VLOOKUP(Tabla1[[#This Row],[AREA]],Hoja1!A:B,2,FALSE)</f>
        <v>11. Salud pública y seguridad ciudadana</v>
      </c>
      <c r="U391" s="35" t="str">
        <f>MID(Tabla1[[#This Row],[Aplicación]],9,4)</f>
        <v>3111</v>
      </c>
      <c r="V391" s="35" t="str">
        <f>VLOOKUP(Tabla1[[#This Row],[PROGRAMA]],Hoja1!A:B,2,FALSE)</f>
        <v>3111. Protección de la salubridad pública</v>
      </c>
      <c r="W391" s="35" t="str">
        <f>MID(Tabla1[[#This Row],[Aplicación]],14,2)</f>
        <v>63</v>
      </c>
      <c r="X391" s="35" t="str">
        <f>MID(Tabla1[[#This Row],[Aplicación]],14,6)</f>
        <v>632</v>
      </c>
    </row>
    <row r="392" spans="1:24" x14ac:dyDescent="0.25">
      <c r="A392" s="49">
        <v>220219000700</v>
      </c>
      <c r="B392" s="50" t="s">
        <v>9</v>
      </c>
      <c r="C392" s="57">
        <v>44562</v>
      </c>
      <c r="D392" s="49">
        <v>22022002005</v>
      </c>
      <c r="E392" s="50" t="s">
        <v>1652</v>
      </c>
      <c r="F392" s="58">
        <v>640.66999999999996</v>
      </c>
      <c r="G392" s="50" t="s">
        <v>589</v>
      </c>
      <c r="H392" s="50" t="s">
        <v>1831</v>
      </c>
      <c r="I392" s="49" t="s">
        <v>107</v>
      </c>
      <c r="J392" s="50" t="s">
        <v>109</v>
      </c>
      <c r="K392" s="50" t="s">
        <v>109</v>
      </c>
      <c r="L392" s="50" t="s">
        <v>12</v>
      </c>
      <c r="M392" s="50" t="s">
        <v>13</v>
      </c>
      <c r="N392" s="50" t="s">
        <v>14</v>
      </c>
      <c r="O392" s="48" t="s">
        <v>620</v>
      </c>
      <c r="P392" s="45" t="s">
        <v>453</v>
      </c>
      <c r="Q392" s="35" t="str">
        <f>MID(Tabla1[[#This Row],[Aplicación]],14,1)</f>
        <v>6</v>
      </c>
      <c r="R392" s="35" t="s">
        <v>442</v>
      </c>
      <c r="S392" s="35" t="str">
        <f>MID(Tabla1[[#This Row],[Aplicación]],6,2)</f>
        <v>09</v>
      </c>
      <c r="T392" s="35" t="str">
        <f>VLOOKUP(Tabla1[[#This Row],[AREA]],Hoja1!A:B,2,FALSE)</f>
        <v>09. Cultura y turismo</v>
      </c>
      <c r="U392" s="35" t="str">
        <f>MID(Tabla1[[#This Row],[Aplicación]],9,4)</f>
        <v>3341</v>
      </c>
      <c r="V392" s="35" t="str">
        <f>VLOOKUP(Tabla1[[#This Row],[PROGRAMA]],Hoja1!A:B,2,FALSE)</f>
        <v>3341. Coordinación de políticas culturales</v>
      </c>
      <c r="W392" s="35" t="str">
        <f>MID(Tabla1[[#This Row],[Aplicación]],14,2)</f>
        <v>63</v>
      </c>
      <c r="X392" s="35" t="str">
        <f>MID(Tabla1[[#This Row],[Aplicación]],14,6)</f>
        <v>632</v>
      </c>
    </row>
    <row r="393" spans="1:24" x14ac:dyDescent="0.25">
      <c r="A393" s="49">
        <v>220220003442</v>
      </c>
      <c r="B393" s="50" t="s">
        <v>9</v>
      </c>
      <c r="C393" s="57">
        <v>44603</v>
      </c>
      <c r="D393" s="49">
        <v>22022002064</v>
      </c>
      <c r="E393" s="50" t="s">
        <v>1832</v>
      </c>
      <c r="F393" s="58">
        <v>267.41000000000003</v>
      </c>
      <c r="G393" s="50" t="s">
        <v>1833</v>
      </c>
      <c r="H393" s="50" t="s">
        <v>1834</v>
      </c>
      <c r="I393" s="49" t="s">
        <v>107</v>
      </c>
      <c r="J393" s="50" t="s">
        <v>109</v>
      </c>
      <c r="K393" s="50" t="s">
        <v>109</v>
      </c>
      <c r="L393" s="50" t="s">
        <v>15</v>
      </c>
      <c r="M393" s="50" t="s">
        <v>10</v>
      </c>
      <c r="N393" s="50" t="s">
        <v>11</v>
      </c>
      <c r="O393" s="48" t="s">
        <v>632</v>
      </c>
      <c r="P393" s="45" t="s">
        <v>453</v>
      </c>
      <c r="Q393" s="35" t="str">
        <f>MID(Tabla1[[#This Row],[Aplicación]],14,1)</f>
        <v>2</v>
      </c>
      <c r="R393" s="35" t="s">
        <v>441</v>
      </c>
      <c r="S393" s="35" t="str">
        <f>MID(Tabla1[[#This Row],[Aplicación]],6,2)</f>
        <v>03</v>
      </c>
      <c r="T393" s="35" t="str">
        <f>VLOOKUP(Tabla1[[#This Row],[AREA]],Hoja1!A:B,2,FALSE)</f>
        <v>03. Participación ciudadana y deportes</v>
      </c>
      <c r="U393" s="35" t="str">
        <f>MID(Tabla1[[#This Row],[Aplicación]],9,4)</f>
        <v>9241</v>
      </c>
      <c r="V393" s="35" t="str">
        <f>VLOOKUP(Tabla1[[#This Row],[PROGRAMA]],Hoja1!A:B,2,FALSE)</f>
        <v>9241. Participación ciudadana</v>
      </c>
      <c r="W393" s="35" t="str">
        <f>MID(Tabla1[[#This Row],[Aplicación]],14,2)</f>
        <v>22</v>
      </c>
      <c r="X393" s="35" t="str">
        <f>MID(Tabla1[[#This Row],[Aplicación]],14,6)</f>
        <v>22199</v>
      </c>
    </row>
    <row r="394" spans="1:24" x14ac:dyDescent="0.25">
      <c r="A394" s="49">
        <v>220219000178</v>
      </c>
      <c r="B394" s="50" t="s">
        <v>9</v>
      </c>
      <c r="C394" s="57">
        <v>44562</v>
      </c>
      <c r="D394" s="49">
        <v>22022000387</v>
      </c>
      <c r="E394" s="50" t="s">
        <v>1510</v>
      </c>
      <c r="F394" s="58">
        <v>131</v>
      </c>
      <c r="G394" s="50" t="s">
        <v>58</v>
      </c>
      <c r="H394" s="50" t="s">
        <v>1835</v>
      </c>
      <c r="I394" s="49" t="s">
        <v>107</v>
      </c>
      <c r="J394" s="50" t="s">
        <v>109</v>
      </c>
      <c r="K394" s="50" t="s">
        <v>109</v>
      </c>
      <c r="L394" s="50" t="s">
        <v>12</v>
      </c>
      <c r="M394" s="50" t="s">
        <v>13</v>
      </c>
      <c r="N394" s="50" t="s">
        <v>14</v>
      </c>
      <c r="O394" s="48" t="s">
        <v>620</v>
      </c>
      <c r="P394" s="45" t="s">
        <v>453</v>
      </c>
      <c r="Q394" s="35" t="str">
        <f>MID(Tabla1[[#This Row],[Aplicación]],14,1)</f>
        <v>2</v>
      </c>
      <c r="R394" s="35" t="s">
        <v>441</v>
      </c>
      <c r="S394" s="35" t="str">
        <f>MID(Tabla1[[#This Row],[Aplicación]],6,2)</f>
        <v>01</v>
      </c>
      <c r="T394" s="35" t="str">
        <f>VLOOKUP(Tabla1[[#This Row],[AREA]],Hoja1!A:B,2,FALSE)</f>
        <v>01. Alcaldía</v>
      </c>
      <c r="U394" s="35" t="str">
        <f>MID(Tabla1[[#This Row],[Aplicación]],9,4)</f>
        <v>9207</v>
      </c>
      <c r="V394" s="35" t="str">
        <f>VLOOKUP(Tabla1[[#This Row],[PROGRAMA]],Hoja1!A:B,2,FALSE)</f>
        <v>9207. Gobierno y relaciones</v>
      </c>
      <c r="W394" s="35" t="str">
        <f>MID(Tabla1[[#This Row],[Aplicación]],14,2)</f>
        <v>21</v>
      </c>
      <c r="X394" s="35" t="str">
        <f>MID(Tabla1[[#This Row],[Aplicación]],14,6)</f>
        <v>213</v>
      </c>
    </row>
    <row r="395" spans="1:24" x14ac:dyDescent="0.25">
      <c r="A395" s="49">
        <v>220220010306</v>
      </c>
      <c r="B395" s="50" t="s">
        <v>9</v>
      </c>
      <c r="C395" s="57">
        <v>44641</v>
      </c>
      <c r="D395" s="49">
        <v>22022002749</v>
      </c>
      <c r="E395" s="50" t="s">
        <v>1836</v>
      </c>
      <c r="F395" s="58">
        <v>4819.67</v>
      </c>
      <c r="G395" s="50" t="s">
        <v>251</v>
      </c>
      <c r="H395" s="50" t="s">
        <v>1837</v>
      </c>
      <c r="I395" s="49" t="s">
        <v>107</v>
      </c>
      <c r="J395" s="50" t="s">
        <v>109</v>
      </c>
      <c r="K395" s="50" t="s">
        <v>109</v>
      </c>
      <c r="L395" s="50" t="s">
        <v>15</v>
      </c>
      <c r="M395" s="50" t="s">
        <v>10</v>
      </c>
      <c r="N395" s="50" t="s">
        <v>11</v>
      </c>
      <c r="O395" s="48" t="s">
        <v>632</v>
      </c>
      <c r="P395" s="45" t="s">
        <v>453</v>
      </c>
      <c r="Q395" s="35" t="str">
        <f>MID(Tabla1[[#This Row],[Aplicación]],14,1)</f>
        <v>6</v>
      </c>
      <c r="R395" s="35" t="s">
        <v>442</v>
      </c>
      <c r="S395" s="35" t="str">
        <f>MID(Tabla1[[#This Row],[Aplicación]],6,2)</f>
        <v>05</v>
      </c>
      <c r="T395" s="35" t="str">
        <f>VLOOKUP(Tabla1[[#This Row],[AREA]],Hoja1!A:B,2,FALSE)</f>
        <v>05. Innovación, desarrollo económico, empleo y comercio</v>
      </c>
      <c r="U395" s="35" t="str">
        <f>MID(Tabla1[[#This Row],[Aplicación]],9,4)</f>
        <v>4331</v>
      </c>
      <c r="V395" s="35" t="str">
        <f>VLOOKUP(Tabla1[[#This Row],[PROGRAMA]],Hoja1!A:B,2,FALSE)</f>
        <v>4331. Desarrollo empresarial</v>
      </c>
      <c r="W395" s="35" t="str">
        <f>MID(Tabla1[[#This Row],[Aplicación]],14,2)</f>
        <v>62</v>
      </c>
      <c r="X395" s="35" t="str">
        <f>MID(Tabla1[[#This Row],[Aplicación]],14,6)</f>
        <v>625</v>
      </c>
    </row>
    <row r="396" spans="1:24" x14ac:dyDescent="0.25">
      <c r="A396" s="49">
        <v>220220001800</v>
      </c>
      <c r="B396" s="50" t="s">
        <v>9</v>
      </c>
      <c r="C396" s="57">
        <v>44589</v>
      </c>
      <c r="D396" s="49">
        <v>22022001714</v>
      </c>
      <c r="E396" s="50" t="s">
        <v>1471</v>
      </c>
      <c r="F396" s="58">
        <v>5767</v>
      </c>
      <c r="G396" s="50" t="s">
        <v>261</v>
      </c>
      <c r="H396" s="50" t="s">
        <v>1838</v>
      </c>
      <c r="I396" s="49" t="s">
        <v>107</v>
      </c>
      <c r="J396" s="50" t="s">
        <v>109</v>
      </c>
      <c r="K396" s="50" t="s">
        <v>109</v>
      </c>
      <c r="L396" s="50" t="s">
        <v>12</v>
      </c>
      <c r="M396" s="50" t="s">
        <v>10</v>
      </c>
      <c r="N396" s="50" t="s">
        <v>11</v>
      </c>
      <c r="O396" s="48" t="s">
        <v>632</v>
      </c>
      <c r="P396" s="45" t="s">
        <v>453</v>
      </c>
      <c r="Q396" s="35" t="str">
        <f>MID(Tabla1[[#This Row],[Aplicación]],14,1)</f>
        <v>2</v>
      </c>
      <c r="R396" s="35" t="s">
        <v>441</v>
      </c>
      <c r="S396" s="35" t="str">
        <f>MID(Tabla1[[#This Row],[Aplicación]],6,2)</f>
        <v>11</v>
      </c>
      <c r="T396" s="35" t="str">
        <f>VLOOKUP(Tabla1[[#This Row],[AREA]],Hoja1!A:B,2,FALSE)</f>
        <v>11. Salud pública y seguridad ciudadana</v>
      </c>
      <c r="U396" s="35" t="str">
        <f>MID(Tabla1[[#This Row],[Aplicación]],9,4)</f>
        <v>1321</v>
      </c>
      <c r="V396" s="35" t="str">
        <f>VLOOKUP(Tabla1[[#This Row],[PROGRAMA]],Hoja1!A:B,2,FALSE)</f>
        <v>1321. Policía municipal</v>
      </c>
      <c r="W396" s="35" t="str">
        <f>MID(Tabla1[[#This Row],[Aplicación]],14,2)</f>
        <v>21</v>
      </c>
      <c r="X396" s="35" t="str">
        <f>MID(Tabla1[[#This Row],[Aplicación]],14,6)</f>
        <v>213</v>
      </c>
    </row>
    <row r="397" spans="1:24" x14ac:dyDescent="0.25">
      <c r="A397" s="49">
        <v>220220010312</v>
      </c>
      <c r="B397" s="50" t="s">
        <v>9</v>
      </c>
      <c r="C397" s="57">
        <v>44641</v>
      </c>
      <c r="D397" s="49">
        <v>22022002872</v>
      </c>
      <c r="E397" s="50" t="s">
        <v>1635</v>
      </c>
      <c r="F397" s="58">
        <v>399.35</v>
      </c>
      <c r="G397" s="50" t="s">
        <v>1035</v>
      </c>
      <c r="H397" s="50" t="s">
        <v>1839</v>
      </c>
      <c r="I397" s="49" t="s">
        <v>107</v>
      </c>
      <c r="J397" s="50" t="s">
        <v>109</v>
      </c>
      <c r="K397" s="50" t="s">
        <v>109</v>
      </c>
      <c r="L397" s="50" t="s">
        <v>15</v>
      </c>
      <c r="M397" s="50" t="s">
        <v>10</v>
      </c>
      <c r="N397" s="50" t="s">
        <v>11</v>
      </c>
      <c r="O397" s="48" t="s">
        <v>632</v>
      </c>
      <c r="P397" s="45" t="s">
        <v>453</v>
      </c>
      <c r="Q397" s="35" t="str">
        <f>MID(Tabla1[[#This Row],[Aplicación]],14,1)</f>
        <v>2</v>
      </c>
      <c r="R397" s="35" t="s">
        <v>441</v>
      </c>
      <c r="S397" s="35" t="str">
        <f>MID(Tabla1[[#This Row],[Aplicación]],6,2)</f>
        <v>03</v>
      </c>
      <c r="T397" s="35" t="str">
        <f>VLOOKUP(Tabla1[[#This Row],[AREA]],Hoja1!A:B,2,FALSE)</f>
        <v>03. Participación ciudadana y deportes</v>
      </c>
      <c r="U397" s="35" t="str">
        <f>MID(Tabla1[[#This Row],[Aplicación]],9,4)</f>
        <v>9241</v>
      </c>
      <c r="V397" s="35" t="str">
        <f>VLOOKUP(Tabla1[[#This Row],[PROGRAMA]],Hoja1!A:B,2,FALSE)</f>
        <v>9241. Participación ciudadana</v>
      </c>
      <c r="W397" s="35" t="str">
        <f>MID(Tabla1[[#This Row],[Aplicación]],14,2)</f>
        <v>21</v>
      </c>
      <c r="X397" s="35" t="str">
        <f>MID(Tabla1[[#This Row],[Aplicación]],14,6)</f>
        <v>212</v>
      </c>
    </row>
    <row r="398" spans="1:24" x14ac:dyDescent="0.25">
      <c r="A398" s="49">
        <v>220219000747</v>
      </c>
      <c r="B398" s="50" t="s">
        <v>9</v>
      </c>
      <c r="C398" s="57">
        <v>44562</v>
      </c>
      <c r="D398" s="49">
        <v>22022002084</v>
      </c>
      <c r="E398" s="50" t="s">
        <v>1755</v>
      </c>
      <c r="F398" s="58">
        <v>364.02</v>
      </c>
      <c r="G398" s="50" t="s">
        <v>589</v>
      </c>
      <c r="H398" s="50" t="s">
        <v>1840</v>
      </c>
      <c r="I398" s="49" t="s">
        <v>107</v>
      </c>
      <c r="J398" s="50" t="s">
        <v>109</v>
      </c>
      <c r="K398" s="50" t="s">
        <v>109</v>
      </c>
      <c r="L398" s="50" t="s">
        <v>25</v>
      </c>
      <c r="M398" s="50" t="s">
        <v>13</v>
      </c>
      <c r="N398" s="50" t="s">
        <v>14</v>
      </c>
      <c r="O398" s="48" t="s">
        <v>620</v>
      </c>
      <c r="P398" s="45" t="s">
        <v>453</v>
      </c>
      <c r="Q398" s="35" t="str">
        <f>MID(Tabla1[[#This Row],[Aplicación]],14,1)</f>
        <v>6</v>
      </c>
      <c r="R398" s="35" t="s">
        <v>442</v>
      </c>
      <c r="S398" s="35" t="str">
        <f>MID(Tabla1[[#This Row],[Aplicación]],6,2)</f>
        <v>05</v>
      </c>
      <c r="T398" s="35" t="str">
        <f>VLOOKUP(Tabla1[[#This Row],[AREA]],Hoja1!A:B,2,FALSE)</f>
        <v>05. Innovación, desarrollo económico, empleo y comercio</v>
      </c>
      <c r="U398" s="35" t="str">
        <f>MID(Tabla1[[#This Row],[Aplicación]],9,4)</f>
        <v>4331</v>
      </c>
      <c r="V398" s="35" t="str">
        <f>VLOOKUP(Tabla1[[#This Row],[PROGRAMA]],Hoja1!A:B,2,FALSE)</f>
        <v>4331. Desarrollo empresarial</v>
      </c>
      <c r="W398" s="35" t="str">
        <f>MID(Tabla1[[#This Row],[Aplicación]],14,2)</f>
        <v>62</v>
      </c>
      <c r="X398" s="35" t="str">
        <f>MID(Tabla1[[#This Row],[Aplicación]],14,6)</f>
        <v>622</v>
      </c>
    </row>
    <row r="399" spans="1:24" x14ac:dyDescent="0.25">
      <c r="A399" s="49">
        <v>220210078793</v>
      </c>
      <c r="B399" s="50" t="s">
        <v>9</v>
      </c>
      <c r="C399" s="57">
        <v>44620</v>
      </c>
      <c r="D399" s="49">
        <v>22021007316</v>
      </c>
      <c r="E399" s="50" t="s">
        <v>1410</v>
      </c>
      <c r="F399" s="58">
        <v>310.38</v>
      </c>
      <c r="G399" s="50" t="s">
        <v>589</v>
      </c>
      <c r="H399" s="50" t="s">
        <v>1188</v>
      </c>
      <c r="I399" s="49" t="s">
        <v>107</v>
      </c>
      <c r="J399" s="50" t="s">
        <v>109</v>
      </c>
      <c r="K399" s="50" t="s">
        <v>109</v>
      </c>
      <c r="L399" s="50" t="s">
        <v>12</v>
      </c>
      <c r="M399" s="50" t="s">
        <v>13</v>
      </c>
      <c r="N399" s="50" t="s">
        <v>14</v>
      </c>
      <c r="O399" s="48" t="s">
        <v>620</v>
      </c>
      <c r="P399" s="45" t="s">
        <v>453</v>
      </c>
      <c r="Q399" s="35" t="str">
        <f>MID(Tabla1[[#This Row],[Aplicación]],14,1)</f>
        <v>6</v>
      </c>
      <c r="R399" s="35" t="s">
        <v>442</v>
      </c>
      <c r="S399" s="35" t="str">
        <f>MID(Tabla1[[#This Row],[Aplicación]],6,2)</f>
        <v>03</v>
      </c>
      <c r="T399" s="35" t="str">
        <f>VLOOKUP(Tabla1[[#This Row],[AREA]],Hoja1!A:B,2,FALSE)</f>
        <v>03. Participación ciudadana y deportes</v>
      </c>
      <c r="U399" s="35" t="str">
        <f>MID(Tabla1[[#This Row],[Aplicación]],9,4)</f>
        <v>9241</v>
      </c>
      <c r="V399" s="35" t="str">
        <f>VLOOKUP(Tabla1[[#This Row],[PROGRAMA]],Hoja1!A:B,2,FALSE)</f>
        <v>9241. Participación ciudadana</v>
      </c>
      <c r="W399" s="35" t="str">
        <f>MID(Tabla1[[#This Row],[Aplicación]],14,2)</f>
        <v>63</v>
      </c>
      <c r="X399" s="35" t="str">
        <f>MID(Tabla1[[#This Row],[Aplicación]],14,6)</f>
        <v>632</v>
      </c>
    </row>
    <row r="400" spans="1:24" x14ac:dyDescent="0.25">
      <c r="A400" s="49">
        <v>220220010314</v>
      </c>
      <c r="B400" s="50" t="s">
        <v>9</v>
      </c>
      <c r="C400" s="57">
        <v>44641</v>
      </c>
      <c r="D400" s="49">
        <v>22022002875</v>
      </c>
      <c r="E400" s="50" t="s">
        <v>1841</v>
      </c>
      <c r="F400" s="58">
        <v>423.5</v>
      </c>
      <c r="G400" s="50" t="s">
        <v>258</v>
      </c>
      <c r="H400" s="50" t="s">
        <v>1842</v>
      </c>
      <c r="I400" s="49" t="s">
        <v>107</v>
      </c>
      <c r="J400" s="50" t="s">
        <v>109</v>
      </c>
      <c r="K400" s="50" t="s">
        <v>109</v>
      </c>
      <c r="L400" s="50" t="s">
        <v>12</v>
      </c>
      <c r="M400" s="50" t="s">
        <v>10</v>
      </c>
      <c r="N400" s="50" t="s">
        <v>11</v>
      </c>
      <c r="O400" s="48" t="s">
        <v>632</v>
      </c>
      <c r="P400" s="45" t="s">
        <v>453</v>
      </c>
      <c r="Q400" s="35" t="str">
        <f>MID(Tabla1[[#This Row],[Aplicación]],14,1)</f>
        <v>2</v>
      </c>
      <c r="R400" s="35" t="s">
        <v>441</v>
      </c>
      <c r="S400" s="35" t="str">
        <f>MID(Tabla1[[#This Row],[Aplicación]],6,2)</f>
        <v>03</v>
      </c>
      <c r="T400" s="35" t="str">
        <f>VLOOKUP(Tabla1[[#This Row],[AREA]],Hoja1!A:B,2,FALSE)</f>
        <v>03. Participación ciudadana y deportes</v>
      </c>
      <c r="U400" s="35" t="str">
        <f>MID(Tabla1[[#This Row],[Aplicación]],9,4)</f>
        <v>9241</v>
      </c>
      <c r="V400" s="35" t="str">
        <f>VLOOKUP(Tabla1[[#This Row],[PROGRAMA]],Hoja1!A:B,2,FALSE)</f>
        <v>9241. Participación ciudadana</v>
      </c>
      <c r="W400" s="35" t="str">
        <f>MID(Tabla1[[#This Row],[Aplicación]],14,2)</f>
        <v>22</v>
      </c>
      <c r="X400" s="35" t="str">
        <f>MID(Tabla1[[#This Row],[Aplicación]],14,6)</f>
        <v>22602</v>
      </c>
    </row>
    <row r="401" spans="1:24" x14ac:dyDescent="0.25">
      <c r="A401" s="49">
        <v>220220000372</v>
      </c>
      <c r="B401" s="50" t="s">
        <v>9</v>
      </c>
      <c r="C401" s="57">
        <v>44585</v>
      </c>
      <c r="D401" s="49">
        <v>22022001548</v>
      </c>
      <c r="E401" s="50" t="s">
        <v>1665</v>
      </c>
      <c r="F401" s="58">
        <v>165.49</v>
      </c>
      <c r="G401" s="50" t="s">
        <v>589</v>
      </c>
      <c r="H401" s="50" t="s">
        <v>1843</v>
      </c>
      <c r="I401" s="49" t="s">
        <v>107</v>
      </c>
      <c r="J401" s="50" t="s">
        <v>109</v>
      </c>
      <c r="K401" s="50" t="s">
        <v>109</v>
      </c>
      <c r="L401" s="50" t="s">
        <v>12</v>
      </c>
      <c r="M401" s="50" t="s">
        <v>13</v>
      </c>
      <c r="N401" s="50" t="s">
        <v>14</v>
      </c>
      <c r="O401" s="48" t="s">
        <v>620</v>
      </c>
      <c r="P401" s="45" t="s">
        <v>453</v>
      </c>
      <c r="Q401" s="35" t="str">
        <f>MID(Tabla1[[#This Row],[Aplicación]],14,1)</f>
        <v>6</v>
      </c>
      <c r="R401" s="35" t="s">
        <v>442</v>
      </c>
      <c r="S401" s="35" t="str">
        <f>MID(Tabla1[[#This Row],[Aplicación]],6,2)</f>
        <v>02</v>
      </c>
      <c r="T401" s="35" t="str">
        <f>VLOOKUP(Tabla1[[#This Row],[AREA]],Hoja1!A:B,2,FALSE)</f>
        <v>02. Planeamiento urbanístico y vivienda</v>
      </c>
      <c r="U401" s="35" t="str">
        <f>MID(Tabla1[[#This Row],[Aplicación]],9,4)</f>
        <v>9332</v>
      </c>
      <c r="V401" s="35" t="str">
        <f>VLOOKUP(Tabla1[[#This Row],[PROGRAMA]],Hoja1!A:B,2,FALSE)</f>
        <v>9332. Mantenimiento de edificios e instalaciones municipales</v>
      </c>
      <c r="W401" s="35" t="str">
        <f>MID(Tabla1[[#This Row],[Aplicación]],14,2)</f>
        <v>63</v>
      </c>
      <c r="X401" s="35" t="str">
        <f>MID(Tabla1[[#This Row],[Aplicación]],14,6)</f>
        <v>632</v>
      </c>
    </row>
    <row r="402" spans="1:24" x14ac:dyDescent="0.25">
      <c r="A402" s="49">
        <v>220220013431</v>
      </c>
      <c r="B402" s="50" t="s">
        <v>9</v>
      </c>
      <c r="C402" s="57">
        <v>44651</v>
      </c>
      <c r="D402" s="49">
        <v>22022003093</v>
      </c>
      <c r="E402" s="50" t="s">
        <v>1844</v>
      </c>
      <c r="F402" s="58">
        <v>161.57</v>
      </c>
      <c r="G402" s="50" t="s">
        <v>589</v>
      </c>
      <c r="H402" s="50" t="s">
        <v>1845</v>
      </c>
      <c r="I402" s="49" t="s">
        <v>107</v>
      </c>
      <c r="J402" s="50" t="s">
        <v>109</v>
      </c>
      <c r="K402" s="50" t="s">
        <v>109</v>
      </c>
      <c r="L402" s="50" t="s">
        <v>12</v>
      </c>
      <c r="M402" s="50" t="s">
        <v>13</v>
      </c>
      <c r="N402" s="50" t="s">
        <v>14</v>
      </c>
      <c r="O402" s="48" t="s">
        <v>620</v>
      </c>
      <c r="P402" s="45" t="s">
        <v>453</v>
      </c>
      <c r="Q402" s="35" t="str">
        <f>MID(Tabla1[[#This Row],[Aplicación]],14,1)</f>
        <v>6</v>
      </c>
      <c r="R402" s="35" t="s">
        <v>442</v>
      </c>
      <c r="S402" s="35" t="str">
        <f>MID(Tabla1[[#This Row],[Aplicación]],6,2)</f>
        <v>06</v>
      </c>
      <c r="T402" s="35" t="str">
        <f>VLOOKUP(Tabla1[[#This Row],[AREA]],Hoja1!A:B,2,FALSE)</f>
        <v>06. Educación, infancia, juventud e igualdad</v>
      </c>
      <c r="U402" s="35" t="str">
        <f>MID(Tabla1[[#This Row],[Aplicación]],9,4)</f>
        <v>3261</v>
      </c>
      <c r="V402" s="35" t="str">
        <f>VLOOKUP(Tabla1[[#This Row],[PROGRAMA]],Hoja1!A:B,2,FALSE)</f>
        <v>3261. Servicios complementarios de educación</v>
      </c>
      <c r="W402" s="35" t="str">
        <f>MID(Tabla1[[#This Row],[Aplicación]],14,2)</f>
        <v>63</v>
      </c>
      <c r="X402" s="35" t="str">
        <f>MID(Tabla1[[#This Row],[Aplicación]],14,6)</f>
        <v>632</v>
      </c>
    </row>
    <row r="403" spans="1:24" x14ac:dyDescent="0.25">
      <c r="A403" s="49">
        <v>220219000338</v>
      </c>
      <c r="B403" s="50" t="s">
        <v>9</v>
      </c>
      <c r="C403" s="57">
        <v>44562</v>
      </c>
      <c r="D403" s="49">
        <v>22022000502</v>
      </c>
      <c r="E403" s="50" t="s">
        <v>1731</v>
      </c>
      <c r="F403" s="58">
        <v>3151.12</v>
      </c>
      <c r="G403" s="50" t="s">
        <v>499</v>
      </c>
      <c r="H403" s="50" t="s">
        <v>1846</v>
      </c>
      <c r="I403" s="49" t="s">
        <v>107</v>
      </c>
      <c r="J403" s="50" t="s">
        <v>526</v>
      </c>
      <c r="K403" s="50" t="s">
        <v>170</v>
      </c>
      <c r="L403" s="50" t="s">
        <v>921</v>
      </c>
      <c r="M403" s="50" t="s">
        <v>13</v>
      </c>
      <c r="N403" s="50" t="s">
        <v>14</v>
      </c>
      <c r="O403" s="48" t="s">
        <v>620</v>
      </c>
      <c r="P403" s="45" t="s">
        <v>453</v>
      </c>
      <c r="Q403" s="35" t="str">
        <f>MID(Tabla1[[#This Row],[Aplicación]],14,1)</f>
        <v>2</v>
      </c>
      <c r="R403" s="35" t="s">
        <v>441</v>
      </c>
      <c r="S403" s="35" t="str">
        <f>MID(Tabla1[[#This Row],[Aplicación]],6,2)</f>
        <v>02</v>
      </c>
      <c r="T403" s="35" t="str">
        <f>VLOOKUP(Tabla1[[#This Row],[AREA]],Hoja1!A:B,2,FALSE)</f>
        <v>02. Planeamiento urbanístico y vivienda</v>
      </c>
      <c r="U403" s="35" t="str">
        <f>MID(Tabla1[[#This Row],[Aplicación]],9,4)</f>
        <v>9331</v>
      </c>
      <c r="V403" s="35" t="str">
        <f>VLOOKUP(Tabla1[[#This Row],[PROGRAMA]],Hoja1!A:B,2,FALSE)</f>
        <v>9331. Gestión del patrimonio</v>
      </c>
      <c r="W403" s="35" t="str">
        <f>MID(Tabla1[[#This Row],[Aplicación]],14,2)</f>
        <v>22</v>
      </c>
      <c r="X403" s="35" t="str">
        <f>MID(Tabla1[[#This Row],[Aplicación]],14,6)</f>
        <v>224</v>
      </c>
    </row>
    <row r="404" spans="1:24" x14ac:dyDescent="0.25">
      <c r="A404" s="49">
        <v>220219000337</v>
      </c>
      <c r="B404" s="50" t="s">
        <v>9</v>
      </c>
      <c r="C404" s="57">
        <v>44562</v>
      </c>
      <c r="D404" s="49">
        <v>22022000501</v>
      </c>
      <c r="E404" s="50" t="s">
        <v>1731</v>
      </c>
      <c r="F404" s="58">
        <v>795.94</v>
      </c>
      <c r="G404" s="50" t="s">
        <v>499</v>
      </c>
      <c r="H404" s="50" t="s">
        <v>1847</v>
      </c>
      <c r="I404" s="49" t="s">
        <v>107</v>
      </c>
      <c r="J404" s="50" t="s">
        <v>526</v>
      </c>
      <c r="K404" s="50" t="s">
        <v>170</v>
      </c>
      <c r="L404" s="50" t="s">
        <v>921</v>
      </c>
      <c r="M404" s="50" t="s">
        <v>13</v>
      </c>
      <c r="N404" s="50" t="s">
        <v>14</v>
      </c>
      <c r="O404" s="48" t="s">
        <v>620</v>
      </c>
      <c r="P404" s="45" t="s">
        <v>453</v>
      </c>
      <c r="Q404" s="35" t="str">
        <f>MID(Tabla1[[#This Row],[Aplicación]],14,1)</f>
        <v>2</v>
      </c>
      <c r="R404" s="35" t="s">
        <v>441</v>
      </c>
      <c r="S404" s="35" t="str">
        <f>MID(Tabla1[[#This Row],[Aplicación]],6,2)</f>
        <v>02</v>
      </c>
      <c r="T404" s="35" t="str">
        <f>VLOOKUP(Tabla1[[#This Row],[AREA]],Hoja1!A:B,2,FALSE)</f>
        <v>02. Planeamiento urbanístico y vivienda</v>
      </c>
      <c r="U404" s="35" t="str">
        <f>MID(Tabla1[[#This Row],[Aplicación]],9,4)</f>
        <v>9331</v>
      </c>
      <c r="V404" s="35" t="str">
        <f>VLOOKUP(Tabla1[[#This Row],[PROGRAMA]],Hoja1!A:B,2,FALSE)</f>
        <v>9331. Gestión del patrimonio</v>
      </c>
      <c r="W404" s="35" t="str">
        <f>MID(Tabla1[[#This Row],[Aplicación]],14,2)</f>
        <v>22</v>
      </c>
      <c r="X404" s="35" t="str">
        <f>MID(Tabla1[[#This Row],[Aplicación]],14,6)</f>
        <v>224</v>
      </c>
    </row>
    <row r="405" spans="1:24" x14ac:dyDescent="0.25">
      <c r="A405" s="49">
        <v>220220006691</v>
      </c>
      <c r="B405" s="50" t="s">
        <v>9</v>
      </c>
      <c r="C405" s="57">
        <v>44617</v>
      </c>
      <c r="D405" s="49">
        <v>22022002349</v>
      </c>
      <c r="E405" s="50" t="s">
        <v>1614</v>
      </c>
      <c r="F405" s="58">
        <v>479</v>
      </c>
      <c r="G405" s="50" t="s">
        <v>1311</v>
      </c>
      <c r="H405" s="50" t="s">
        <v>1848</v>
      </c>
      <c r="I405" s="49" t="s">
        <v>107</v>
      </c>
      <c r="J405" s="50" t="s">
        <v>1312</v>
      </c>
      <c r="K405" s="50" t="s">
        <v>1039</v>
      </c>
      <c r="L405" s="50" t="s">
        <v>15</v>
      </c>
      <c r="M405" s="50" t="s">
        <v>10</v>
      </c>
      <c r="N405" s="50" t="s">
        <v>11</v>
      </c>
      <c r="O405" s="48" t="s">
        <v>632</v>
      </c>
      <c r="P405" s="45" t="s">
        <v>453</v>
      </c>
      <c r="Q405" s="35" t="str">
        <f>MID(Tabla1[[#This Row],[Aplicación]],14,1)</f>
        <v>2</v>
      </c>
      <c r="R405" s="35" t="s">
        <v>441</v>
      </c>
      <c r="S405" s="35" t="str">
        <f>MID(Tabla1[[#This Row],[Aplicación]],6,2)</f>
        <v>07</v>
      </c>
      <c r="T405" s="35" t="str">
        <f>VLOOKUP(Tabla1[[#This Row],[AREA]],Hoja1!A:B,2,FALSE)</f>
        <v>07. Medio ambiente y desarrollo sostenible</v>
      </c>
      <c r="U405" s="35" t="str">
        <f>MID(Tabla1[[#This Row],[Aplicación]],9,4)</f>
        <v>1721</v>
      </c>
      <c r="V405" s="35" t="str">
        <f>VLOOKUP(Tabla1[[#This Row],[PROGRAMA]],Hoja1!A:B,2,FALSE)</f>
        <v>1721. Protección del medio ambiente</v>
      </c>
      <c r="W405" s="35" t="str">
        <f>MID(Tabla1[[#This Row],[Aplicación]],14,2)</f>
        <v>22</v>
      </c>
      <c r="X405" s="35" t="str">
        <f>MID(Tabla1[[#This Row],[Aplicación]],14,6)</f>
        <v>22199</v>
      </c>
    </row>
    <row r="406" spans="1:24" x14ac:dyDescent="0.25">
      <c r="A406" s="49">
        <v>220220005803</v>
      </c>
      <c r="B406" s="50" t="s">
        <v>9</v>
      </c>
      <c r="C406" s="57">
        <v>44615</v>
      </c>
      <c r="D406" s="49">
        <v>22022002394</v>
      </c>
      <c r="E406" s="50" t="s">
        <v>1627</v>
      </c>
      <c r="F406" s="58">
        <v>1000</v>
      </c>
      <c r="G406" s="50" t="s">
        <v>591</v>
      </c>
      <c r="H406" s="50" t="s">
        <v>1849</v>
      </c>
      <c r="I406" s="49" t="s">
        <v>107</v>
      </c>
      <c r="J406" s="50" t="s">
        <v>587</v>
      </c>
      <c r="K406" s="50" t="s">
        <v>109</v>
      </c>
      <c r="L406" s="50" t="s">
        <v>12</v>
      </c>
      <c r="M406" s="50" t="s">
        <v>10</v>
      </c>
      <c r="N406" s="50" t="s">
        <v>11</v>
      </c>
      <c r="O406" s="48" t="s">
        <v>632</v>
      </c>
      <c r="P406" s="45" t="s">
        <v>453</v>
      </c>
      <c r="Q406" s="35" t="str">
        <f>MID(Tabla1[[#This Row],[Aplicación]],14,1)</f>
        <v>2</v>
      </c>
      <c r="R406" s="35" t="s">
        <v>441</v>
      </c>
      <c r="S406" s="35" t="str">
        <f>MID(Tabla1[[#This Row],[Aplicación]],6,2)</f>
        <v>07</v>
      </c>
      <c r="T406" s="35" t="str">
        <f>VLOOKUP(Tabla1[[#This Row],[AREA]],Hoja1!A:B,2,FALSE)</f>
        <v>07. Medio ambiente y desarrollo sostenible</v>
      </c>
      <c r="U406" s="35" t="str">
        <f>MID(Tabla1[[#This Row],[Aplicación]],9,4)</f>
        <v>1721</v>
      </c>
      <c r="V406" s="35" t="str">
        <f>VLOOKUP(Tabla1[[#This Row],[PROGRAMA]],Hoja1!A:B,2,FALSE)</f>
        <v>1721. Protección del medio ambiente</v>
      </c>
      <c r="W406" s="35" t="str">
        <f>MID(Tabla1[[#This Row],[Aplicación]],14,2)</f>
        <v>22</v>
      </c>
      <c r="X406" s="35" t="str">
        <f>MID(Tabla1[[#This Row],[Aplicación]],14,6)</f>
        <v>22799</v>
      </c>
    </row>
    <row r="407" spans="1:24" x14ac:dyDescent="0.25">
      <c r="A407" s="49">
        <v>220210056291</v>
      </c>
      <c r="B407" s="50" t="s">
        <v>9</v>
      </c>
      <c r="C407" s="57">
        <v>44620</v>
      </c>
      <c r="D407" s="49">
        <v>22021005812</v>
      </c>
      <c r="E407" s="50" t="s">
        <v>1789</v>
      </c>
      <c r="F407" s="58">
        <v>155.08000000000001</v>
      </c>
      <c r="G407" s="50" t="s">
        <v>589</v>
      </c>
      <c r="H407" s="50" t="s">
        <v>1138</v>
      </c>
      <c r="I407" s="49" t="s">
        <v>107</v>
      </c>
      <c r="J407" s="50" t="s">
        <v>109</v>
      </c>
      <c r="K407" s="50" t="s">
        <v>109</v>
      </c>
      <c r="L407" s="50" t="s">
        <v>25</v>
      </c>
      <c r="M407" s="50" t="s">
        <v>13</v>
      </c>
      <c r="N407" s="50" t="s">
        <v>14</v>
      </c>
      <c r="O407" s="48" t="s">
        <v>620</v>
      </c>
      <c r="P407" s="45" t="s">
        <v>453</v>
      </c>
      <c r="Q407" s="35" t="str">
        <f>MID(Tabla1[[#This Row],[Aplicación]],14,1)</f>
        <v>6</v>
      </c>
      <c r="R407" s="35" t="s">
        <v>442</v>
      </c>
      <c r="S407" s="35" t="str">
        <f>MID(Tabla1[[#This Row],[Aplicación]],6,2)</f>
        <v>10</v>
      </c>
      <c r="T407" s="35" t="str">
        <f>VLOOKUP(Tabla1[[#This Row],[AREA]],Hoja1!A:B,2,FALSE)</f>
        <v>10. Servicios sociales y mediación comunitaria</v>
      </c>
      <c r="U407" s="35" t="str">
        <f>MID(Tabla1[[#This Row],[Aplicación]],9,4)</f>
        <v>2311</v>
      </c>
      <c r="V407" s="35" t="str">
        <f>VLOOKUP(Tabla1[[#This Row],[PROGRAMA]],Hoja1!A:B,2,FALSE)</f>
        <v>2311. Intervención social</v>
      </c>
      <c r="W407" s="35" t="str">
        <f>MID(Tabla1[[#This Row],[Aplicación]],14,2)</f>
        <v>63</v>
      </c>
      <c r="X407" s="35" t="str">
        <f>MID(Tabla1[[#This Row],[Aplicación]],14,6)</f>
        <v>632</v>
      </c>
    </row>
    <row r="408" spans="1:24" x14ac:dyDescent="0.25">
      <c r="A408" s="49">
        <v>220220000355</v>
      </c>
      <c r="B408" s="50" t="s">
        <v>9</v>
      </c>
      <c r="C408" s="57">
        <v>44585</v>
      </c>
      <c r="D408" s="49">
        <v>22022001459</v>
      </c>
      <c r="E408" s="50" t="s">
        <v>1665</v>
      </c>
      <c r="F408" s="58">
        <v>139.57</v>
      </c>
      <c r="G408" s="50" t="s">
        <v>589</v>
      </c>
      <c r="H408" s="50" t="s">
        <v>1850</v>
      </c>
      <c r="I408" s="49" t="s">
        <v>107</v>
      </c>
      <c r="J408" s="50" t="s">
        <v>109</v>
      </c>
      <c r="K408" s="50" t="s">
        <v>109</v>
      </c>
      <c r="L408" s="50" t="s">
        <v>12</v>
      </c>
      <c r="M408" s="50" t="s">
        <v>13</v>
      </c>
      <c r="N408" s="50" t="s">
        <v>14</v>
      </c>
      <c r="O408" s="48" t="s">
        <v>620</v>
      </c>
      <c r="P408" s="45" t="s">
        <v>453</v>
      </c>
      <c r="Q408" s="35" t="str">
        <f>MID(Tabla1[[#This Row],[Aplicación]],14,1)</f>
        <v>6</v>
      </c>
      <c r="R408" s="35" t="s">
        <v>442</v>
      </c>
      <c r="S408" s="35" t="str">
        <f>MID(Tabla1[[#This Row],[Aplicación]],6,2)</f>
        <v>02</v>
      </c>
      <c r="T408" s="35" t="str">
        <f>VLOOKUP(Tabla1[[#This Row],[AREA]],Hoja1!A:B,2,FALSE)</f>
        <v>02. Planeamiento urbanístico y vivienda</v>
      </c>
      <c r="U408" s="35" t="str">
        <f>MID(Tabla1[[#This Row],[Aplicación]],9,4)</f>
        <v>9332</v>
      </c>
      <c r="V408" s="35" t="str">
        <f>VLOOKUP(Tabla1[[#This Row],[PROGRAMA]],Hoja1!A:B,2,FALSE)</f>
        <v>9332. Mantenimiento de edificios e instalaciones municipales</v>
      </c>
      <c r="W408" s="35" t="str">
        <f>MID(Tabla1[[#This Row],[Aplicación]],14,2)</f>
        <v>63</v>
      </c>
      <c r="X408" s="35" t="str">
        <f>MID(Tabla1[[#This Row],[Aplicación]],14,6)</f>
        <v>632</v>
      </c>
    </row>
    <row r="409" spans="1:24" x14ac:dyDescent="0.25">
      <c r="A409" s="49">
        <v>220220007931</v>
      </c>
      <c r="B409" s="50" t="s">
        <v>9</v>
      </c>
      <c r="C409" s="57">
        <v>44627</v>
      </c>
      <c r="D409" s="49">
        <v>22022002609</v>
      </c>
      <c r="E409" s="50" t="s">
        <v>1488</v>
      </c>
      <c r="F409" s="58">
        <v>332.75</v>
      </c>
      <c r="G409" s="50" t="s">
        <v>675</v>
      </c>
      <c r="H409" s="50" t="s">
        <v>1851</v>
      </c>
      <c r="I409" s="49" t="s">
        <v>107</v>
      </c>
      <c r="J409" s="50" t="s">
        <v>558</v>
      </c>
      <c r="K409" s="50" t="s">
        <v>109</v>
      </c>
      <c r="L409" s="50" t="s">
        <v>15</v>
      </c>
      <c r="M409" s="50" t="s">
        <v>10</v>
      </c>
      <c r="N409" s="50" t="s">
        <v>11</v>
      </c>
      <c r="O409" s="48" t="s">
        <v>632</v>
      </c>
      <c r="P409" s="45" t="s">
        <v>453</v>
      </c>
      <c r="Q409" s="35" t="str">
        <f>MID(Tabla1[[#This Row],[Aplicación]],14,1)</f>
        <v>2</v>
      </c>
      <c r="R409" s="35" t="s">
        <v>441</v>
      </c>
      <c r="S409" s="35" t="str">
        <f>MID(Tabla1[[#This Row],[Aplicación]],6,2)</f>
        <v>10</v>
      </c>
      <c r="T409" s="35" t="str">
        <f>VLOOKUP(Tabla1[[#This Row],[AREA]],Hoja1!A:B,2,FALSE)</f>
        <v>10. Servicios sociales y mediación comunitaria</v>
      </c>
      <c r="U409" s="35" t="str">
        <f>MID(Tabla1[[#This Row],[Aplicación]],9,4)</f>
        <v>2312</v>
      </c>
      <c r="V409" s="35" t="str">
        <f>VLOOKUP(Tabla1[[#This Row],[PROGRAMA]],Hoja1!A:B,2,FALSE)</f>
        <v>2312. Iniciativas sociales</v>
      </c>
      <c r="W409" s="35" t="str">
        <f>MID(Tabla1[[#This Row],[Aplicación]],14,2)</f>
        <v>21</v>
      </c>
      <c r="X409" s="35" t="str">
        <f>MID(Tabla1[[#This Row],[Aplicación]],14,6)</f>
        <v>213</v>
      </c>
    </row>
    <row r="410" spans="1:24" x14ac:dyDescent="0.25">
      <c r="A410" s="49">
        <v>220220003439</v>
      </c>
      <c r="B410" s="50" t="s">
        <v>9</v>
      </c>
      <c r="C410" s="57">
        <v>44603</v>
      </c>
      <c r="D410" s="49">
        <v>22022002036</v>
      </c>
      <c r="E410" s="50" t="s">
        <v>1439</v>
      </c>
      <c r="F410" s="58">
        <v>3630</v>
      </c>
      <c r="G410" s="50" t="s">
        <v>231</v>
      </c>
      <c r="H410" s="50" t="s">
        <v>1852</v>
      </c>
      <c r="I410" s="49" t="s">
        <v>107</v>
      </c>
      <c r="J410" s="50" t="s">
        <v>109</v>
      </c>
      <c r="K410" s="50" t="s">
        <v>109</v>
      </c>
      <c r="L410" s="50" t="s">
        <v>17</v>
      </c>
      <c r="M410" s="50" t="s">
        <v>10</v>
      </c>
      <c r="N410" s="50" t="s">
        <v>11</v>
      </c>
      <c r="O410" s="48" t="s">
        <v>632</v>
      </c>
      <c r="P410" s="45" t="s">
        <v>453</v>
      </c>
      <c r="Q410" s="35" t="str">
        <f>MID(Tabla1[[#This Row],[Aplicación]],14,1)</f>
        <v>2</v>
      </c>
      <c r="R410" s="35" t="s">
        <v>441</v>
      </c>
      <c r="S410" s="35" t="str">
        <f>MID(Tabla1[[#This Row],[Aplicación]],6,2)</f>
        <v>03</v>
      </c>
      <c r="T410" s="35" t="str">
        <f>VLOOKUP(Tabla1[[#This Row],[AREA]],Hoja1!A:B,2,FALSE)</f>
        <v>03. Participación ciudadana y deportes</v>
      </c>
      <c r="U410" s="35" t="str">
        <f>MID(Tabla1[[#This Row],[Aplicación]],9,4)</f>
        <v>9241</v>
      </c>
      <c r="V410" s="35" t="str">
        <f>VLOOKUP(Tabla1[[#This Row],[PROGRAMA]],Hoja1!A:B,2,FALSE)</f>
        <v>9241. Participación ciudadana</v>
      </c>
      <c r="W410" s="35" t="str">
        <f>MID(Tabla1[[#This Row],[Aplicación]],14,2)</f>
        <v>20</v>
      </c>
      <c r="X410" s="35" t="str">
        <f>MID(Tabla1[[#This Row],[Aplicación]],14,6)</f>
        <v>203</v>
      </c>
    </row>
    <row r="411" spans="1:24" x14ac:dyDescent="0.25">
      <c r="A411" s="49">
        <v>220220005209</v>
      </c>
      <c r="B411" s="50" t="s">
        <v>9</v>
      </c>
      <c r="C411" s="57">
        <v>44614</v>
      </c>
      <c r="D411" s="49">
        <v>22022002242</v>
      </c>
      <c r="E411" s="50" t="s">
        <v>1853</v>
      </c>
      <c r="F411" s="58">
        <v>1500</v>
      </c>
      <c r="G411" s="50" t="s">
        <v>231</v>
      </c>
      <c r="H411" s="50" t="s">
        <v>1854</v>
      </c>
      <c r="I411" s="49" t="s">
        <v>107</v>
      </c>
      <c r="J411" s="50" t="s">
        <v>109</v>
      </c>
      <c r="K411" s="50" t="s">
        <v>109</v>
      </c>
      <c r="L411" s="50" t="s">
        <v>12</v>
      </c>
      <c r="M411" s="50" t="s">
        <v>10</v>
      </c>
      <c r="N411" s="50" t="s">
        <v>11</v>
      </c>
      <c r="O411" s="48" t="s">
        <v>632</v>
      </c>
      <c r="P411" s="45" t="s">
        <v>453</v>
      </c>
      <c r="Q411" s="35" t="str">
        <f>MID(Tabla1[[#This Row],[Aplicación]],14,1)</f>
        <v>2</v>
      </c>
      <c r="R411" s="35" t="s">
        <v>441</v>
      </c>
      <c r="S411" s="35" t="str">
        <f>MID(Tabla1[[#This Row],[Aplicación]],6,2)</f>
        <v>07</v>
      </c>
      <c r="T411" s="35" t="str">
        <f>VLOOKUP(Tabla1[[#This Row],[AREA]],Hoja1!A:B,2,FALSE)</f>
        <v>07. Medio ambiente y desarrollo sostenible</v>
      </c>
      <c r="U411" s="35" t="str">
        <f>MID(Tabla1[[#This Row],[Aplicación]],9,4)</f>
        <v>1711</v>
      </c>
      <c r="V411" s="35" t="str">
        <f>VLOOKUP(Tabla1[[#This Row],[PROGRAMA]],Hoja1!A:B,2,FALSE)</f>
        <v>1711. Parques y jardines</v>
      </c>
      <c r="W411" s="35" t="str">
        <f>MID(Tabla1[[#This Row],[Aplicación]],14,2)</f>
        <v>21</v>
      </c>
      <c r="X411" s="35" t="str">
        <f>MID(Tabla1[[#This Row],[Aplicación]],14,6)</f>
        <v>213</v>
      </c>
    </row>
    <row r="412" spans="1:24" x14ac:dyDescent="0.25">
      <c r="A412" s="49">
        <v>220220012378</v>
      </c>
      <c r="B412" s="50" t="s">
        <v>9</v>
      </c>
      <c r="C412" s="57">
        <v>44643</v>
      </c>
      <c r="D412" s="49">
        <v>22022002865</v>
      </c>
      <c r="E412" s="50" t="s">
        <v>1376</v>
      </c>
      <c r="F412" s="58">
        <v>93.52</v>
      </c>
      <c r="G412" s="50" t="s">
        <v>589</v>
      </c>
      <c r="H412" s="50" t="s">
        <v>1855</v>
      </c>
      <c r="I412" s="49" t="s">
        <v>107</v>
      </c>
      <c r="J412" s="50" t="s">
        <v>109</v>
      </c>
      <c r="K412" s="50" t="s">
        <v>109</v>
      </c>
      <c r="L412" s="50" t="s">
        <v>12</v>
      </c>
      <c r="M412" s="50" t="s">
        <v>13</v>
      </c>
      <c r="N412" s="50" t="s">
        <v>14</v>
      </c>
      <c r="O412" s="48" t="s">
        <v>620</v>
      </c>
      <c r="P412" s="45" t="s">
        <v>453</v>
      </c>
      <c r="Q412" s="35" t="str">
        <f>MID(Tabla1[[#This Row],[Aplicación]],14,1)</f>
        <v>2</v>
      </c>
      <c r="R412" s="35" t="s">
        <v>441</v>
      </c>
      <c r="S412" s="35" t="str">
        <f>MID(Tabla1[[#This Row],[Aplicación]],6,2)</f>
        <v>05</v>
      </c>
      <c r="T412" s="35" t="str">
        <f>VLOOKUP(Tabla1[[#This Row],[AREA]],Hoja1!A:B,2,FALSE)</f>
        <v>05. Innovación, desarrollo económico, empleo y comercio</v>
      </c>
      <c r="U412" s="35" t="str">
        <f>MID(Tabla1[[#This Row],[Aplicación]],9,4)</f>
        <v>0 43</v>
      </c>
      <c r="V412" s="35" t="e">
        <f>VLOOKUP(Tabla1[[#This Row],[PROGRAMA]],Hoja1!A:B,2,FALSE)</f>
        <v>#N/A</v>
      </c>
      <c r="W412" s="35" t="str">
        <f>MID(Tabla1[[#This Row],[Aplicación]],14,2)</f>
        <v xml:space="preserve">2 </v>
      </c>
      <c r="X412" s="35" t="str">
        <f>MID(Tabla1[[#This Row],[Aplicación]],14,6)</f>
        <v>2 632</v>
      </c>
    </row>
    <row r="413" spans="1:24" x14ac:dyDescent="0.25">
      <c r="A413" s="49">
        <v>220220007939</v>
      </c>
      <c r="B413" s="50" t="s">
        <v>9</v>
      </c>
      <c r="C413" s="57">
        <v>44627</v>
      </c>
      <c r="D413" s="49">
        <v>22021008070</v>
      </c>
      <c r="E413" s="50" t="s">
        <v>1789</v>
      </c>
      <c r="F413" s="58">
        <v>52.88</v>
      </c>
      <c r="G413" s="50" t="s">
        <v>589</v>
      </c>
      <c r="H413" s="50" t="s">
        <v>1856</v>
      </c>
      <c r="I413" s="49" t="s">
        <v>181</v>
      </c>
      <c r="J413" s="50" t="s">
        <v>109</v>
      </c>
      <c r="K413" s="50" t="s">
        <v>109</v>
      </c>
      <c r="L413" s="50" t="s">
        <v>25</v>
      </c>
      <c r="M413" s="50" t="s">
        <v>13</v>
      </c>
      <c r="N413" s="50" t="s">
        <v>14</v>
      </c>
      <c r="O413" s="48" t="s">
        <v>620</v>
      </c>
      <c r="P413" s="45" t="s">
        <v>453</v>
      </c>
      <c r="Q413" s="35" t="str">
        <f>MID(Tabla1[[#This Row],[Aplicación]],14,1)</f>
        <v>6</v>
      </c>
      <c r="R413" s="35" t="s">
        <v>442</v>
      </c>
      <c r="S413" s="35" t="str">
        <f>MID(Tabla1[[#This Row],[Aplicación]],6,2)</f>
        <v>10</v>
      </c>
      <c r="T413" s="35" t="str">
        <f>VLOOKUP(Tabla1[[#This Row],[AREA]],Hoja1!A:B,2,FALSE)</f>
        <v>10. Servicios sociales y mediación comunitaria</v>
      </c>
      <c r="U413" s="35" t="str">
        <f>MID(Tabla1[[#This Row],[Aplicación]],9,4)</f>
        <v>2311</v>
      </c>
      <c r="V413" s="35" t="str">
        <f>VLOOKUP(Tabla1[[#This Row],[PROGRAMA]],Hoja1!A:B,2,FALSE)</f>
        <v>2311. Intervención social</v>
      </c>
      <c r="W413" s="35" t="str">
        <f>MID(Tabla1[[#This Row],[Aplicación]],14,2)</f>
        <v>63</v>
      </c>
      <c r="X413" s="35" t="str">
        <f>MID(Tabla1[[#This Row],[Aplicación]],14,6)</f>
        <v>632</v>
      </c>
    </row>
    <row r="414" spans="1:24" x14ac:dyDescent="0.25">
      <c r="A414" s="49">
        <v>220220010340</v>
      </c>
      <c r="B414" s="50" t="s">
        <v>9</v>
      </c>
      <c r="C414" s="57">
        <v>44641</v>
      </c>
      <c r="D414" s="49">
        <v>22022002952</v>
      </c>
      <c r="E414" s="50" t="s">
        <v>1744</v>
      </c>
      <c r="F414" s="58">
        <v>45.87</v>
      </c>
      <c r="G414" s="50" t="s">
        <v>589</v>
      </c>
      <c r="H414" s="50" t="s">
        <v>1857</v>
      </c>
      <c r="I414" s="49" t="s">
        <v>107</v>
      </c>
      <c r="J414" s="50" t="s">
        <v>109</v>
      </c>
      <c r="K414" s="50" t="s">
        <v>109</v>
      </c>
      <c r="L414" s="50" t="s">
        <v>12</v>
      </c>
      <c r="M414" s="50" t="s">
        <v>13</v>
      </c>
      <c r="N414" s="50" t="s">
        <v>16</v>
      </c>
      <c r="O414" s="48" t="s">
        <v>620</v>
      </c>
      <c r="P414" s="45" t="s">
        <v>453</v>
      </c>
      <c r="Q414" s="35" t="str">
        <f>MID(Tabla1[[#This Row],[Aplicación]],14,1)</f>
        <v>8</v>
      </c>
      <c r="R414" s="35" t="s">
        <v>443</v>
      </c>
      <c r="S414" s="35" t="str">
        <f>MID(Tabla1[[#This Row],[Aplicación]],6,2)</f>
        <v>08</v>
      </c>
      <c r="T414" s="35" t="str">
        <f>VLOOKUP(Tabla1[[#This Row],[AREA]],Hoja1!A:B,2,FALSE)</f>
        <v>08. Movilidad y espacio urbano</v>
      </c>
      <c r="U414" s="35" t="str">
        <f>MID(Tabla1[[#This Row],[Aplicación]],9,4)</f>
        <v>1513</v>
      </c>
      <c r="V414" s="35" t="str">
        <f>VLOOKUP(Tabla1[[#This Row],[PROGRAMA]],Hoja1!A:B,2,FALSE)</f>
        <v>1513. Licencias urbanísticas</v>
      </c>
      <c r="W414" s="35" t="str">
        <f>MID(Tabla1[[#This Row],[Aplicación]],14,2)</f>
        <v>83</v>
      </c>
      <c r="X414" s="35" t="str">
        <f>MID(Tabla1[[#This Row],[Aplicación]],14,6)</f>
        <v>83100</v>
      </c>
    </row>
    <row r="415" spans="1:24" x14ac:dyDescent="0.25">
      <c r="A415" s="49">
        <v>220220007938</v>
      </c>
      <c r="B415" s="50" t="s">
        <v>9</v>
      </c>
      <c r="C415" s="57">
        <v>44627</v>
      </c>
      <c r="D415" s="49">
        <v>22021008078</v>
      </c>
      <c r="E415" s="50" t="s">
        <v>1789</v>
      </c>
      <c r="F415" s="58">
        <v>27.01</v>
      </c>
      <c r="G415" s="50" t="s">
        <v>589</v>
      </c>
      <c r="H415" s="50" t="s">
        <v>1858</v>
      </c>
      <c r="I415" s="49" t="s">
        <v>181</v>
      </c>
      <c r="J415" s="50" t="s">
        <v>109</v>
      </c>
      <c r="K415" s="50" t="s">
        <v>109</v>
      </c>
      <c r="L415" s="50" t="s">
        <v>25</v>
      </c>
      <c r="M415" s="50" t="s">
        <v>13</v>
      </c>
      <c r="N415" s="50" t="s">
        <v>14</v>
      </c>
      <c r="O415" s="48" t="s">
        <v>620</v>
      </c>
      <c r="P415" s="45" t="s">
        <v>453</v>
      </c>
      <c r="Q415" s="35" t="str">
        <f>MID(Tabla1[[#This Row],[Aplicación]],14,1)</f>
        <v>6</v>
      </c>
      <c r="R415" s="35" t="s">
        <v>442</v>
      </c>
      <c r="S415" s="35" t="str">
        <f>MID(Tabla1[[#This Row],[Aplicación]],6,2)</f>
        <v>10</v>
      </c>
      <c r="T415" s="35" t="str">
        <f>VLOOKUP(Tabla1[[#This Row],[AREA]],Hoja1!A:B,2,FALSE)</f>
        <v>10. Servicios sociales y mediación comunitaria</v>
      </c>
      <c r="U415" s="35" t="str">
        <f>MID(Tabla1[[#This Row],[Aplicación]],9,4)</f>
        <v>2311</v>
      </c>
      <c r="V415" s="35" t="str">
        <f>VLOOKUP(Tabla1[[#This Row],[PROGRAMA]],Hoja1!A:B,2,FALSE)</f>
        <v>2311. Intervención social</v>
      </c>
      <c r="W415" s="35" t="str">
        <f>MID(Tabla1[[#This Row],[Aplicación]],14,2)</f>
        <v>63</v>
      </c>
      <c r="X415" s="35" t="str">
        <f>MID(Tabla1[[#This Row],[Aplicación]],14,6)</f>
        <v>632</v>
      </c>
    </row>
    <row r="416" spans="1:24" x14ac:dyDescent="0.25">
      <c r="A416" s="49">
        <v>220220005211</v>
      </c>
      <c r="B416" s="50" t="s">
        <v>9</v>
      </c>
      <c r="C416" s="57">
        <v>44614</v>
      </c>
      <c r="D416" s="49">
        <v>22022002260</v>
      </c>
      <c r="E416" s="50" t="s">
        <v>1859</v>
      </c>
      <c r="F416" s="58">
        <v>7260</v>
      </c>
      <c r="G416" s="50" t="s">
        <v>464</v>
      </c>
      <c r="H416" s="50" t="s">
        <v>1860</v>
      </c>
      <c r="I416" s="49" t="s">
        <v>107</v>
      </c>
      <c r="J416" s="50" t="s">
        <v>109</v>
      </c>
      <c r="K416" s="50" t="s">
        <v>109</v>
      </c>
      <c r="L416" s="50" t="s">
        <v>12</v>
      </c>
      <c r="M416" s="50" t="s">
        <v>10</v>
      </c>
      <c r="N416" s="50" t="s">
        <v>11</v>
      </c>
      <c r="O416" s="48" t="s">
        <v>632</v>
      </c>
      <c r="P416" s="45" t="s">
        <v>453</v>
      </c>
      <c r="Q416" s="35" t="str">
        <f>MID(Tabla1[[#This Row],[Aplicación]],14,1)</f>
        <v>2</v>
      </c>
      <c r="R416" s="35" t="s">
        <v>441</v>
      </c>
      <c r="S416" s="35" t="str">
        <f>MID(Tabla1[[#This Row],[Aplicación]],6,2)</f>
        <v>10</v>
      </c>
      <c r="T416" s="35" t="str">
        <f>VLOOKUP(Tabla1[[#This Row],[AREA]],Hoja1!A:B,2,FALSE)</f>
        <v>10. Servicios sociales y mediación comunitaria</v>
      </c>
      <c r="U416" s="35" t="str">
        <f>MID(Tabla1[[#This Row],[Aplicación]],9,4)</f>
        <v>2312</v>
      </c>
      <c r="V416" s="35" t="str">
        <f>VLOOKUP(Tabla1[[#This Row],[PROGRAMA]],Hoja1!A:B,2,FALSE)</f>
        <v>2312. Iniciativas sociales</v>
      </c>
      <c r="W416" s="35" t="str">
        <f>MID(Tabla1[[#This Row],[Aplicación]],14,2)</f>
        <v>22</v>
      </c>
      <c r="X416" s="35" t="str">
        <f>MID(Tabla1[[#This Row],[Aplicación]],14,6)</f>
        <v>22706</v>
      </c>
    </row>
    <row r="417" spans="1:24" x14ac:dyDescent="0.25">
      <c r="A417" s="49">
        <v>220220003845</v>
      </c>
      <c r="B417" s="50" t="s">
        <v>9</v>
      </c>
      <c r="C417" s="57">
        <v>44608</v>
      </c>
      <c r="D417" s="49">
        <v>22022002300</v>
      </c>
      <c r="E417" s="50" t="s">
        <v>1673</v>
      </c>
      <c r="F417" s="58">
        <v>2500</v>
      </c>
      <c r="G417" s="50" t="s">
        <v>900</v>
      </c>
      <c r="H417" s="50" t="s">
        <v>1861</v>
      </c>
      <c r="I417" s="49" t="s">
        <v>107</v>
      </c>
      <c r="J417" s="50" t="s">
        <v>109</v>
      </c>
      <c r="K417" s="50" t="s">
        <v>109</v>
      </c>
      <c r="L417" s="50" t="s">
        <v>12</v>
      </c>
      <c r="M417" s="50" t="s">
        <v>10</v>
      </c>
      <c r="N417" s="50" t="s">
        <v>11</v>
      </c>
      <c r="O417" s="48" t="s">
        <v>632</v>
      </c>
      <c r="P417" s="45" t="s">
        <v>453</v>
      </c>
      <c r="Q417" s="35" t="str">
        <f>MID(Tabla1[[#This Row],[Aplicación]],14,1)</f>
        <v>2</v>
      </c>
      <c r="R417" s="35" t="s">
        <v>441</v>
      </c>
      <c r="S417" s="35" t="str">
        <f>MID(Tabla1[[#This Row],[Aplicación]],6,2)</f>
        <v>06</v>
      </c>
      <c r="T417" s="35" t="str">
        <f>VLOOKUP(Tabla1[[#This Row],[AREA]],Hoja1!A:B,2,FALSE)</f>
        <v>06. Educación, infancia, juventud e igualdad</v>
      </c>
      <c r="U417" s="35" t="str">
        <f>MID(Tabla1[[#This Row],[Aplicación]],9,4)</f>
        <v>2315</v>
      </c>
      <c r="V417" s="35" t="str">
        <f>VLOOKUP(Tabla1[[#This Row],[PROGRAMA]],Hoja1!A:B,2,FALSE)</f>
        <v>2315. Políticas de Igualdad e infancia</v>
      </c>
      <c r="W417" s="35" t="str">
        <f>MID(Tabla1[[#This Row],[Aplicación]],14,2)</f>
        <v>22</v>
      </c>
      <c r="X417" s="35" t="str">
        <f>MID(Tabla1[[#This Row],[Aplicación]],14,6)</f>
        <v>22799</v>
      </c>
    </row>
    <row r="418" spans="1:24" x14ac:dyDescent="0.25">
      <c r="A418" s="49">
        <v>220220003478</v>
      </c>
      <c r="B418" s="50" t="s">
        <v>9</v>
      </c>
      <c r="C418" s="57">
        <v>44606</v>
      </c>
      <c r="D418" s="49">
        <v>22022001657</v>
      </c>
      <c r="E418" s="50" t="s">
        <v>1659</v>
      </c>
      <c r="F418" s="58">
        <v>1706.1</v>
      </c>
      <c r="G418" s="50" t="s">
        <v>1080</v>
      </c>
      <c r="H418" s="50" t="s">
        <v>1862</v>
      </c>
      <c r="I418" s="49" t="s">
        <v>107</v>
      </c>
      <c r="J418" s="50" t="s">
        <v>109</v>
      </c>
      <c r="K418" s="50" t="s">
        <v>109</v>
      </c>
      <c r="L418" s="50" t="s">
        <v>12</v>
      </c>
      <c r="M418" s="50" t="s">
        <v>10</v>
      </c>
      <c r="N418" s="50" t="s">
        <v>11</v>
      </c>
      <c r="O418" s="48" t="s">
        <v>632</v>
      </c>
      <c r="P418" s="45" t="s">
        <v>453</v>
      </c>
      <c r="Q418" s="35" t="str">
        <f>MID(Tabla1[[#This Row],[Aplicación]],14,1)</f>
        <v>2</v>
      </c>
      <c r="R418" s="35" t="s">
        <v>441</v>
      </c>
      <c r="S418" s="35" t="str">
        <f>MID(Tabla1[[#This Row],[Aplicación]],6,2)</f>
        <v>05</v>
      </c>
      <c r="T418" s="35" t="str">
        <f>VLOOKUP(Tabla1[[#This Row],[AREA]],Hoja1!A:B,2,FALSE)</f>
        <v>05. Innovación, desarrollo económico, empleo y comercio</v>
      </c>
      <c r="U418" s="35" t="str">
        <f>MID(Tabla1[[#This Row],[Aplicación]],9,4)</f>
        <v>4331</v>
      </c>
      <c r="V418" s="35" t="str">
        <f>VLOOKUP(Tabla1[[#This Row],[PROGRAMA]],Hoja1!A:B,2,FALSE)</f>
        <v>4331. Desarrollo empresarial</v>
      </c>
      <c r="W418" s="35" t="str">
        <f>MID(Tabla1[[#This Row],[Aplicación]],14,2)</f>
        <v>22</v>
      </c>
      <c r="X418" s="35" t="str">
        <f>MID(Tabla1[[#This Row],[Aplicación]],14,6)</f>
        <v>22799</v>
      </c>
    </row>
    <row r="419" spans="1:24" x14ac:dyDescent="0.25">
      <c r="A419" s="49">
        <v>220220003538</v>
      </c>
      <c r="B419" s="50" t="s">
        <v>9</v>
      </c>
      <c r="C419" s="57">
        <v>44607</v>
      </c>
      <c r="D419" s="49">
        <v>22022001658</v>
      </c>
      <c r="E419" s="50" t="s">
        <v>1659</v>
      </c>
      <c r="F419" s="58">
        <v>619.52</v>
      </c>
      <c r="G419" s="50" t="s">
        <v>1080</v>
      </c>
      <c r="H419" s="50" t="s">
        <v>1863</v>
      </c>
      <c r="I419" s="49" t="s">
        <v>107</v>
      </c>
      <c r="J419" s="50" t="s">
        <v>109</v>
      </c>
      <c r="K419" s="50" t="s">
        <v>109</v>
      </c>
      <c r="L419" s="50" t="s">
        <v>12</v>
      </c>
      <c r="M419" s="50" t="s">
        <v>10</v>
      </c>
      <c r="N419" s="50" t="s">
        <v>11</v>
      </c>
      <c r="O419" s="48" t="s">
        <v>632</v>
      </c>
      <c r="P419" s="45" t="s">
        <v>453</v>
      </c>
      <c r="Q419" s="35" t="str">
        <f>MID(Tabla1[[#This Row],[Aplicación]],14,1)</f>
        <v>2</v>
      </c>
      <c r="R419" s="35" t="s">
        <v>441</v>
      </c>
      <c r="S419" s="35" t="str">
        <f>MID(Tabla1[[#This Row],[Aplicación]],6,2)</f>
        <v>05</v>
      </c>
      <c r="T419" s="35" t="str">
        <f>VLOOKUP(Tabla1[[#This Row],[AREA]],Hoja1!A:B,2,FALSE)</f>
        <v>05. Innovación, desarrollo económico, empleo y comercio</v>
      </c>
      <c r="U419" s="35" t="str">
        <f>MID(Tabla1[[#This Row],[Aplicación]],9,4)</f>
        <v>4331</v>
      </c>
      <c r="V419" s="35" t="str">
        <f>VLOOKUP(Tabla1[[#This Row],[PROGRAMA]],Hoja1!A:B,2,FALSE)</f>
        <v>4331. Desarrollo empresarial</v>
      </c>
      <c r="W419" s="35" t="str">
        <f>MID(Tabla1[[#This Row],[Aplicación]],14,2)</f>
        <v>22</v>
      </c>
      <c r="X419" s="35" t="str">
        <f>MID(Tabla1[[#This Row],[Aplicación]],14,6)</f>
        <v>22799</v>
      </c>
    </row>
    <row r="420" spans="1:24" x14ac:dyDescent="0.25">
      <c r="A420" s="49">
        <v>220220000420</v>
      </c>
      <c r="B420" s="50" t="s">
        <v>9</v>
      </c>
      <c r="C420" s="57">
        <v>44586</v>
      </c>
      <c r="D420" s="49">
        <v>22022001586</v>
      </c>
      <c r="E420" s="50" t="s">
        <v>1864</v>
      </c>
      <c r="F420" s="58">
        <v>1950</v>
      </c>
      <c r="G420" s="50" t="s">
        <v>886</v>
      </c>
      <c r="H420" s="50" t="s">
        <v>1865</v>
      </c>
      <c r="I420" s="49" t="s">
        <v>107</v>
      </c>
      <c r="J420" s="50" t="s">
        <v>134</v>
      </c>
      <c r="K420" s="50" t="s">
        <v>134</v>
      </c>
      <c r="L420" s="50" t="s">
        <v>17</v>
      </c>
      <c r="M420" s="50" t="s">
        <v>10</v>
      </c>
      <c r="N420" s="50" t="s">
        <v>11</v>
      </c>
      <c r="O420" s="48" t="s">
        <v>632</v>
      </c>
      <c r="P420" s="45" t="s">
        <v>453</v>
      </c>
      <c r="Q420" s="35" t="str">
        <f>MID(Tabla1[[#This Row],[Aplicación]],14,1)</f>
        <v>2</v>
      </c>
      <c r="R420" s="35" t="s">
        <v>441</v>
      </c>
      <c r="S420" s="35" t="str">
        <f>MID(Tabla1[[#This Row],[Aplicación]],6,2)</f>
        <v>04</v>
      </c>
      <c r="T420" s="35" t="str">
        <f>VLOOKUP(Tabla1[[#This Row],[AREA]],Hoja1!A:B,2,FALSE)</f>
        <v>04. Planificación y recursos</v>
      </c>
      <c r="U420" s="35" t="str">
        <f>MID(Tabla1[[#This Row],[Aplicación]],9,4)</f>
        <v>9202</v>
      </c>
      <c r="V420" s="35" t="str">
        <f>VLOOKUP(Tabla1[[#This Row],[PROGRAMA]],Hoja1!A:B,2,FALSE)</f>
        <v>9202. Gestión de recursos humanos</v>
      </c>
      <c r="W420" s="35" t="str">
        <f>MID(Tabla1[[#This Row],[Aplicación]],14,2)</f>
        <v>22</v>
      </c>
      <c r="X420" s="35" t="str">
        <f>MID(Tabla1[[#This Row],[Aplicación]],14,6)</f>
        <v>22607</v>
      </c>
    </row>
    <row r="421" spans="1:24" x14ac:dyDescent="0.25">
      <c r="A421" s="49">
        <v>220219000923</v>
      </c>
      <c r="B421" s="50" t="s">
        <v>9</v>
      </c>
      <c r="C421" s="57">
        <v>44562</v>
      </c>
      <c r="D421" s="49">
        <v>22022000119</v>
      </c>
      <c r="E421" s="50" t="s">
        <v>1866</v>
      </c>
      <c r="F421" s="58">
        <v>27000</v>
      </c>
      <c r="G421" s="50" t="s">
        <v>38</v>
      </c>
      <c r="H421" s="50" t="s">
        <v>1867</v>
      </c>
      <c r="I421" s="49" t="s">
        <v>107</v>
      </c>
      <c r="J421" s="50" t="s">
        <v>129</v>
      </c>
      <c r="K421" s="50" t="s">
        <v>170</v>
      </c>
      <c r="L421" s="50" t="s">
        <v>15</v>
      </c>
      <c r="M421" s="50" t="s">
        <v>13</v>
      </c>
      <c r="N421" s="50" t="s">
        <v>14</v>
      </c>
      <c r="O421" s="48" t="s">
        <v>620</v>
      </c>
      <c r="P421" s="45" t="s">
        <v>453</v>
      </c>
      <c r="Q421" s="35" t="str">
        <f>MID(Tabla1[[#This Row],[Aplicación]],14,1)</f>
        <v>2</v>
      </c>
      <c r="R421" s="35" t="s">
        <v>441</v>
      </c>
      <c r="S421" s="35" t="str">
        <f>MID(Tabla1[[#This Row],[Aplicación]],6,2)</f>
        <v>09</v>
      </c>
      <c r="T421" s="35" t="str">
        <f>VLOOKUP(Tabla1[[#This Row],[AREA]],Hoja1!A:B,2,FALSE)</f>
        <v>09. Cultura y turismo</v>
      </c>
      <c r="U421" s="35" t="str">
        <f>MID(Tabla1[[#This Row],[Aplicación]],9,4)</f>
        <v>4321</v>
      </c>
      <c r="V421" s="35" t="str">
        <f>VLOOKUP(Tabla1[[#This Row],[PROGRAMA]],Hoja1!A:B,2,FALSE)</f>
        <v>4321. Turismo</v>
      </c>
      <c r="W421" s="35" t="str">
        <f>MID(Tabla1[[#This Row],[Aplicación]],14,2)</f>
        <v>22</v>
      </c>
      <c r="X421" s="35" t="str">
        <f>MID(Tabla1[[#This Row],[Aplicación]],14,6)</f>
        <v>22100</v>
      </c>
    </row>
    <row r="422" spans="1:24" x14ac:dyDescent="0.25">
      <c r="A422" s="49">
        <v>220220010688</v>
      </c>
      <c r="B422" s="50" t="s">
        <v>9</v>
      </c>
      <c r="C422" s="57">
        <v>44642</v>
      </c>
      <c r="D422" s="49">
        <v>22022002966</v>
      </c>
      <c r="E422" s="50" t="s">
        <v>1744</v>
      </c>
      <c r="F422" s="58">
        <v>22.59</v>
      </c>
      <c r="G422" s="50" t="s">
        <v>589</v>
      </c>
      <c r="H422" s="50" t="s">
        <v>1869</v>
      </c>
      <c r="I422" s="49" t="s">
        <v>107</v>
      </c>
      <c r="J422" s="50" t="s">
        <v>109</v>
      </c>
      <c r="K422" s="50" t="s">
        <v>109</v>
      </c>
      <c r="L422" s="50" t="s">
        <v>12</v>
      </c>
      <c r="M422" s="50" t="s">
        <v>13</v>
      </c>
      <c r="N422" s="50" t="s">
        <v>16</v>
      </c>
      <c r="O422" s="48" t="s">
        <v>620</v>
      </c>
      <c r="P422" s="45" t="s">
        <v>453</v>
      </c>
      <c r="Q422" s="35" t="str">
        <f>MID(Tabla1[[#This Row],[Aplicación]],14,1)</f>
        <v>8</v>
      </c>
      <c r="R422" s="35" t="s">
        <v>443</v>
      </c>
      <c r="S422" s="35" t="str">
        <f>MID(Tabla1[[#This Row],[Aplicación]],6,2)</f>
        <v>08</v>
      </c>
      <c r="T422" s="35" t="str">
        <f>VLOOKUP(Tabla1[[#This Row],[AREA]],Hoja1!A:B,2,FALSE)</f>
        <v>08. Movilidad y espacio urbano</v>
      </c>
      <c r="U422" s="35" t="str">
        <f>MID(Tabla1[[#This Row],[Aplicación]],9,4)</f>
        <v>1513</v>
      </c>
      <c r="V422" s="35" t="str">
        <f>VLOOKUP(Tabla1[[#This Row],[PROGRAMA]],Hoja1!A:B,2,FALSE)</f>
        <v>1513. Licencias urbanísticas</v>
      </c>
      <c r="W422" s="35" t="str">
        <f>MID(Tabla1[[#This Row],[Aplicación]],14,2)</f>
        <v>83</v>
      </c>
      <c r="X422" s="35" t="str">
        <f>MID(Tabla1[[#This Row],[Aplicación]],14,6)</f>
        <v>83100</v>
      </c>
    </row>
    <row r="423" spans="1:24" x14ac:dyDescent="0.25">
      <c r="A423" s="49">
        <v>220220007937</v>
      </c>
      <c r="B423" s="50" t="s">
        <v>9</v>
      </c>
      <c r="C423" s="57">
        <v>44627</v>
      </c>
      <c r="D423" s="49">
        <v>22021008070</v>
      </c>
      <c r="E423" s="50" t="s">
        <v>1789</v>
      </c>
      <c r="F423" s="58">
        <v>228.04</v>
      </c>
      <c r="G423" s="50" t="s">
        <v>1010</v>
      </c>
      <c r="H423" s="50" t="s">
        <v>1870</v>
      </c>
      <c r="I423" s="49" t="s">
        <v>181</v>
      </c>
      <c r="J423" s="50" t="s">
        <v>1011</v>
      </c>
      <c r="K423" s="50" t="s">
        <v>128</v>
      </c>
      <c r="L423" s="50" t="s">
        <v>25</v>
      </c>
      <c r="M423" s="50" t="s">
        <v>13</v>
      </c>
      <c r="N423" s="50" t="s">
        <v>14</v>
      </c>
      <c r="O423" s="48" t="s">
        <v>631</v>
      </c>
      <c r="P423" s="45" t="s">
        <v>453</v>
      </c>
      <c r="Q423" s="35" t="str">
        <f>MID(Tabla1[[#This Row],[Aplicación]],14,1)</f>
        <v>6</v>
      </c>
      <c r="R423" s="35" t="s">
        <v>442</v>
      </c>
      <c r="S423" s="35" t="str">
        <f>MID(Tabla1[[#This Row],[Aplicación]],6,2)</f>
        <v>10</v>
      </c>
      <c r="T423" s="35" t="str">
        <f>VLOOKUP(Tabla1[[#This Row],[AREA]],Hoja1!A:B,2,FALSE)</f>
        <v>10. Servicios sociales y mediación comunitaria</v>
      </c>
      <c r="U423" s="35" t="str">
        <f>MID(Tabla1[[#This Row],[Aplicación]],9,4)</f>
        <v>2311</v>
      </c>
      <c r="V423" s="35" t="str">
        <f>VLOOKUP(Tabla1[[#This Row],[PROGRAMA]],Hoja1!A:B,2,FALSE)</f>
        <v>2311. Intervención social</v>
      </c>
      <c r="W423" s="35" t="str">
        <f>MID(Tabla1[[#This Row],[Aplicación]],14,2)</f>
        <v>63</v>
      </c>
      <c r="X423" s="35" t="str">
        <f>MID(Tabla1[[#This Row],[Aplicación]],14,6)</f>
        <v>632</v>
      </c>
    </row>
    <row r="424" spans="1:24" x14ac:dyDescent="0.25">
      <c r="A424" s="49">
        <v>220220010179</v>
      </c>
      <c r="B424" s="50" t="s">
        <v>9</v>
      </c>
      <c r="C424" s="57">
        <v>44638</v>
      </c>
      <c r="D424" s="49">
        <v>22022002654</v>
      </c>
      <c r="E424" s="50" t="s">
        <v>1410</v>
      </c>
      <c r="F424" s="58">
        <v>8992.16</v>
      </c>
      <c r="G424" s="50" t="s">
        <v>1010</v>
      </c>
      <c r="H424" s="50" t="s">
        <v>1871</v>
      </c>
      <c r="I424" s="49" t="s">
        <v>107</v>
      </c>
      <c r="J424" s="50" t="s">
        <v>1011</v>
      </c>
      <c r="K424" s="50" t="s">
        <v>128</v>
      </c>
      <c r="L424" s="50" t="s">
        <v>12</v>
      </c>
      <c r="M424" s="50" t="s">
        <v>13</v>
      </c>
      <c r="N424" s="50" t="s">
        <v>14</v>
      </c>
      <c r="O424" s="48" t="s">
        <v>631</v>
      </c>
      <c r="P424" s="45" t="s">
        <v>453</v>
      </c>
      <c r="Q424" s="35" t="str">
        <f>MID(Tabla1[[#This Row],[Aplicación]],14,1)</f>
        <v>6</v>
      </c>
      <c r="R424" s="35" t="s">
        <v>442</v>
      </c>
      <c r="S424" s="35" t="str">
        <f>MID(Tabla1[[#This Row],[Aplicación]],6,2)</f>
        <v>03</v>
      </c>
      <c r="T424" s="35" t="str">
        <f>VLOOKUP(Tabla1[[#This Row],[AREA]],Hoja1!A:B,2,FALSE)</f>
        <v>03. Participación ciudadana y deportes</v>
      </c>
      <c r="U424" s="35" t="str">
        <f>MID(Tabla1[[#This Row],[Aplicación]],9,4)</f>
        <v>9241</v>
      </c>
      <c r="V424" s="35" t="str">
        <f>VLOOKUP(Tabla1[[#This Row],[PROGRAMA]],Hoja1!A:B,2,FALSE)</f>
        <v>9241. Participación ciudadana</v>
      </c>
      <c r="W424" s="35" t="str">
        <f>MID(Tabla1[[#This Row],[Aplicación]],14,2)</f>
        <v>63</v>
      </c>
      <c r="X424" s="35" t="str">
        <f>MID(Tabla1[[#This Row],[Aplicación]],14,6)</f>
        <v>632</v>
      </c>
    </row>
    <row r="425" spans="1:24" x14ac:dyDescent="0.25">
      <c r="A425" s="49">
        <v>220220005201</v>
      </c>
      <c r="B425" s="50" t="s">
        <v>9</v>
      </c>
      <c r="C425" s="57">
        <v>44614</v>
      </c>
      <c r="D425" s="49">
        <v>22022002173</v>
      </c>
      <c r="E425" s="50" t="s">
        <v>1872</v>
      </c>
      <c r="F425" s="58">
        <v>147.09</v>
      </c>
      <c r="G425" s="50" t="s">
        <v>1010</v>
      </c>
      <c r="H425" s="50" t="s">
        <v>1873</v>
      </c>
      <c r="I425" s="49" t="s">
        <v>107</v>
      </c>
      <c r="J425" s="50" t="s">
        <v>1011</v>
      </c>
      <c r="K425" s="50" t="s">
        <v>128</v>
      </c>
      <c r="L425" s="50" t="s">
        <v>12</v>
      </c>
      <c r="M425" s="50" t="s">
        <v>13</v>
      </c>
      <c r="N425" s="50" t="s">
        <v>14</v>
      </c>
      <c r="O425" s="48" t="s">
        <v>631</v>
      </c>
      <c r="P425" s="45" t="s">
        <v>453</v>
      </c>
      <c r="Q425" s="35" t="str">
        <f>MID(Tabla1[[#This Row],[Aplicación]],14,1)</f>
        <v>6</v>
      </c>
      <c r="R425" s="35" t="s">
        <v>442</v>
      </c>
      <c r="S425" s="35" t="str">
        <f>MID(Tabla1[[#This Row],[Aplicación]],6,2)</f>
        <v>10</v>
      </c>
      <c r="T425" s="35" t="str">
        <f>VLOOKUP(Tabla1[[#This Row],[AREA]],Hoja1!A:B,2,FALSE)</f>
        <v>10. Servicios sociales y mediación comunitaria</v>
      </c>
      <c r="U425" s="35" t="str">
        <f>MID(Tabla1[[#This Row],[Aplicación]],9,4)</f>
        <v>2312</v>
      </c>
      <c r="V425" s="35" t="str">
        <f>VLOOKUP(Tabla1[[#This Row],[PROGRAMA]],Hoja1!A:B,2,FALSE)</f>
        <v>2312. Iniciativas sociales</v>
      </c>
      <c r="W425" s="35" t="str">
        <f>MID(Tabla1[[#This Row],[Aplicación]],14,2)</f>
        <v>63</v>
      </c>
      <c r="X425" s="35" t="str">
        <f>MID(Tabla1[[#This Row],[Aplicación]],14,6)</f>
        <v>632</v>
      </c>
    </row>
    <row r="426" spans="1:24" x14ac:dyDescent="0.25">
      <c r="A426" s="49">
        <v>220220009340</v>
      </c>
      <c r="B426" s="50" t="s">
        <v>9</v>
      </c>
      <c r="C426" s="57">
        <v>44636</v>
      </c>
      <c r="D426" s="49">
        <v>22022002628</v>
      </c>
      <c r="E426" s="50" t="s">
        <v>1859</v>
      </c>
      <c r="F426" s="58">
        <v>11.86</v>
      </c>
      <c r="G426" s="50" t="s">
        <v>589</v>
      </c>
      <c r="H426" s="50" t="s">
        <v>1874</v>
      </c>
      <c r="I426" s="49" t="s">
        <v>107</v>
      </c>
      <c r="J426" s="50" t="s">
        <v>109</v>
      </c>
      <c r="K426" s="50" t="s">
        <v>109</v>
      </c>
      <c r="L426" s="50" t="s">
        <v>12</v>
      </c>
      <c r="M426" s="50" t="s">
        <v>10</v>
      </c>
      <c r="N426" s="50" t="s">
        <v>11</v>
      </c>
      <c r="O426" s="48" t="s">
        <v>632</v>
      </c>
      <c r="P426" s="45" t="s">
        <v>453</v>
      </c>
      <c r="Q426" s="35" t="str">
        <f>MID(Tabla1[[#This Row],[Aplicación]],14,1)</f>
        <v>2</v>
      </c>
      <c r="R426" s="35" t="s">
        <v>441</v>
      </c>
      <c r="S426" s="35" t="str">
        <f>MID(Tabla1[[#This Row],[Aplicación]],6,2)</f>
        <v>10</v>
      </c>
      <c r="T426" s="35" t="str">
        <f>VLOOKUP(Tabla1[[#This Row],[AREA]],Hoja1!A:B,2,FALSE)</f>
        <v>10. Servicios sociales y mediación comunitaria</v>
      </c>
      <c r="U426" s="35" t="str">
        <f>MID(Tabla1[[#This Row],[Aplicación]],9,4)</f>
        <v>2312</v>
      </c>
      <c r="V426" s="35" t="str">
        <f>VLOOKUP(Tabla1[[#This Row],[PROGRAMA]],Hoja1!A:B,2,FALSE)</f>
        <v>2312. Iniciativas sociales</v>
      </c>
      <c r="W426" s="35" t="str">
        <f>MID(Tabla1[[#This Row],[Aplicación]],14,2)</f>
        <v>22</v>
      </c>
      <c r="X426" s="35" t="str">
        <f>MID(Tabla1[[#This Row],[Aplicación]],14,6)</f>
        <v>22706</v>
      </c>
    </row>
    <row r="427" spans="1:24" x14ac:dyDescent="0.25">
      <c r="A427" s="49">
        <v>220210040689</v>
      </c>
      <c r="B427" s="50" t="s">
        <v>9</v>
      </c>
      <c r="C427" s="57">
        <v>44620</v>
      </c>
      <c r="D427" s="49">
        <v>22021005577</v>
      </c>
      <c r="E427" s="50" t="s">
        <v>1789</v>
      </c>
      <c r="F427" s="58">
        <v>3.56</v>
      </c>
      <c r="G427" s="50" t="s">
        <v>589</v>
      </c>
      <c r="H427" s="50" t="s">
        <v>1040</v>
      </c>
      <c r="I427" s="49" t="s">
        <v>107</v>
      </c>
      <c r="J427" s="50" t="s">
        <v>109</v>
      </c>
      <c r="K427" s="50" t="s">
        <v>109</v>
      </c>
      <c r="L427" s="50" t="s">
        <v>12</v>
      </c>
      <c r="M427" s="50" t="s">
        <v>13</v>
      </c>
      <c r="N427" s="50" t="s">
        <v>14</v>
      </c>
      <c r="O427" s="48" t="s">
        <v>620</v>
      </c>
      <c r="P427" s="45" t="s">
        <v>453</v>
      </c>
      <c r="Q427" s="35" t="str">
        <f>MID(Tabla1[[#This Row],[Aplicación]],14,1)</f>
        <v>6</v>
      </c>
      <c r="R427" s="35" t="s">
        <v>442</v>
      </c>
      <c r="S427" s="35" t="str">
        <f>MID(Tabla1[[#This Row],[Aplicación]],6,2)</f>
        <v>10</v>
      </c>
      <c r="T427" s="35" t="str">
        <f>VLOOKUP(Tabla1[[#This Row],[AREA]],Hoja1!A:B,2,FALSE)</f>
        <v>10. Servicios sociales y mediación comunitaria</v>
      </c>
      <c r="U427" s="35" t="str">
        <f>MID(Tabla1[[#This Row],[Aplicación]],9,4)</f>
        <v>2311</v>
      </c>
      <c r="V427" s="35" t="str">
        <f>VLOOKUP(Tabla1[[#This Row],[PROGRAMA]],Hoja1!A:B,2,FALSE)</f>
        <v>2311. Intervención social</v>
      </c>
      <c r="W427" s="35" t="str">
        <f>MID(Tabla1[[#This Row],[Aplicación]],14,2)</f>
        <v>63</v>
      </c>
      <c r="X427" s="35" t="str">
        <f>MID(Tabla1[[#This Row],[Aplicación]],14,6)</f>
        <v>632</v>
      </c>
    </row>
    <row r="428" spans="1:24" x14ac:dyDescent="0.25">
      <c r="A428" s="49">
        <v>220219000532</v>
      </c>
      <c r="B428" s="50" t="s">
        <v>9</v>
      </c>
      <c r="C428" s="57">
        <v>44562</v>
      </c>
      <c r="D428" s="49">
        <v>22022000079</v>
      </c>
      <c r="E428" s="50" t="s">
        <v>1408</v>
      </c>
      <c r="F428" s="58">
        <v>1270.5</v>
      </c>
      <c r="G428" s="50" t="s">
        <v>636</v>
      </c>
      <c r="H428" s="50" t="s">
        <v>1049</v>
      </c>
      <c r="I428" s="49" t="s">
        <v>107</v>
      </c>
      <c r="J428" s="50" t="s">
        <v>167</v>
      </c>
      <c r="K428" s="50" t="s">
        <v>167</v>
      </c>
      <c r="L428" s="50" t="s">
        <v>15</v>
      </c>
      <c r="M428" s="50" t="s">
        <v>13</v>
      </c>
      <c r="N428" s="50" t="s">
        <v>14</v>
      </c>
      <c r="O428" s="48" t="s">
        <v>620</v>
      </c>
      <c r="P428" s="45" t="s">
        <v>453</v>
      </c>
      <c r="Q428" s="35" t="str">
        <f>MID(Tabla1[[#This Row],[Aplicación]],14,1)</f>
        <v>2</v>
      </c>
      <c r="R428" s="35" t="s">
        <v>441</v>
      </c>
      <c r="S428" s="35" t="str">
        <f>MID(Tabla1[[#This Row],[Aplicación]],6,2)</f>
        <v>04</v>
      </c>
      <c r="T428" s="35" t="str">
        <f>VLOOKUP(Tabla1[[#This Row],[AREA]],Hoja1!A:B,2,FALSE)</f>
        <v>04. Planificación y recursos</v>
      </c>
      <c r="U428" s="35" t="str">
        <f>MID(Tabla1[[#This Row],[Aplicación]],9,4)</f>
        <v>9204</v>
      </c>
      <c r="V428" s="35" t="str">
        <f>VLOOKUP(Tabla1[[#This Row],[PROGRAMA]],Hoja1!A:B,2,FALSE)</f>
        <v>9204. Tecnologías de la información y comunicación</v>
      </c>
      <c r="W428" s="35" t="str">
        <f>MID(Tabla1[[#This Row],[Aplicación]],14,2)</f>
        <v>21</v>
      </c>
      <c r="X428" s="35" t="str">
        <f>MID(Tabla1[[#This Row],[Aplicación]],14,6)</f>
        <v>216</v>
      </c>
    </row>
    <row r="429" spans="1:24" x14ac:dyDescent="0.25">
      <c r="A429" s="49">
        <v>220220003514</v>
      </c>
      <c r="B429" s="50" t="s">
        <v>9</v>
      </c>
      <c r="C429" s="57">
        <v>44606</v>
      </c>
      <c r="D429" s="49">
        <v>22022001926</v>
      </c>
      <c r="E429" s="50" t="s">
        <v>1676</v>
      </c>
      <c r="F429" s="58">
        <v>30189.5</v>
      </c>
      <c r="G429" s="50" t="s">
        <v>939</v>
      </c>
      <c r="H429" s="50" t="s">
        <v>1875</v>
      </c>
      <c r="I429" s="49" t="s">
        <v>107</v>
      </c>
      <c r="J429" s="50" t="s">
        <v>108</v>
      </c>
      <c r="K429" s="50" t="s">
        <v>108</v>
      </c>
      <c r="L429" s="50" t="s">
        <v>15</v>
      </c>
      <c r="M429" s="50" t="s">
        <v>13</v>
      </c>
      <c r="N429" s="50" t="s">
        <v>16</v>
      </c>
      <c r="O429" s="48" t="s">
        <v>620</v>
      </c>
      <c r="P429" s="45" t="s">
        <v>453</v>
      </c>
      <c r="Q429" s="35" t="str">
        <f>MID(Tabla1[[#This Row],[Aplicación]],14,1)</f>
        <v>6</v>
      </c>
      <c r="R429" s="35" t="s">
        <v>442</v>
      </c>
      <c r="S429" s="35" t="str">
        <f>MID(Tabla1[[#This Row],[Aplicación]],6,2)</f>
        <v>04</v>
      </c>
      <c r="T429" s="35" t="str">
        <f>VLOOKUP(Tabla1[[#This Row],[AREA]],Hoja1!A:B,2,FALSE)</f>
        <v>04. Planificación y recursos</v>
      </c>
      <c r="U429" s="35" t="str">
        <f>MID(Tabla1[[#This Row],[Aplicación]],9,4)</f>
        <v>9204</v>
      </c>
      <c r="V429" s="35" t="str">
        <f>VLOOKUP(Tabla1[[#This Row],[PROGRAMA]],Hoja1!A:B,2,FALSE)</f>
        <v>9204. Tecnologías de la información y comunicación</v>
      </c>
      <c r="W429" s="35" t="str">
        <f>MID(Tabla1[[#This Row],[Aplicación]],14,2)</f>
        <v>64</v>
      </c>
      <c r="X429" s="35" t="str">
        <f>MID(Tabla1[[#This Row],[Aplicación]],14,6)</f>
        <v>641</v>
      </c>
    </row>
    <row r="430" spans="1:24" x14ac:dyDescent="0.25">
      <c r="A430" s="49">
        <v>220220008332</v>
      </c>
      <c r="B430" s="50" t="s">
        <v>172</v>
      </c>
      <c r="C430" s="57">
        <v>44631</v>
      </c>
      <c r="D430" s="49">
        <v>22022001623</v>
      </c>
      <c r="E430" s="50" t="s">
        <v>1606</v>
      </c>
      <c r="F430" s="58">
        <v>951.88</v>
      </c>
      <c r="G430" s="50" t="s">
        <v>85</v>
      </c>
      <c r="H430" s="50" t="s">
        <v>1876</v>
      </c>
      <c r="I430" s="49" t="s">
        <v>173</v>
      </c>
      <c r="J430" s="50" t="s">
        <v>109</v>
      </c>
      <c r="K430" s="50" t="s">
        <v>109</v>
      </c>
      <c r="L430" s="50" t="s">
        <v>15</v>
      </c>
      <c r="M430" s="50" t="s">
        <v>13</v>
      </c>
      <c r="N430" s="50" t="s">
        <v>14</v>
      </c>
      <c r="O430" s="48" t="s">
        <v>631</v>
      </c>
      <c r="P430" s="45" t="s">
        <v>453</v>
      </c>
      <c r="Q430" s="35" t="str">
        <f>MID(Tabla1[[#This Row],[Aplicación]],14,1)</f>
        <v>2</v>
      </c>
      <c r="R430" s="35" t="s">
        <v>441</v>
      </c>
      <c r="S430" s="35" t="str">
        <f>MID(Tabla1[[#This Row],[Aplicación]],6,2)</f>
        <v>11</v>
      </c>
      <c r="T430" s="35" t="str">
        <f>VLOOKUP(Tabla1[[#This Row],[AREA]],Hoja1!A:B,2,FALSE)</f>
        <v>11. Salud pública y seguridad ciudadana</v>
      </c>
      <c r="U430" s="35" t="str">
        <f>MID(Tabla1[[#This Row],[Aplicación]],9,4)</f>
        <v>1361</v>
      </c>
      <c r="V430" s="35" t="str">
        <f>VLOOKUP(Tabla1[[#This Row],[PROGRAMA]],Hoja1!A:B,2,FALSE)</f>
        <v>1361. Prevención y extinción de incencios</v>
      </c>
      <c r="W430" s="35" t="str">
        <f>MID(Tabla1[[#This Row],[Aplicación]],14,2)</f>
        <v>22</v>
      </c>
      <c r="X430" s="35" t="str">
        <f>MID(Tabla1[[#This Row],[Aplicación]],14,6)</f>
        <v>22199</v>
      </c>
    </row>
    <row r="431" spans="1:24" x14ac:dyDescent="0.25">
      <c r="A431" s="49">
        <v>220220008962</v>
      </c>
      <c r="B431" s="50" t="s">
        <v>9</v>
      </c>
      <c r="C431" s="57">
        <v>44635</v>
      </c>
      <c r="D431" s="49">
        <v>22022002371</v>
      </c>
      <c r="E431" s="50" t="s">
        <v>1397</v>
      </c>
      <c r="F431" s="58">
        <v>14400</v>
      </c>
      <c r="G431" s="50" t="s">
        <v>1877</v>
      </c>
      <c r="H431" s="50" t="s">
        <v>1878</v>
      </c>
      <c r="I431" s="49" t="s">
        <v>107</v>
      </c>
      <c r="J431" s="50" t="s">
        <v>109</v>
      </c>
      <c r="K431" s="50" t="s">
        <v>154</v>
      </c>
      <c r="L431" s="50" t="s">
        <v>12</v>
      </c>
      <c r="M431" s="50" t="s">
        <v>10</v>
      </c>
      <c r="N431" s="50" t="s">
        <v>11</v>
      </c>
      <c r="O431" s="48" t="s">
        <v>632</v>
      </c>
      <c r="P431" s="45" t="s">
        <v>453</v>
      </c>
      <c r="Q431" s="35" t="str">
        <f>MID(Tabla1[[#This Row],[Aplicación]],14,1)</f>
        <v>2</v>
      </c>
      <c r="R431" s="35" t="s">
        <v>441</v>
      </c>
      <c r="S431" s="35" t="str">
        <f>MID(Tabla1[[#This Row],[Aplicación]],6,2)</f>
        <v>10</v>
      </c>
      <c r="T431" s="35" t="str">
        <f>VLOOKUP(Tabla1[[#This Row],[AREA]],Hoja1!A:B,2,FALSE)</f>
        <v>10. Servicios sociales y mediación comunitaria</v>
      </c>
      <c r="U431" s="35" t="str">
        <f>MID(Tabla1[[#This Row],[Aplicación]],9,4)</f>
        <v>2312</v>
      </c>
      <c r="V431" s="35" t="str">
        <f>VLOOKUP(Tabla1[[#This Row],[PROGRAMA]],Hoja1!A:B,2,FALSE)</f>
        <v>2312. Iniciativas sociales</v>
      </c>
      <c r="W431" s="35" t="str">
        <f>MID(Tabla1[[#This Row],[Aplicación]],14,2)</f>
        <v>22</v>
      </c>
      <c r="X431" s="35" t="str">
        <f>MID(Tabla1[[#This Row],[Aplicación]],14,6)</f>
        <v>22799</v>
      </c>
    </row>
    <row r="432" spans="1:24" x14ac:dyDescent="0.25">
      <c r="A432" s="49">
        <v>220220005790</v>
      </c>
      <c r="B432" s="50" t="s">
        <v>9</v>
      </c>
      <c r="C432" s="57">
        <v>44615</v>
      </c>
      <c r="D432" s="49">
        <v>22022001518</v>
      </c>
      <c r="E432" s="50" t="s">
        <v>1508</v>
      </c>
      <c r="F432" s="58">
        <v>611.04999999999995</v>
      </c>
      <c r="G432" s="50" t="s">
        <v>85</v>
      </c>
      <c r="H432" s="50" t="s">
        <v>1879</v>
      </c>
      <c r="I432" s="49" t="s">
        <v>107</v>
      </c>
      <c r="J432" s="50" t="s">
        <v>109</v>
      </c>
      <c r="K432" s="50" t="s">
        <v>109</v>
      </c>
      <c r="L432" s="50" t="s">
        <v>15</v>
      </c>
      <c r="M432" s="50" t="s">
        <v>13</v>
      </c>
      <c r="N432" s="50" t="s">
        <v>14</v>
      </c>
      <c r="O432" s="48" t="s">
        <v>631</v>
      </c>
      <c r="P432" s="45" t="s">
        <v>453</v>
      </c>
      <c r="Q432" s="35" t="str">
        <f>MID(Tabla1[[#This Row],[Aplicación]],14,1)</f>
        <v>2</v>
      </c>
      <c r="R432" s="35" t="s">
        <v>441</v>
      </c>
      <c r="S432" s="35" t="str">
        <f>MID(Tabla1[[#This Row],[Aplicación]],6,2)</f>
        <v>01</v>
      </c>
      <c r="T432" s="35" t="str">
        <f>VLOOKUP(Tabla1[[#This Row],[AREA]],Hoja1!A:B,2,FALSE)</f>
        <v>01. Alcaldía</v>
      </c>
      <c r="U432" s="35" t="str">
        <f>MID(Tabla1[[#This Row],[Aplicación]],9,4)</f>
        <v>9205</v>
      </c>
      <c r="V432" s="35" t="str">
        <f>VLOOKUP(Tabla1[[#This Row],[PROGRAMA]],Hoja1!A:B,2,FALSE)</f>
        <v>9205. Imprenta municipal</v>
      </c>
      <c r="W432" s="35" t="str">
        <f>MID(Tabla1[[#This Row],[Aplicación]],14,2)</f>
        <v>21</v>
      </c>
      <c r="X432" s="35" t="str">
        <f>MID(Tabla1[[#This Row],[Aplicación]],14,6)</f>
        <v>213</v>
      </c>
    </row>
    <row r="433" spans="1:24" x14ac:dyDescent="0.25">
      <c r="A433" s="49">
        <v>220219000705</v>
      </c>
      <c r="B433" s="50" t="s">
        <v>9</v>
      </c>
      <c r="C433" s="57">
        <v>44562</v>
      </c>
      <c r="D433" s="49">
        <v>22022000094</v>
      </c>
      <c r="E433" s="50" t="s">
        <v>1397</v>
      </c>
      <c r="F433" s="58">
        <v>3200</v>
      </c>
      <c r="G433" s="50" t="s">
        <v>1877</v>
      </c>
      <c r="H433" s="50" t="s">
        <v>1880</v>
      </c>
      <c r="I433" s="49" t="s">
        <v>107</v>
      </c>
      <c r="J433" s="50" t="s">
        <v>109</v>
      </c>
      <c r="K433" s="50" t="s">
        <v>154</v>
      </c>
      <c r="L433" s="50" t="s">
        <v>12</v>
      </c>
      <c r="M433" s="50" t="s">
        <v>13</v>
      </c>
      <c r="N433" s="50" t="s">
        <v>14</v>
      </c>
      <c r="O433" s="48" t="s">
        <v>620</v>
      </c>
      <c r="P433" s="45" t="s">
        <v>453</v>
      </c>
      <c r="Q433" s="35" t="str">
        <f>MID(Tabla1[[#This Row],[Aplicación]],14,1)</f>
        <v>2</v>
      </c>
      <c r="R433" s="35" t="s">
        <v>441</v>
      </c>
      <c r="S433" s="35" t="str">
        <f>MID(Tabla1[[#This Row],[Aplicación]],6,2)</f>
        <v>10</v>
      </c>
      <c r="T433" s="35" t="str">
        <f>VLOOKUP(Tabla1[[#This Row],[AREA]],Hoja1!A:B,2,FALSE)</f>
        <v>10. Servicios sociales y mediación comunitaria</v>
      </c>
      <c r="U433" s="35" t="str">
        <f>MID(Tabla1[[#This Row],[Aplicación]],9,4)</f>
        <v>2312</v>
      </c>
      <c r="V433" s="35" t="str">
        <f>VLOOKUP(Tabla1[[#This Row],[PROGRAMA]],Hoja1!A:B,2,FALSE)</f>
        <v>2312. Iniciativas sociales</v>
      </c>
      <c r="W433" s="35" t="str">
        <f>MID(Tabla1[[#This Row],[Aplicación]],14,2)</f>
        <v>22</v>
      </c>
      <c r="X433" s="35" t="str">
        <f>MID(Tabla1[[#This Row],[Aplicación]],14,6)</f>
        <v>22799</v>
      </c>
    </row>
    <row r="434" spans="1:24" x14ac:dyDescent="0.25">
      <c r="A434" s="49">
        <v>220220005782</v>
      </c>
      <c r="B434" s="50" t="s">
        <v>9</v>
      </c>
      <c r="C434" s="57">
        <v>44615</v>
      </c>
      <c r="D434" s="49">
        <v>22022002350</v>
      </c>
      <c r="E434" s="50" t="s">
        <v>1881</v>
      </c>
      <c r="F434" s="58">
        <v>352</v>
      </c>
      <c r="G434" s="50" t="s">
        <v>493</v>
      </c>
      <c r="H434" s="50" t="s">
        <v>638</v>
      </c>
      <c r="I434" s="49" t="s">
        <v>107</v>
      </c>
      <c r="J434" s="50" t="s">
        <v>536</v>
      </c>
      <c r="K434" s="50" t="s">
        <v>118</v>
      </c>
      <c r="L434" s="50" t="s">
        <v>15</v>
      </c>
      <c r="M434" s="50" t="s">
        <v>10</v>
      </c>
      <c r="N434" s="50" t="s">
        <v>11</v>
      </c>
      <c r="O434" s="48" t="s">
        <v>632</v>
      </c>
      <c r="P434" s="45" t="s">
        <v>453</v>
      </c>
      <c r="Q434" s="35" t="str">
        <f>MID(Tabla1[[#This Row],[Aplicación]],14,1)</f>
        <v>2</v>
      </c>
      <c r="R434" s="35" t="s">
        <v>441</v>
      </c>
      <c r="S434" s="35" t="str">
        <f>MID(Tabla1[[#This Row],[Aplicación]],6,2)</f>
        <v>08</v>
      </c>
      <c r="T434" s="35" t="str">
        <f>VLOOKUP(Tabla1[[#This Row],[AREA]],Hoja1!A:B,2,FALSE)</f>
        <v>08. Movilidad y espacio urbano</v>
      </c>
      <c r="U434" s="35" t="str">
        <f>MID(Tabla1[[#This Row],[Aplicación]],9,4)</f>
        <v>1301</v>
      </c>
      <c r="V434" s="35" t="str">
        <f>VLOOKUP(Tabla1[[#This Row],[PROGRAMA]],Hoja1!A:B,2,FALSE)</f>
        <v>1301. Dirección del área de seguridad</v>
      </c>
      <c r="W434" s="35" t="str">
        <f>MID(Tabla1[[#This Row],[Aplicación]],14,2)</f>
        <v>22</v>
      </c>
      <c r="X434" s="35" t="str">
        <f>MID(Tabla1[[#This Row],[Aplicación]],14,6)</f>
        <v>22699</v>
      </c>
    </row>
    <row r="435" spans="1:24" x14ac:dyDescent="0.25">
      <c r="A435" s="49">
        <v>220220005206</v>
      </c>
      <c r="B435" s="50" t="s">
        <v>9</v>
      </c>
      <c r="C435" s="57">
        <v>44614</v>
      </c>
      <c r="D435" s="49">
        <v>22022002207</v>
      </c>
      <c r="E435" s="50" t="s">
        <v>1882</v>
      </c>
      <c r="F435" s="58">
        <v>369.85</v>
      </c>
      <c r="G435" s="50" t="s">
        <v>85</v>
      </c>
      <c r="H435" s="50" t="s">
        <v>1883</v>
      </c>
      <c r="I435" s="49" t="s">
        <v>107</v>
      </c>
      <c r="J435" s="50" t="s">
        <v>109</v>
      </c>
      <c r="K435" s="50" t="s">
        <v>109</v>
      </c>
      <c r="L435" s="50" t="s">
        <v>15</v>
      </c>
      <c r="M435" s="50" t="s">
        <v>13</v>
      </c>
      <c r="N435" s="50" t="s">
        <v>14</v>
      </c>
      <c r="O435" s="48" t="s">
        <v>631</v>
      </c>
      <c r="P435" s="45" t="s">
        <v>453</v>
      </c>
      <c r="Q435" s="35" t="str">
        <f>MID(Tabla1[[#This Row],[Aplicación]],14,1)</f>
        <v>2</v>
      </c>
      <c r="R435" s="35" t="s">
        <v>441</v>
      </c>
      <c r="S435" s="35" t="str">
        <f>MID(Tabla1[[#This Row],[Aplicación]],6,2)</f>
        <v>01</v>
      </c>
      <c r="T435" s="35" t="str">
        <f>VLOOKUP(Tabla1[[#This Row],[AREA]],Hoja1!A:B,2,FALSE)</f>
        <v>01. Alcaldía</v>
      </c>
      <c r="U435" s="35" t="str">
        <f>MID(Tabla1[[#This Row],[Aplicación]],9,4)</f>
        <v>9206</v>
      </c>
      <c r="V435" s="35" t="str">
        <f>VLOOKUP(Tabla1[[#This Row],[PROGRAMA]],Hoja1!A:B,2,FALSE)</f>
        <v>9206. Archivo municipal</v>
      </c>
      <c r="W435" s="35" t="str">
        <f>MID(Tabla1[[#This Row],[Aplicación]],14,2)</f>
        <v>22</v>
      </c>
      <c r="X435" s="35" t="str">
        <f>MID(Tabla1[[#This Row],[Aplicación]],14,6)</f>
        <v>22199</v>
      </c>
    </row>
    <row r="436" spans="1:24" x14ac:dyDescent="0.25">
      <c r="A436" s="49">
        <v>220219000082</v>
      </c>
      <c r="B436" s="50" t="s">
        <v>9</v>
      </c>
      <c r="C436" s="57">
        <v>44562</v>
      </c>
      <c r="D436" s="49">
        <v>22022000372</v>
      </c>
      <c r="E436" s="50" t="s">
        <v>1881</v>
      </c>
      <c r="F436" s="58">
        <v>70</v>
      </c>
      <c r="G436" s="50" t="s">
        <v>493</v>
      </c>
      <c r="H436" s="50" t="s">
        <v>638</v>
      </c>
      <c r="I436" s="49" t="s">
        <v>107</v>
      </c>
      <c r="J436" s="50" t="s">
        <v>536</v>
      </c>
      <c r="K436" s="50" t="s">
        <v>118</v>
      </c>
      <c r="L436" s="50" t="s">
        <v>15</v>
      </c>
      <c r="M436" s="50" t="s">
        <v>10</v>
      </c>
      <c r="N436" s="50" t="s">
        <v>11</v>
      </c>
      <c r="O436" s="48" t="s">
        <v>632</v>
      </c>
      <c r="P436" s="45" t="s">
        <v>453</v>
      </c>
      <c r="Q436" s="35" t="str">
        <f>MID(Tabla1[[#This Row],[Aplicación]],14,1)</f>
        <v>2</v>
      </c>
      <c r="R436" s="35" t="s">
        <v>441</v>
      </c>
      <c r="S436" s="35" t="str">
        <f>MID(Tabla1[[#This Row],[Aplicación]],6,2)</f>
        <v>08</v>
      </c>
      <c r="T436" s="35" t="str">
        <f>VLOOKUP(Tabla1[[#This Row],[AREA]],Hoja1!A:B,2,FALSE)</f>
        <v>08. Movilidad y espacio urbano</v>
      </c>
      <c r="U436" s="35" t="str">
        <f>MID(Tabla1[[#This Row],[Aplicación]],9,4)</f>
        <v>1301</v>
      </c>
      <c r="V436" s="35" t="str">
        <f>VLOOKUP(Tabla1[[#This Row],[PROGRAMA]],Hoja1!A:B,2,FALSE)</f>
        <v>1301. Dirección del área de seguridad</v>
      </c>
      <c r="W436" s="35" t="str">
        <f>MID(Tabla1[[#This Row],[Aplicación]],14,2)</f>
        <v>22</v>
      </c>
      <c r="X436" s="35" t="str">
        <f>MID(Tabla1[[#This Row],[Aplicación]],14,6)</f>
        <v>22699</v>
      </c>
    </row>
    <row r="437" spans="1:24" x14ac:dyDescent="0.25">
      <c r="A437" s="49">
        <v>220219000688</v>
      </c>
      <c r="B437" s="50" t="s">
        <v>9</v>
      </c>
      <c r="C437" s="57">
        <v>44562</v>
      </c>
      <c r="D437" s="49">
        <v>22022000090</v>
      </c>
      <c r="E437" s="50" t="s">
        <v>1749</v>
      </c>
      <c r="F437" s="58">
        <v>23080.75</v>
      </c>
      <c r="G437" s="50" t="s">
        <v>1157</v>
      </c>
      <c r="H437" s="50" t="s">
        <v>1884</v>
      </c>
      <c r="I437" s="49" t="s">
        <v>107</v>
      </c>
      <c r="J437" s="50" t="s">
        <v>633</v>
      </c>
      <c r="K437" s="50" t="s">
        <v>633</v>
      </c>
      <c r="L437" s="50" t="s">
        <v>15</v>
      </c>
      <c r="M437" s="50" t="s">
        <v>13</v>
      </c>
      <c r="N437" s="50" t="s">
        <v>14</v>
      </c>
      <c r="O437" s="48" t="s">
        <v>620</v>
      </c>
      <c r="P437" s="45" t="s">
        <v>453</v>
      </c>
      <c r="Q437" s="35" t="str">
        <f>MID(Tabla1[[#This Row],[Aplicación]],14,1)</f>
        <v>2</v>
      </c>
      <c r="R437" s="35" t="s">
        <v>441</v>
      </c>
      <c r="S437" s="35" t="str">
        <f>MID(Tabla1[[#This Row],[Aplicación]],6,2)</f>
        <v>11</v>
      </c>
      <c r="T437" s="35" t="str">
        <f>VLOOKUP(Tabla1[[#This Row],[AREA]],Hoja1!A:B,2,FALSE)</f>
        <v>11. Salud pública y seguridad ciudadana</v>
      </c>
      <c r="U437" s="35" t="str">
        <f>MID(Tabla1[[#This Row],[Aplicación]],9,4)</f>
        <v>1321</v>
      </c>
      <c r="V437" s="35" t="str">
        <f>VLOOKUP(Tabla1[[#This Row],[PROGRAMA]],Hoja1!A:B,2,FALSE)</f>
        <v>1321. Policía municipal</v>
      </c>
      <c r="W437" s="35" t="str">
        <f>MID(Tabla1[[#This Row],[Aplicación]],14,2)</f>
        <v>22</v>
      </c>
      <c r="X437" s="35" t="str">
        <f>MID(Tabla1[[#This Row],[Aplicación]],14,6)</f>
        <v>22104</v>
      </c>
    </row>
    <row r="438" spans="1:24" x14ac:dyDescent="0.25">
      <c r="A438" s="49">
        <v>220209000051</v>
      </c>
      <c r="B438" s="50" t="s">
        <v>9</v>
      </c>
      <c r="C438" s="57">
        <v>44562</v>
      </c>
      <c r="D438" s="49">
        <v>22022000173</v>
      </c>
      <c r="E438" s="50" t="s">
        <v>1885</v>
      </c>
      <c r="F438" s="58">
        <v>27225</v>
      </c>
      <c r="G438" s="50" t="s">
        <v>550</v>
      </c>
      <c r="H438" s="50" t="s">
        <v>640</v>
      </c>
      <c r="I438" s="49" t="s">
        <v>107</v>
      </c>
      <c r="J438" s="50" t="s">
        <v>138</v>
      </c>
      <c r="K438" s="50" t="s">
        <v>138</v>
      </c>
      <c r="L438" s="50" t="s">
        <v>12</v>
      </c>
      <c r="M438" s="50" t="s">
        <v>13</v>
      </c>
      <c r="N438" s="50" t="s">
        <v>14</v>
      </c>
      <c r="O438" s="48" t="s">
        <v>620</v>
      </c>
      <c r="P438" s="45" t="s">
        <v>453</v>
      </c>
      <c r="Q438" s="35" t="str">
        <f>MID(Tabla1[[#This Row],[Aplicación]],14,1)</f>
        <v>2</v>
      </c>
      <c r="R438" s="35" t="s">
        <v>441</v>
      </c>
      <c r="S438" s="35" t="str">
        <f>MID(Tabla1[[#This Row],[Aplicación]],6,2)</f>
        <v>09</v>
      </c>
      <c r="T438" s="35" t="str">
        <f>VLOOKUP(Tabla1[[#This Row],[AREA]],Hoja1!A:B,2,FALSE)</f>
        <v>09. Cultura y turismo</v>
      </c>
      <c r="U438" s="35" t="str">
        <f>MID(Tabla1[[#This Row],[Aplicación]],9,4)</f>
        <v>3301</v>
      </c>
      <c r="V438" s="35" t="str">
        <f>VLOOKUP(Tabla1[[#This Row],[PROGRAMA]],Hoja1!A:B,2,FALSE)</f>
        <v>3301. Dirección del área de cultura</v>
      </c>
      <c r="W438" s="35" t="str">
        <f>MID(Tabla1[[#This Row],[Aplicación]],14,2)</f>
        <v>22</v>
      </c>
      <c r="X438" s="35" t="str">
        <f>MID(Tabla1[[#This Row],[Aplicación]],14,6)</f>
        <v>22706</v>
      </c>
    </row>
    <row r="439" spans="1:24" x14ac:dyDescent="0.25">
      <c r="A439" s="49">
        <v>220220003097</v>
      </c>
      <c r="B439" s="50" t="s">
        <v>9</v>
      </c>
      <c r="C439" s="57">
        <v>44601</v>
      </c>
      <c r="D439" s="49">
        <v>22022001052</v>
      </c>
      <c r="E439" s="50" t="s">
        <v>1886</v>
      </c>
      <c r="F439" s="58">
        <v>29846.67</v>
      </c>
      <c r="G439" s="50" t="s">
        <v>919</v>
      </c>
      <c r="H439" s="50" t="s">
        <v>1887</v>
      </c>
      <c r="I439" s="49" t="s">
        <v>107</v>
      </c>
      <c r="J439" s="50" t="s">
        <v>109</v>
      </c>
      <c r="K439" s="50" t="s">
        <v>109</v>
      </c>
      <c r="L439" s="50" t="s">
        <v>12</v>
      </c>
      <c r="M439" s="50" t="s">
        <v>13</v>
      </c>
      <c r="N439" s="50" t="s">
        <v>14</v>
      </c>
      <c r="O439" s="48" t="s">
        <v>620</v>
      </c>
      <c r="P439" s="45" t="s">
        <v>453</v>
      </c>
      <c r="Q439" s="35" t="str">
        <f>MID(Tabla1[[#This Row],[Aplicación]],14,1)</f>
        <v>2</v>
      </c>
      <c r="R439" s="35" t="s">
        <v>441</v>
      </c>
      <c r="S439" s="35" t="str">
        <f>MID(Tabla1[[#This Row],[Aplicación]],6,2)</f>
        <v>09</v>
      </c>
      <c r="T439" s="35" t="str">
        <f>VLOOKUP(Tabla1[[#This Row],[AREA]],Hoja1!A:B,2,FALSE)</f>
        <v>09. Cultura y turismo</v>
      </c>
      <c r="U439" s="35" t="str">
        <f>MID(Tabla1[[#This Row],[Aplicación]],9,4)</f>
        <v>3341</v>
      </c>
      <c r="V439" s="35" t="str">
        <f>VLOOKUP(Tabla1[[#This Row],[PROGRAMA]],Hoja1!A:B,2,FALSE)</f>
        <v>3341. Coordinación de políticas culturales</v>
      </c>
      <c r="W439" s="35" t="str">
        <f>MID(Tabla1[[#This Row],[Aplicación]],14,2)</f>
        <v>22</v>
      </c>
      <c r="X439" s="35" t="str">
        <f>MID(Tabla1[[#This Row],[Aplicación]],14,6)</f>
        <v>22799</v>
      </c>
    </row>
    <row r="440" spans="1:24" x14ac:dyDescent="0.25">
      <c r="A440" s="49">
        <v>220219000311</v>
      </c>
      <c r="B440" s="50" t="s">
        <v>9</v>
      </c>
      <c r="C440" s="57">
        <v>44562</v>
      </c>
      <c r="D440" s="49">
        <v>22022002226</v>
      </c>
      <c r="E440" s="50" t="s">
        <v>1886</v>
      </c>
      <c r="F440" s="58">
        <v>9152.01</v>
      </c>
      <c r="G440" s="50" t="s">
        <v>919</v>
      </c>
      <c r="H440" s="50" t="s">
        <v>1888</v>
      </c>
      <c r="I440" s="49" t="s">
        <v>107</v>
      </c>
      <c r="J440" s="50" t="s">
        <v>109</v>
      </c>
      <c r="K440" s="50" t="s">
        <v>109</v>
      </c>
      <c r="L440" s="50" t="s">
        <v>12</v>
      </c>
      <c r="M440" s="50" t="s">
        <v>13</v>
      </c>
      <c r="N440" s="50" t="s">
        <v>14</v>
      </c>
      <c r="O440" s="48" t="s">
        <v>620</v>
      </c>
      <c r="P440" s="45" t="s">
        <v>453</v>
      </c>
      <c r="Q440" s="35" t="str">
        <f>MID(Tabla1[[#This Row],[Aplicación]],14,1)</f>
        <v>2</v>
      </c>
      <c r="R440" s="35" t="s">
        <v>441</v>
      </c>
      <c r="S440" s="35" t="str">
        <f>MID(Tabla1[[#This Row],[Aplicación]],6,2)</f>
        <v>09</v>
      </c>
      <c r="T440" s="35" t="str">
        <f>VLOOKUP(Tabla1[[#This Row],[AREA]],Hoja1!A:B,2,FALSE)</f>
        <v>09. Cultura y turismo</v>
      </c>
      <c r="U440" s="35" t="str">
        <f>MID(Tabla1[[#This Row],[Aplicación]],9,4)</f>
        <v>3341</v>
      </c>
      <c r="V440" s="35" t="str">
        <f>VLOOKUP(Tabla1[[#This Row],[PROGRAMA]],Hoja1!A:B,2,FALSE)</f>
        <v>3341. Coordinación de políticas culturales</v>
      </c>
      <c r="W440" s="35" t="str">
        <f>MID(Tabla1[[#This Row],[Aplicación]],14,2)</f>
        <v>22</v>
      </c>
      <c r="X440" s="35" t="str">
        <f>MID(Tabla1[[#This Row],[Aplicación]],14,6)</f>
        <v>22799</v>
      </c>
    </row>
    <row r="441" spans="1:24" x14ac:dyDescent="0.25">
      <c r="A441" s="49">
        <v>220219000258</v>
      </c>
      <c r="B441" s="50" t="s">
        <v>9</v>
      </c>
      <c r="C441" s="57">
        <v>44562</v>
      </c>
      <c r="D441" s="49">
        <v>22022000061</v>
      </c>
      <c r="E441" s="50" t="s">
        <v>1886</v>
      </c>
      <c r="F441" s="58">
        <v>5771.33</v>
      </c>
      <c r="G441" s="50" t="s">
        <v>919</v>
      </c>
      <c r="H441" s="50" t="s">
        <v>1889</v>
      </c>
      <c r="I441" s="49" t="s">
        <v>107</v>
      </c>
      <c r="J441" s="50" t="s">
        <v>109</v>
      </c>
      <c r="K441" s="50" t="s">
        <v>109</v>
      </c>
      <c r="L441" s="50" t="s">
        <v>12</v>
      </c>
      <c r="M441" s="50" t="s">
        <v>13</v>
      </c>
      <c r="N441" s="50" t="s">
        <v>14</v>
      </c>
      <c r="O441" s="48" t="s">
        <v>620</v>
      </c>
      <c r="P441" s="45" t="s">
        <v>453</v>
      </c>
      <c r="Q441" s="35" t="str">
        <f>MID(Tabla1[[#This Row],[Aplicación]],14,1)</f>
        <v>2</v>
      </c>
      <c r="R441" s="35" t="s">
        <v>441</v>
      </c>
      <c r="S441" s="35" t="str">
        <f>MID(Tabla1[[#This Row],[Aplicación]],6,2)</f>
        <v>09</v>
      </c>
      <c r="T441" s="35" t="str">
        <f>VLOOKUP(Tabla1[[#This Row],[AREA]],Hoja1!A:B,2,FALSE)</f>
        <v>09. Cultura y turismo</v>
      </c>
      <c r="U441" s="35" t="str">
        <f>MID(Tabla1[[#This Row],[Aplicación]],9,4)</f>
        <v>3341</v>
      </c>
      <c r="V441" s="35" t="str">
        <f>VLOOKUP(Tabla1[[#This Row],[PROGRAMA]],Hoja1!A:B,2,FALSE)</f>
        <v>3341. Coordinación de políticas culturales</v>
      </c>
      <c r="W441" s="35" t="str">
        <f>MID(Tabla1[[#This Row],[Aplicación]],14,2)</f>
        <v>22</v>
      </c>
      <c r="X441" s="35" t="str">
        <f>MID(Tabla1[[#This Row],[Aplicación]],14,6)</f>
        <v>22799</v>
      </c>
    </row>
    <row r="442" spans="1:24" x14ac:dyDescent="0.25">
      <c r="A442" s="49">
        <v>220220007944</v>
      </c>
      <c r="B442" s="50" t="s">
        <v>9</v>
      </c>
      <c r="C442" s="57">
        <v>44628</v>
      </c>
      <c r="D442" s="49">
        <v>22022002649</v>
      </c>
      <c r="E442" s="50" t="s">
        <v>1890</v>
      </c>
      <c r="F442" s="58">
        <v>750</v>
      </c>
      <c r="G442" s="50" t="s">
        <v>1050</v>
      </c>
      <c r="H442" s="50" t="s">
        <v>1891</v>
      </c>
      <c r="I442" s="49" t="s">
        <v>107</v>
      </c>
      <c r="J442" s="50" t="s">
        <v>109</v>
      </c>
      <c r="K442" s="50" t="s">
        <v>109</v>
      </c>
      <c r="L442" s="50" t="s">
        <v>15</v>
      </c>
      <c r="M442" s="50" t="s">
        <v>10</v>
      </c>
      <c r="N442" s="50" t="s">
        <v>11</v>
      </c>
      <c r="O442" s="48" t="s">
        <v>632</v>
      </c>
      <c r="P442" s="45" t="s">
        <v>453</v>
      </c>
      <c r="Q442" s="35" t="str">
        <f>MID(Tabla1[[#This Row],[Aplicación]],14,1)</f>
        <v>2</v>
      </c>
      <c r="R442" s="35" t="s">
        <v>441</v>
      </c>
      <c r="S442" s="35" t="str">
        <f>MID(Tabla1[[#This Row],[Aplicación]],6,2)</f>
        <v>02</v>
      </c>
      <c r="T442" s="35" t="str">
        <f>VLOOKUP(Tabla1[[#This Row],[AREA]],Hoja1!A:B,2,FALSE)</f>
        <v>02. Planeamiento urbanístico y vivienda</v>
      </c>
      <c r="U442" s="35" t="str">
        <f>MID(Tabla1[[#This Row],[Aplicación]],9,4)</f>
        <v>9332</v>
      </c>
      <c r="V442" s="35" t="str">
        <f>VLOOKUP(Tabla1[[#This Row],[PROGRAMA]],Hoja1!A:B,2,FALSE)</f>
        <v>9332. Mantenimiento de edificios e instalaciones municipales</v>
      </c>
      <c r="W442" s="35" t="str">
        <f>MID(Tabla1[[#This Row],[Aplicación]],14,2)</f>
        <v>21</v>
      </c>
      <c r="X442" s="35" t="str">
        <f>MID(Tabla1[[#This Row],[Aplicación]],14,6)</f>
        <v>212</v>
      </c>
    </row>
    <row r="443" spans="1:24" x14ac:dyDescent="0.25">
      <c r="A443" s="49">
        <v>220220005806</v>
      </c>
      <c r="B443" s="50" t="s">
        <v>9</v>
      </c>
      <c r="C443" s="57">
        <v>44615</v>
      </c>
      <c r="D443" s="49">
        <v>22022002400</v>
      </c>
      <c r="E443" s="50" t="s">
        <v>1890</v>
      </c>
      <c r="F443" s="58">
        <v>104.51</v>
      </c>
      <c r="G443" s="50" t="s">
        <v>1050</v>
      </c>
      <c r="H443" s="50" t="s">
        <v>1892</v>
      </c>
      <c r="I443" s="49" t="s">
        <v>107</v>
      </c>
      <c r="J443" s="50" t="s">
        <v>109</v>
      </c>
      <c r="K443" s="50" t="s">
        <v>109</v>
      </c>
      <c r="L443" s="50" t="s">
        <v>15</v>
      </c>
      <c r="M443" s="50" t="s">
        <v>10</v>
      </c>
      <c r="N443" s="50" t="s">
        <v>11</v>
      </c>
      <c r="O443" s="48" t="s">
        <v>632</v>
      </c>
      <c r="P443" s="45" t="s">
        <v>453</v>
      </c>
      <c r="Q443" s="35" t="str">
        <f>MID(Tabla1[[#This Row],[Aplicación]],14,1)</f>
        <v>2</v>
      </c>
      <c r="R443" s="35" t="s">
        <v>441</v>
      </c>
      <c r="S443" s="35" t="str">
        <f>MID(Tabla1[[#This Row],[Aplicación]],6,2)</f>
        <v>02</v>
      </c>
      <c r="T443" s="35" t="str">
        <f>VLOOKUP(Tabla1[[#This Row],[AREA]],Hoja1!A:B,2,FALSE)</f>
        <v>02. Planeamiento urbanístico y vivienda</v>
      </c>
      <c r="U443" s="35" t="str">
        <f>MID(Tabla1[[#This Row],[Aplicación]],9,4)</f>
        <v>9332</v>
      </c>
      <c r="V443" s="35" t="str">
        <f>VLOOKUP(Tabla1[[#This Row],[PROGRAMA]],Hoja1!A:B,2,FALSE)</f>
        <v>9332. Mantenimiento de edificios e instalaciones municipales</v>
      </c>
      <c r="W443" s="35" t="str">
        <f>MID(Tabla1[[#This Row],[Aplicación]],14,2)</f>
        <v>21</v>
      </c>
      <c r="X443" s="35" t="str">
        <f>MID(Tabla1[[#This Row],[Aplicación]],14,6)</f>
        <v>212</v>
      </c>
    </row>
    <row r="444" spans="1:24" x14ac:dyDescent="0.25">
      <c r="A444" s="49">
        <v>220219000933</v>
      </c>
      <c r="B444" s="50" t="s">
        <v>9</v>
      </c>
      <c r="C444" s="57">
        <v>44562</v>
      </c>
      <c r="D444" s="49">
        <v>22022000129</v>
      </c>
      <c r="E444" s="50" t="s">
        <v>1893</v>
      </c>
      <c r="F444" s="58">
        <v>21000</v>
      </c>
      <c r="G444" s="50" t="s">
        <v>38</v>
      </c>
      <c r="H444" s="50" t="s">
        <v>1894</v>
      </c>
      <c r="I444" s="49" t="s">
        <v>107</v>
      </c>
      <c r="J444" s="50" t="s">
        <v>129</v>
      </c>
      <c r="K444" s="50" t="s">
        <v>170</v>
      </c>
      <c r="L444" s="50" t="s">
        <v>15</v>
      </c>
      <c r="M444" s="50" t="s">
        <v>13</v>
      </c>
      <c r="N444" s="50" t="s">
        <v>14</v>
      </c>
      <c r="O444" s="48" t="s">
        <v>620</v>
      </c>
      <c r="P444" s="45" t="s">
        <v>453</v>
      </c>
      <c r="Q444" s="35" t="str">
        <f>MID(Tabla1[[#This Row],[Aplicación]],14,1)</f>
        <v>2</v>
      </c>
      <c r="R444" s="35" t="s">
        <v>441</v>
      </c>
      <c r="S444" s="35" t="str">
        <f>MID(Tabla1[[#This Row],[Aplicación]],6,2)</f>
        <v>07</v>
      </c>
      <c r="T444" s="35" t="str">
        <f>VLOOKUP(Tabla1[[#This Row],[AREA]],Hoja1!A:B,2,FALSE)</f>
        <v>07. Medio ambiente y desarrollo sostenible</v>
      </c>
      <c r="U444" s="35" t="str">
        <f>MID(Tabla1[[#This Row],[Aplicación]],9,4)</f>
        <v>1701</v>
      </c>
      <c r="V444" s="35" t="str">
        <f>VLOOKUP(Tabla1[[#This Row],[PROGRAMA]],Hoja1!A:B,2,FALSE)</f>
        <v>1701. Dirección del área de medio ambiente</v>
      </c>
      <c r="W444" s="35" t="str">
        <f>MID(Tabla1[[#This Row],[Aplicación]],14,2)</f>
        <v>22</v>
      </c>
      <c r="X444" s="35" t="str">
        <f>MID(Tabla1[[#This Row],[Aplicación]],14,6)</f>
        <v>22100</v>
      </c>
    </row>
    <row r="445" spans="1:24" x14ac:dyDescent="0.25">
      <c r="A445" s="49">
        <v>220179000081</v>
      </c>
      <c r="B445" s="50" t="s">
        <v>9</v>
      </c>
      <c r="C445" s="57">
        <v>44562</v>
      </c>
      <c r="D445" s="49">
        <v>22022000146</v>
      </c>
      <c r="E445" s="50" t="s">
        <v>1895</v>
      </c>
      <c r="F445" s="58">
        <v>9187.7099999999991</v>
      </c>
      <c r="G445" s="50" t="s">
        <v>113</v>
      </c>
      <c r="H445" s="50" t="s">
        <v>20</v>
      </c>
      <c r="I445" s="49" t="s">
        <v>107</v>
      </c>
      <c r="J445" s="50" t="s">
        <v>543</v>
      </c>
      <c r="K445" s="50" t="s">
        <v>108</v>
      </c>
      <c r="L445" s="50" t="s">
        <v>15</v>
      </c>
      <c r="M445" s="50" t="s">
        <v>13</v>
      </c>
      <c r="N445" s="50" t="s">
        <v>16</v>
      </c>
      <c r="O445" s="48" t="s">
        <v>620</v>
      </c>
      <c r="P445" s="45" t="s">
        <v>453</v>
      </c>
      <c r="Q445" s="35" t="str">
        <f>MID(Tabla1[[#This Row],[Aplicación]],14,1)</f>
        <v>2</v>
      </c>
      <c r="R445" s="35" t="s">
        <v>441</v>
      </c>
      <c r="S445" s="35" t="str">
        <f>MID(Tabla1[[#This Row],[Aplicación]],6,2)</f>
        <v>11</v>
      </c>
      <c r="T445" s="35" t="str">
        <f>VLOOKUP(Tabla1[[#This Row],[AREA]],Hoja1!A:B,2,FALSE)</f>
        <v>11. Salud pública y seguridad ciudadana</v>
      </c>
      <c r="U445" s="35" t="str">
        <f>MID(Tabla1[[#This Row],[Aplicación]],9,4)</f>
        <v>1321</v>
      </c>
      <c r="V445" s="35" t="str">
        <f>VLOOKUP(Tabla1[[#This Row],[PROGRAMA]],Hoja1!A:B,2,FALSE)</f>
        <v>1321. Policía municipal</v>
      </c>
      <c r="W445" s="35" t="str">
        <f>MID(Tabla1[[#This Row],[Aplicación]],14,2)</f>
        <v>20</v>
      </c>
      <c r="X445" s="35" t="str">
        <f>MID(Tabla1[[#This Row],[Aplicación]],14,6)</f>
        <v>204</v>
      </c>
    </row>
    <row r="446" spans="1:24" x14ac:dyDescent="0.25">
      <c r="A446" s="49">
        <v>220220001597</v>
      </c>
      <c r="B446" s="50" t="s">
        <v>9</v>
      </c>
      <c r="C446" s="57">
        <v>44587</v>
      </c>
      <c r="D446" s="49">
        <v>22022001190</v>
      </c>
      <c r="E446" s="50" t="s">
        <v>1762</v>
      </c>
      <c r="F446" s="58">
        <v>196</v>
      </c>
      <c r="G446" s="50" t="s">
        <v>574</v>
      </c>
      <c r="H446" s="50" t="s">
        <v>1896</v>
      </c>
      <c r="I446" s="49" t="s">
        <v>107</v>
      </c>
      <c r="J446" s="50" t="s">
        <v>128</v>
      </c>
      <c r="K446" s="50" t="s">
        <v>128</v>
      </c>
      <c r="L446" s="50" t="s">
        <v>15</v>
      </c>
      <c r="M446" s="50" t="s">
        <v>10</v>
      </c>
      <c r="N446" s="50" t="s">
        <v>11</v>
      </c>
      <c r="O446" s="48" t="s">
        <v>632</v>
      </c>
      <c r="P446" s="45" t="s">
        <v>453</v>
      </c>
      <c r="Q446" s="35" t="str">
        <f>MID(Tabla1[[#This Row],[Aplicación]],14,1)</f>
        <v>2</v>
      </c>
      <c r="R446" s="35" t="s">
        <v>441</v>
      </c>
      <c r="S446" s="35" t="str">
        <f>MID(Tabla1[[#This Row],[Aplicación]],6,2)</f>
        <v>06</v>
      </c>
      <c r="T446" s="35" t="str">
        <f>VLOOKUP(Tabla1[[#This Row],[AREA]],Hoja1!A:B,2,FALSE)</f>
        <v>06. Educación, infancia, juventud e igualdad</v>
      </c>
      <c r="U446" s="35" t="str">
        <f>MID(Tabla1[[#This Row],[Aplicación]],9,4)</f>
        <v>3321</v>
      </c>
      <c r="V446" s="35" t="str">
        <f>VLOOKUP(Tabla1[[#This Row],[PROGRAMA]],Hoja1!A:B,2,FALSE)</f>
        <v>3321. Bibliotecas públicas</v>
      </c>
      <c r="W446" s="35" t="str">
        <f>MID(Tabla1[[#This Row],[Aplicación]],14,2)</f>
        <v>22</v>
      </c>
      <c r="X446" s="35" t="str">
        <f>MID(Tabla1[[#This Row],[Aplicación]],14,6)</f>
        <v>22001</v>
      </c>
    </row>
    <row r="447" spans="1:24" x14ac:dyDescent="0.25">
      <c r="A447" s="49">
        <v>220179000082</v>
      </c>
      <c r="B447" s="50" t="s">
        <v>9</v>
      </c>
      <c r="C447" s="57">
        <v>44562</v>
      </c>
      <c r="D447" s="49">
        <v>22022000147</v>
      </c>
      <c r="E447" s="50" t="s">
        <v>1895</v>
      </c>
      <c r="F447" s="58">
        <v>27588</v>
      </c>
      <c r="G447" s="50" t="s">
        <v>114</v>
      </c>
      <c r="H447" s="50" t="s">
        <v>21</v>
      </c>
      <c r="I447" s="49" t="s">
        <v>107</v>
      </c>
      <c r="J447" s="50" t="s">
        <v>115</v>
      </c>
      <c r="K447" s="50" t="s">
        <v>115</v>
      </c>
      <c r="L447" s="50" t="s">
        <v>15</v>
      </c>
      <c r="M447" s="50" t="s">
        <v>13</v>
      </c>
      <c r="N447" s="50" t="s">
        <v>16</v>
      </c>
      <c r="O447" s="48" t="s">
        <v>620</v>
      </c>
      <c r="P447" s="45" t="s">
        <v>453</v>
      </c>
      <c r="Q447" s="35" t="str">
        <f>MID(Tabla1[[#This Row],[Aplicación]],14,1)</f>
        <v>2</v>
      </c>
      <c r="R447" s="35" t="s">
        <v>441</v>
      </c>
      <c r="S447" s="35" t="str">
        <f>MID(Tabla1[[#This Row],[Aplicación]],6,2)</f>
        <v>11</v>
      </c>
      <c r="T447" s="35" t="str">
        <f>VLOOKUP(Tabla1[[#This Row],[AREA]],Hoja1!A:B,2,FALSE)</f>
        <v>11. Salud pública y seguridad ciudadana</v>
      </c>
      <c r="U447" s="35" t="str">
        <f>MID(Tabla1[[#This Row],[Aplicación]],9,4)</f>
        <v>1321</v>
      </c>
      <c r="V447" s="35" t="str">
        <f>VLOOKUP(Tabla1[[#This Row],[PROGRAMA]],Hoja1!A:B,2,FALSE)</f>
        <v>1321. Policía municipal</v>
      </c>
      <c r="W447" s="35" t="str">
        <f>MID(Tabla1[[#This Row],[Aplicación]],14,2)</f>
        <v>20</v>
      </c>
      <c r="X447" s="35" t="str">
        <f>MID(Tabla1[[#This Row],[Aplicación]],14,6)</f>
        <v>204</v>
      </c>
    </row>
    <row r="448" spans="1:24" x14ac:dyDescent="0.25">
      <c r="A448" s="49">
        <v>220220013436</v>
      </c>
      <c r="B448" s="50" t="s">
        <v>9</v>
      </c>
      <c r="C448" s="57">
        <v>44651</v>
      </c>
      <c r="D448" s="49">
        <v>22022003070</v>
      </c>
      <c r="E448" s="50" t="s">
        <v>1488</v>
      </c>
      <c r="F448" s="58">
        <v>616.52</v>
      </c>
      <c r="G448" s="50" t="s">
        <v>1679</v>
      </c>
      <c r="H448" s="50" t="s">
        <v>1897</v>
      </c>
      <c r="I448" s="49" t="s">
        <v>107</v>
      </c>
      <c r="J448" s="50" t="s">
        <v>567</v>
      </c>
      <c r="K448" s="50" t="s">
        <v>108</v>
      </c>
      <c r="L448" s="50" t="s">
        <v>15</v>
      </c>
      <c r="M448" s="50" t="s">
        <v>10</v>
      </c>
      <c r="N448" s="50" t="s">
        <v>11</v>
      </c>
      <c r="O448" s="48" t="s">
        <v>632</v>
      </c>
      <c r="P448" s="45" t="s">
        <v>453</v>
      </c>
      <c r="Q448" s="35" t="str">
        <f>MID(Tabla1[[#This Row],[Aplicación]],14,1)</f>
        <v>2</v>
      </c>
      <c r="R448" s="35" t="s">
        <v>441</v>
      </c>
      <c r="S448" s="35" t="str">
        <f>MID(Tabla1[[#This Row],[Aplicación]],6,2)</f>
        <v>10</v>
      </c>
      <c r="T448" s="35" t="str">
        <f>VLOOKUP(Tabla1[[#This Row],[AREA]],Hoja1!A:B,2,FALSE)</f>
        <v>10. Servicios sociales y mediación comunitaria</v>
      </c>
      <c r="U448" s="35" t="str">
        <f>MID(Tabla1[[#This Row],[Aplicación]],9,4)</f>
        <v>2312</v>
      </c>
      <c r="V448" s="35" t="str">
        <f>VLOOKUP(Tabla1[[#This Row],[PROGRAMA]],Hoja1!A:B,2,FALSE)</f>
        <v>2312. Iniciativas sociales</v>
      </c>
      <c r="W448" s="35" t="str">
        <f>MID(Tabla1[[#This Row],[Aplicación]],14,2)</f>
        <v>21</v>
      </c>
      <c r="X448" s="35" t="str">
        <f>MID(Tabla1[[#This Row],[Aplicación]],14,6)</f>
        <v>213</v>
      </c>
    </row>
    <row r="449" spans="1:24" x14ac:dyDescent="0.25">
      <c r="A449" s="49">
        <v>220220013436</v>
      </c>
      <c r="B449" s="50" t="s">
        <v>9</v>
      </c>
      <c r="C449" s="57">
        <v>44651</v>
      </c>
      <c r="D449" s="49">
        <v>22022003069</v>
      </c>
      <c r="E449" s="50" t="s">
        <v>1488</v>
      </c>
      <c r="F449" s="58">
        <v>308.26</v>
      </c>
      <c r="G449" s="50" t="s">
        <v>1679</v>
      </c>
      <c r="H449" s="50" t="s">
        <v>1897</v>
      </c>
      <c r="I449" s="49" t="s">
        <v>107</v>
      </c>
      <c r="J449" s="50" t="s">
        <v>567</v>
      </c>
      <c r="K449" s="50" t="s">
        <v>108</v>
      </c>
      <c r="L449" s="50" t="s">
        <v>15</v>
      </c>
      <c r="M449" s="50" t="s">
        <v>1898</v>
      </c>
      <c r="N449" s="50" t="s">
        <v>11</v>
      </c>
      <c r="O449" s="48" t="s">
        <v>632</v>
      </c>
      <c r="P449" s="45" t="s">
        <v>453</v>
      </c>
      <c r="Q449" s="35" t="str">
        <f>MID(Tabla1[[#This Row],[Aplicación]],14,1)</f>
        <v>2</v>
      </c>
      <c r="R449" s="35" t="s">
        <v>441</v>
      </c>
      <c r="S449" s="35" t="str">
        <f>MID(Tabla1[[#This Row],[Aplicación]],6,2)</f>
        <v>10</v>
      </c>
      <c r="T449" s="35" t="str">
        <f>VLOOKUP(Tabla1[[#This Row],[AREA]],Hoja1!A:B,2,FALSE)</f>
        <v>10. Servicios sociales y mediación comunitaria</v>
      </c>
      <c r="U449" s="35" t="str">
        <f>MID(Tabla1[[#This Row],[Aplicación]],9,4)</f>
        <v>2312</v>
      </c>
      <c r="V449" s="35" t="str">
        <f>VLOOKUP(Tabla1[[#This Row],[PROGRAMA]],Hoja1!A:B,2,FALSE)</f>
        <v>2312. Iniciativas sociales</v>
      </c>
      <c r="W449" s="35" t="str">
        <f>MID(Tabla1[[#This Row],[Aplicación]],14,2)</f>
        <v>21</v>
      </c>
      <c r="X449" s="35" t="str">
        <f>MID(Tabla1[[#This Row],[Aplicación]],14,6)</f>
        <v>213</v>
      </c>
    </row>
    <row r="450" spans="1:24" x14ac:dyDescent="0.25">
      <c r="A450" s="49">
        <v>220220004079</v>
      </c>
      <c r="B450" s="50" t="s">
        <v>172</v>
      </c>
      <c r="C450" s="57">
        <v>44610</v>
      </c>
      <c r="D450" s="49">
        <v>22022000901</v>
      </c>
      <c r="E450" s="50" t="s">
        <v>1644</v>
      </c>
      <c r="F450" s="58">
        <v>551.58000000000004</v>
      </c>
      <c r="G450" s="50" t="s">
        <v>195</v>
      </c>
      <c r="H450" s="50" t="s">
        <v>1899</v>
      </c>
      <c r="I450" s="49" t="s">
        <v>173</v>
      </c>
      <c r="J450" s="50" t="s">
        <v>109</v>
      </c>
      <c r="K450" s="50" t="s">
        <v>109</v>
      </c>
      <c r="L450" s="50" t="s">
        <v>12</v>
      </c>
      <c r="M450" s="50" t="s">
        <v>13</v>
      </c>
      <c r="N450" s="50" t="s">
        <v>14</v>
      </c>
      <c r="O450" s="48" t="s">
        <v>631</v>
      </c>
      <c r="P450" s="45" t="s">
        <v>453</v>
      </c>
      <c r="Q450" s="35" t="str">
        <f>MID(Tabla1[[#This Row],[Aplicación]],14,1)</f>
        <v>2</v>
      </c>
      <c r="R450" s="35" t="s">
        <v>441</v>
      </c>
      <c r="S450" s="35" t="str">
        <f>MID(Tabla1[[#This Row],[Aplicación]],6,2)</f>
        <v>11</v>
      </c>
      <c r="T450" s="35" t="str">
        <f>VLOOKUP(Tabla1[[#This Row],[AREA]],Hoja1!A:B,2,FALSE)</f>
        <v>11. Salud pública y seguridad ciudadana</v>
      </c>
      <c r="U450" s="35" t="str">
        <f>MID(Tabla1[[#This Row],[Aplicación]],9,4)</f>
        <v>1621</v>
      </c>
      <c r="V450" s="35" t="str">
        <f>VLOOKUP(Tabla1[[#This Row],[PROGRAMA]],Hoja1!A:B,2,FALSE)</f>
        <v>1621. Servicio de limpieza</v>
      </c>
      <c r="W450" s="35" t="str">
        <f>MID(Tabla1[[#This Row],[Aplicación]],14,2)</f>
        <v>21</v>
      </c>
      <c r="X450" s="35" t="str">
        <f>MID(Tabla1[[#This Row],[Aplicación]],14,6)</f>
        <v>214</v>
      </c>
    </row>
    <row r="451" spans="1:24" x14ac:dyDescent="0.25">
      <c r="A451" s="49">
        <v>220220004220</v>
      </c>
      <c r="B451" s="50" t="s">
        <v>172</v>
      </c>
      <c r="C451" s="57">
        <v>44610</v>
      </c>
      <c r="D451" s="49">
        <v>22022000901</v>
      </c>
      <c r="E451" s="50" t="s">
        <v>1644</v>
      </c>
      <c r="F451" s="58">
        <v>5307.59</v>
      </c>
      <c r="G451" s="50" t="s">
        <v>195</v>
      </c>
      <c r="H451" s="50" t="s">
        <v>1900</v>
      </c>
      <c r="I451" s="49" t="s">
        <v>173</v>
      </c>
      <c r="J451" s="50" t="s">
        <v>109</v>
      </c>
      <c r="K451" s="50" t="s">
        <v>109</v>
      </c>
      <c r="L451" s="50" t="s">
        <v>12</v>
      </c>
      <c r="M451" s="50" t="s">
        <v>13</v>
      </c>
      <c r="N451" s="50" t="s">
        <v>14</v>
      </c>
      <c r="O451" s="48" t="s">
        <v>631</v>
      </c>
      <c r="P451" s="45" t="s">
        <v>453</v>
      </c>
      <c r="Q451" s="35" t="str">
        <f>MID(Tabla1[[#This Row],[Aplicación]],14,1)</f>
        <v>2</v>
      </c>
      <c r="R451" s="35" t="s">
        <v>441</v>
      </c>
      <c r="S451" s="35" t="str">
        <f>MID(Tabla1[[#This Row],[Aplicación]],6,2)</f>
        <v>11</v>
      </c>
      <c r="T451" s="35" t="str">
        <f>VLOOKUP(Tabla1[[#This Row],[AREA]],Hoja1!A:B,2,FALSE)</f>
        <v>11. Salud pública y seguridad ciudadana</v>
      </c>
      <c r="U451" s="35" t="str">
        <f>MID(Tabla1[[#This Row],[Aplicación]],9,4)</f>
        <v>1621</v>
      </c>
      <c r="V451" s="35" t="str">
        <f>VLOOKUP(Tabla1[[#This Row],[PROGRAMA]],Hoja1!A:B,2,FALSE)</f>
        <v>1621. Servicio de limpieza</v>
      </c>
      <c r="W451" s="35" t="str">
        <f>MID(Tabla1[[#This Row],[Aplicación]],14,2)</f>
        <v>21</v>
      </c>
      <c r="X451" s="35" t="str">
        <f>MID(Tabla1[[#This Row],[Aplicación]],14,6)</f>
        <v>214</v>
      </c>
    </row>
    <row r="452" spans="1:24" x14ac:dyDescent="0.25">
      <c r="A452" s="49">
        <v>220219000931</v>
      </c>
      <c r="B452" s="50" t="s">
        <v>9</v>
      </c>
      <c r="C452" s="57">
        <v>44562</v>
      </c>
      <c r="D452" s="49">
        <v>22022000127</v>
      </c>
      <c r="E452" s="50" t="s">
        <v>1901</v>
      </c>
      <c r="F452" s="58">
        <v>20000</v>
      </c>
      <c r="G452" s="50" t="s">
        <v>38</v>
      </c>
      <c r="H452" s="50" t="s">
        <v>1902</v>
      </c>
      <c r="I452" s="49" t="s">
        <v>107</v>
      </c>
      <c r="J452" s="50" t="s">
        <v>129</v>
      </c>
      <c r="K452" s="50" t="s">
        <v>170</v>
      </c>
      <c r="L452" s="50" t="s">
        <v>15</v>
      </c>
      <c r="M452" s="50" t="s">
        <v>13</v>
      </c>
      <c r="N452" s="50" t="s">
        <v>16</v>
      </c>
      <c r="O452" s="48" t="s">
        <v>620</v>
      </c>
      <c r="P452" s="45" t="s">
        <v>453</v>
      </c>
      <c r="Q452" s="35" t="str">
        <f>MID(Tabla1[[#This Row],[Aplicación]],14,1)</f>
        <v>2</v>
      </c>
      <c r="R452" s="35" t="s">
        <v>441</v>
      </c>
      <c r="S452" s="35" t="str">
        <f>MID(Tabla1[[#This Row],[Aplicación]],6,2)</f>
        <v>07</v>
      </c>
      <c r="T452" s="35" t="str">
        <f>VLOOKUP(Tabla1[[#This Row],[AREA]],Hoja1!A:B,2,FALSE)</f>
        <v>07. Medio ambiente y desarrollo sostenible</v>
      </c>
      <c r="U452" s="35" t="str">
        <f>MID(Tabla1[[#This Row],[Aplicación]],9,4)</f>
        <v>1721</v>
      </c>
      <c r="V452" s="35" t="str">
        <f>VLOOKUP(Tabla1[[#This Row],[PROGRAMA]],Hoja1!A:B,2,FALSE)</f>
        <v>1721. Protección del medio ambiente</v>
      </c>
      <c r="W452" s="35" t="str">
        <f>MID(Tabla1[[#This Row],[Aplicación]],14,2)</f>
        <v>22</v>
      </c>
      <c r="X452" s="35" t="str">
        <f>MID(Tabla1[[#This Row],[Aplicación]],14,6)</f>
        <v>22100</v>
      </c>
    </row>
    <row r="453" spans="1:24" x14ac:dyDescent="0.25">
      <c r="A453" s="49">
        <v>220219000885</v>
      </c>
      <c r="B453" s="50" t="s">
        <v>9</v>
      </c>
      <c r="C453" s="57">
        <v>44562</v>
      </c>
      <c r="D453" s="49">
        <v>22022000103</v>
      </c>
      <c r="E453" s="50" t="s">
        <v>1903</v>
      </c>
      <c r="F453" s="58">
        <v>7532.25</v>
      </c>
      <c r="G453" s="50" t="s">
        <v>1220</v>
      </c>
      <c r="H453" s="50" t="s">
        <v>1904</v>
      </c>
      <c r="I453" s="49" t="s">
        <v>107</v>
      </c>
      <c r="J453" s="50" t="s">
        <v>1221</v>
      </c>
      <c r="K453" s="50" t="s">
        <v>108</v>
      </c>
      <c r="L453" s="50" t="s">
        <v>15</v>
      </c>
      <c r="M453" s="50" t="s">
        <v>13</v>
      </c>
      <c r="N453" s="50" t="s">
        <v>14</v>
      </c>
      <c r="O453" s="48" t="s">
        <v>620</v>
      </c>
      <c r="P453" s="45" t="s">
        <v>453</v>
      </c>
      <c r="Q453" s="35" t="str">
        <f>MID(Tabla1[[#This Row],[Aplicación]],14,1)</f>
        <v>2</v>
      </c>
      <c r="R453" s="35" t="s">
        <v>441</v>
      </c>
      <c r="S453" s="35" t="str">
        <f>MID(Tabla1[[#This Row],[Aplicación]],6,2)</f>
        <v>11</v>
      </c>
      <c r="T453" s="35" t="str">
        <f>VLOOKUP(Tabla1[[#This Row],[AREA]],Hoja1!A:B,2,FALSE)</f>
        <v>11. Salud pública y seguridad ciudadana</v>
      </c>
      <c r="U453" s="35" t="str">
        <f>MID(Tabla1[[#This Row],[Aplicación]],9,4)</f>
        <v>1361</v>
      </c>
      <c r="V453" s="35" t="str">
        <f>VLOOKUP(Tabla1[[#This Row],[PROGRAMA]],Hoja1!A:B,2,FALSE)</f>
        <v>1361. Prevención y extinción de incencios</v>
      </c>
      <c r="W453" s="35" t="str">
        <f>MID(Tabla1[[#This Row],[Aplicación]],14,2)</f>
        <v>22</v>
      </c>
      <c r="X453" s="35" t="str">
        <f>MID(Tabla1[[#This Row],[Aplicación]],14,6)</f>
        <v>22104</v>
      </c>
    </row>
    <row r="454" spans="1:24" x14ac:dyDescent="0.25">
      <c r="A454" s="49">
        <v>220209000723</v>
      </c>
      <c r="B454" s="50" t="s">
        <v>9</v>
      </c>
      <c r="C454" s="57">
        <v>44562</v>
      </c>
      <c r="D454" s="49">
        <v>22022000260</v>
      </c>
      <c r="E454" s="50" t="s">
        <v>1905</v>
      </c>
      <c r="F454" s="58">
        <v>52273.94</v>
      </c>
      <c r="G454" s="50" t="s">
        <v>148</v>
      </c>
      <c r="H454" s="50" t="s">
        <v>653</v>
      </c>
      <c r="I454" s="49" t="s">
        <v>107</v>
      </c>
      <c r="J454" s="50" t="s">
        <v>109</v>
      </c>
      <c r="K454" s="50" t="s">
        <v>109</v>
      </c>
      <c r="L454" s="50" t="s">
        <v>12</v>
      </c>
      <c r="M454" s="50" t="s">
        <v>13</v>
      </c>
      <c r="N454" s="50" t="s">
        <v>14</v>
      </c>
      <c r="O454" s="48" t="s">
        <v>620</v>
      </c>
      <c r="P454" s="45" t="s">
        <v>453</v>
      </c>
      <c r="Q454" s="35" t="str">
        <f>MID(Tabla1[[#This Row],[Aplicación]],14,1)</f>
        <v>2</v>
      </c>
      <c r="R454" s="35" t="s">
        <v>441</v>
      </c>
      <c r="S454" s="35" t="str">
        <f>MID(Tabla1[[#This Row],[Aplicación]],6,2)</f>
        <v>10</v>
      </c>
      <c r="T454" s="35" t="str">
        <f>VLOOKUP(Tabla1[[#This Row],[AREA]],Hoja1!A:B,2,FALSE)</f>
        <v>10. Servicios sociales y mediación comunitaria</v>
      </c>
      <c r="U454" s="35" t="str">
        <f>MID(Tabla1[[#This Row],[Aplicación]],9,4)</f>
        <v>2311</v>
      </c>
      <c r="V454" s="35" t="str">
        <f>VLOOKUP(Tabla1[[#This Row],[PROGRAMA]],Hoja1!A:B,2,FALSE)</f>
        <v>2311. Intervención social</v>
      </c>
      <c r="W454" s="35" t="str">
        <f>MID(Tabla1[[#This Row],[Aplicación]],14,2)</f>
        <v>22</v>
      </c>
      <c r="X454" s="35" t="str">
        <f>MID(Tabla1[[#This Row],[Aplicación]],14,6)</f>
        <v>22700</v>
      </c>
    </row>
    <row r="455" spans="1:24" x14ac:dyDescent="0.25">
      <c r="A455" s="49">
        <v>220209000725</v>
      </c>
      <c r="B455" s="50" t="s">
        <v>9</v>
      </c>
      <c r="C455" s="57">
        <v>44562</v>
      </c>
      <c r="D455" s="49">
        <v>22022000262</v>
      </c>
      <c r="E455" s="50" t="s">
        <v>1905</v>
      </c>
      <c r="F455" s="58">
        <v>7237.16</v>
      </c>
      <c r="G455" s="50" t="s">
        <v>148</v>
      </c>
      <c r="H455" s="50" t="s">
        <v>655</v>
      </c>
      <c r="I455" s="49" t="s">
        <v>107</v>
      </c>
      <c r="J455" s="50" t="s">
        <v>109</v>
      </c>
      <c r="K455" s="50" t="s">
        <v>109</v>
      </c>
      <c r="L455" s="50" t="s">
        <v>12</v>
      </c>
      <c r="M455" s="50" t="s">
        <v>13</v>
      </c>
      <c r="N455" s="50" t="s">
        <v>14</v>
      </c>
      <c r="O455" s="48" t="s">
        <v>620</v>
      </c>
      <c r="P455" s="45" t="s">
        <v>453</v>
      </c>
      <c r="Q455" s="35" t="str">
        <f>MID(Tabla1[[#This Row],[Aplicación]],14,1)</f>
        <v>2</v>
      </c>
      <c r="R455" s="35" t="s">
        <v>441</v>
      </c>
      <c r="S455" s="35" t="str">
        <f>MID(Tabla1[[#This Row],[Aplicación]],6,2)</f>
        <v>10</v>
      </c>
      <c r="T455" s="35" t="str">
        <f>VLOOKUP(Tabla1[[#This Row],[AREA]],Hoja1!A:B,2,FALSE)</f>
        <v>10. Servicios sociales y mediación comunitaria</v>
      </c>
      <c r="U455" s="35" t="str">
        <f>MID(Tabla1[[#This Row],[Aplicación]],9,4)</f>
        <v>2311</v>
      </c>
      <c r="V455" s="35" t="str">
        <f>VLOOKUP(Tabla1[[#This Row],[PROGRAMA]],Hoja1!A:B,2,FALSE)</f>
        <v>2311. Intervención social</v>
      </c>
      <c r="W455" s="35" t="str">
        <f>MID(Tabla1[[#This Row],[Aplicación]],14,2)</f>
        <v>22</v>
      </c>
      <c r="X455" s="35" t="str">
        <f>MID(Tabla1[[#This Row],[Aplicación]],14,6)</f>
        <v>22700</v>
      </c>
    </row>
    <row r="456" spans="1:24" x14ac:dyDescent="0.25">
      <c r="A456" s="49">
        <v>220220001718</v>
      </c>
      <c r="B456" s="50" t="s">
        <v>26</v>
      </c>
      <c r="C456" s="57">
        <v>44588</v>
      </c>
      <c r="D456" s="49">
        <v>22022001479</v>
      </c>
      <c r="E456" s="50" t="s">
        <v>1905</v>
      </c>
      <c r="F456" s="58">
        <v>4356.1499999999996</v>
      </c>
      <c r="G456" s="50" t="s">
        <v>148</v>
      </c>
      <c r="H456" s="50" t="s">
        <v>1906</v>
      </c>
      <c r="I456" s="49" t="s">
        <v>197</v>
      </c>
      <c r="J456" s="50" t="s">
        <v>109</v>
      </c>
      <c r="K456" s="50" t="s">
        <v>109</v>
      </c>
      <c r="L456" s="50" t="s">
        <v>12</v>
      </c>
      <c r="M456" s="50" t="s">
        <v>13</v>
      </c>
      <c r="N456" s="50" t="s">
        <v>14</v>
      </c>
      <c r="O456" s="48" t="s">
        <v>620</v>
      </c>
      <c r="P456" s="45" t="s">
        <v>453</v>
      </c>
      <c r="Q456" s="35" t="str">
        <f>MID(Tabla1[[#This Row],[Aplicación]],14,1)</f>
        <v>2</v>
      </c>
      <c r="R456" s="35" t="s">
        <v>441</v>
      </c>
      <c r="S456" s="35" t="str">
        <f>MID(Tabla1[[#This Row],[Aplicación]],6,2)</f>
        <v>10</v>
      </c>
      <c r="T456" s="35" t="str">
        <f>VLOOKUP(Tabla1[[#This Row],[AREA]],Hoja1!A:B,2,FALSE)</f>
        <v>10. Servicios sociales y mediación comunitaria</v>
      </c>
      <c r="U456" s="35" t="str">
        <f>MID(Tabla1[[#This Row],[Aplicación]],9,4)</f>
        <v>2311</v>
      </c>
      <c r="V456" s="35" t="str">
        <f>VLOOKUP(Tabla1[[#This Row],[PROGRAMA]],Hoja1!A:B,2,FALSE)</f>
        <v>2311. Intervención social</v>
      </c>
      <c r="W456" s="35" t="str">
        <f>MID(Tabla1[[#This Row],[Aplicación]],14,2)</f>
        <v>22</v>
      </c>
      <c r="X456" s="35" t="str">
        <f>MID(Tabla1[[#This Row],[Aplicación]],14,6)</f>
        <v>22700</v>
      </c>
    </row>
    <row r="457" spans="1:24" x14ac:dyDescent="0.25">
      <c r="A457" s="49">
        <v>220209000724</v>
      </c>
      <c r="B457" s="50" t="s">
        <v>9</v>
      </c>
      <c r="C457" s="57">
        <v>44562</v>
      </c>
      <c r="D457" s="49">
        <v>22022000261</v>
      </c>
      <c r="E457" s="50" t="s">
        <v>1905</v>
      </c>
      <c r="F457" s="58">
        <v>3535.76</v>
      </c>
      <c r="G457" s="50" t="s">
        <v>148</v>
      </c>
      <c r="H457" s="50" t="s">
        <v>654</v>
      </c>
      <c r="I457" s="49" t="s">
        <v>107</v>
      </c>
      <c r="J457" s="50" t="s">
        <v>109</v>
      </c>
      <c r="K457" s="50" t="s">
        <v>109</v>
      </c>
      <c r="L457" s="50" t="s">
        <v>12</v>
      </c>
      <c r="M457" s="50" t="s">
        <v>13</v>
      </c>
      <c r="N457" s="50" t="s">
        <v>14</v>
      </c>
      <c r="O457" s="48" t="s">
        <v>620</v>
      </c>
      <c r="P457" s="45" t="s">
        <v>453</v>
      </c>
      <c r="Q457" s="35" t="str">
        <f>MID(Tabla1[[#This Row],[Aplicación]],14,1)</f>
        <v>2</v>
      </c>
      <c r="R457" s="35" t="s">
        <v>441</v>
      </c>
      <c r="S457" s="35" t="str">
        <f>MID(Tabla1[[#This Row],[Aplicación]],6,2)</f>
        <v>10</v>
      </c>
      <c r="T457" s="35" t="str">
        <f>VLOOKUP(Tabla1[[#This Row],[AREA]],Hoja1!A:B,2,FALSE)</f>
        <v>10. Servicios sociales y mediación comunitaria</v>
      </c>
      <c r="U457" s="35" t="str">
        <f>MID(Tabla1[[#This Row],[Aplicación]],9,4)</f>
        <v>2311</v>
      </c>
      <c r="V457" s="35" t="str">
        <f>VLOOKUP(Tabla1[[#This Row],[PROGRAMA]],Hoja1!A:B,2,FALSE)</f>
        <v>2311. Intervención social</v>
      </c>
      <c r="W457" s="35" t="str">
        <f>MID(Tabla1[[#This Row],[Aplicación]],14,2)</f>
        <v>22</v>
      </c>
      <c r="X457" s="35" t="str">
        <f>MID(Tabla1[[#This Row],[Aplicación]],14,6)</f>
        <v>22700</v>
      </c>
    </row>
    <row r="458" spans="1:24" x14ac:dyDescent="0.25">
      <c r="A458" s="49">
        <v>220220001718</v>
      </c>
      <c r="B458" s="50" t="s">
        <v>26</v>
      </c>
      <c r="C458" s="57">
        <v>44588</v>
      </c>
      <c r="D458" s="49">
        <v>22022001477</v>
      </c>
      <c r="E458" s="50" t="s">
        <v>1905</v>
      </c>
      <c r="F458" s="58">
        <v>603.09</v>
      </c>
      <c r="G458" s="50" t="s">
        <v>148</v>
      </c>
      <c r="H458" s="50" t="s">
        <v>1906</v>
      </c>
      <c r="I458" s="49" t="s">
        <v>197</v>
      </c>
      <c r="J458" s="50" t="s">
        <v>109</v>
      </c>
      <c r="K458" s="50" t="s">
        <v>109</v>
      </c>
      <c r="L458" s="50" t="s">
        <v>12</v>
      </c>
      <c r="M458" s="50" t="s">
        <v>13</v>
      </c>
      <c r="N458" s="50" t="s">
        <v>14</v>
      </c>
      <c r="O458" s="48" t="s">
        <v>620</v>
      </c>
      <c r="P458" s="45" t="s">
        <v>453</v>
      </c>
      <c r="Q458" s="35" t="str">
        <f>MID(Tabla1[[#This Row],[Aplicación]],14,1)</f>
        <v>2</v>
      </c>
      <c r="R458" s="35" t="s">
        <v>441</v>
      </c>
      <c r="S458" s="35" t="str">
        <f>MID(Tabla1[[#This Row],[Aplicación]],6,2)</f>
        <v>10</v>
      </c>
      <c r="T458" s="35" t="str">
        <f>VLOOKUP(Tabla1[[#This Row],[AREA]],Hoja1!A:B,2,FALSE)</f>
        <v>10. Servicios sociales y mediación comunitaria</v>
      </c>
      <c r="U458" s="35" t="str">
        <f>MID(Tabla1[[#This Row],[Aplicación]],9,4)</f>
        <v>2311</v>
      </c>
      <c r="V458" s="35" t="str">
        <f>VLOOKUP(Tabla1[[#This Row],[PROGRAMA]],Hoja1!A:B,2,FALSE)</f>
        <v>2311. Intervención social</v>
      </c>
      <c r="W458" s="35" t="str">
        <f>MID(Tabla1[[#This Row],[Aplicación]],14,2)</f>
        <v>22</v>
      </c>
      <c r="X458" s="35" t="str">
        <f>MID(Tabla1[[#This Row],[Aplicación]],14,6)</f>
        <v>22700</v>
      </c>
    </row>
    <row r="459" spans="1:24" x14ac:dyDescent="0.25">
      <c r="A459" s="49">
        <v>220220001718</v>
      </c>
      <c r="B459" s="50" t="s">
        <v>26</v>
      </c>
      <c r="C459" s="57">
        <v>44588</v>
      </c>
      <c r="D459" s="49">
        <v>22022001478</v>
      </c>
      <c r="E459" s="50" t="s">
        <v>1905</v>
      </c>
      <c r="F459" s="58">
        <v>294.64999999999998</v>
      </c>
      <c r="G459" s="50" t="s">
        <v>148</v>
      </c>
      <c r="H459" s="50" t="s">
        <v>1906</v>
      </c>
      <c r="I459" s="49" t="s">
        <v>197</v>
      </c>
      <c r="J459" s="50" t="s">
        <v>109</v>
      </c>
      <c r="K459" s="50" t="s">
        <v>109</v>
      </c>
      <c r="L459" s="50" t="s">
        <v>12</v>
      </c>
      <c r="M459" s="50" t="s">
        <v>13</v>
      </c>
      <c r="N459" s="50" t="s">
        <v>14</v>
      </c>
      <c r="O459" s="48" t="s">
        <v>620</v>
      </c>
      <c r="P459" s="45" t="s">
        <v>453</v>
      </c>
      <c r="Q459" s="35" t="str">
        <f>MID(Tabla1[[#This Row],[Aplicación]],14,1)</f>
        <v>2</v>
      </c>
      <c r="R459" s="35" t="s">
        <v>441</v>
      </c>
      <c r="S459" s="35" t="str">
        <f>MID(Tabla1[[#This Row],[Aplicación]],6,2)</f>
        <v>10</v>
      </c>
      <c r="T459" s="35" t="str">
        <f>VLOOKUP(Tabla1[[#This Row],[AREA]],Hoja1!A:B,2,FALSE)</f>
        <v>10. Servicios sociales y mediación comunitaria</v>
      </c>
      <c r="U459" s="35" t="str">
        <f>MID(Tabla1[[#This Row],[Aplicación]],9,4)</f>
        <v>2311</v>
      </c>
      <c r="V459" s="35" t="str">
        <f>VLOOKUP(Tabla1[[#This Row],[PROGRAMA]],Hoja1!A:B,2,FALSE)</f>
        <v>2311. Intervención social</v>
      </c>
      <c r="W459" s="35" t="str">
        <f>MID(Tabla1[[#This Row],[Aplicación]],14,2)</f>
        <v>22</v>
      </c>
      <c r="X459" s="35" t="str">
        <f>MID(Tabla1[[#This Row],[Aplicación]],14,6)</f>
        <v>22700</v>
      </c>
    </row>
    <row r="460" spans="1:24" x14ac:dyDescent="0.25">
      <c r="A460" s="49">
        <v>220210012926</v>
      </c>
      <c r="B460" s="50" t="s">
        <v>9</v>
      </c>
      <c r="C460" s="57">
        <v>44620</v>
      </c>
      <c r="D460" s="49">
        <v>22020000735</v>
      </c>
      <c r="E460" s="50" t="s">
        <v>1383</v>
      </c>
      <c r="F460" s="58">
        <v>1464.51</v>
      </c>
      <c r="G460" s="50" t="s">
        <v>186</v>
      </c>
      <c r="H460" s="50" t="s">
        <v>495</v>
      </c>
      <c r="I460" s="49" t="s">
        <v>107</v>
      </c>
      <c r="J460" s="50" t="s">
        <v>109</v>
      </c>
      <c r="K460" s="50" t="s">
        <v>109</v>
      </c>
      <c r="L460" s="50" t="s">
        <v>12</v>
      </c>
      <c r="M460" s="50" t="s">
        <v>13</v>
      </c>
      <c r="N460" s="50" t="s">
        <v>14</v>
      </c>
      <c r="O460" s="48" t="s">
        <v>620</v>
      </c>
      <c r="P460" s="45" t="s">
        <v>453</v>
      </c>
      <c r="Q460" s="35" t="str">
        <f>MID(Tabla1[[#This Row],[Aplicación]],14,1)</f>
        <v>6</v>
      </c>
      <c r="R460" s="35" t="s">
        <v>442</v>
      </c>
      <c r="S460" s="35" t="str">
        <f>MID(Tabla1[[#This Row],[Aplicación]],6,2)</f>
        <v>08</v>
      </c>
      <c r="T460" s="35" t="str">
        <f>VLOOKUP(Tabla1[[#This Row],[AREA]],Hoja1!A:B,2,FALSE)</f>
        <v>08. Movilidad y espacio urbano</v>
      </c>
      <c r="U460" s="35" t="str">
        <f>MID(Tabla1[[#This Row],[Aplicación]],9,4)</f>
        <v>1341</v>
      </c>
      <c r="V460" s="35" t="str">
        <f>VLOOKUP(Tabla1[[#This Row],[PROGRAMA]],Hoja1!A:B,2,FALSE)</f>
        <v>1341. Movilidad</v>
      </c>
      <c r="W460" s="35" t="str">
        <f>MID(Tabla1[[#This Row],[Aplicación]],14,2)</f>
        <v>61</v>
      </c>
      <c r="X460" s="35" t="str">
        <f>MID(Tabla1[[#This Row],[Aplicación]],14,6)</f>
        <v>619</v>
      </c>
    </row>
    <row r="461" spans="1:24" x14ac:dyDescent="0.25">
      <c r="A461" s="49">
        <v>220209000470</v>
      </c>
      <c r="B461" s="50" t="s">
        <v>9</v>
      </c>
      <c r="C461" s="57">
        <v>44562</v>
      </c>
      <c r="D461" s="49">
        <v>22022000200</v>
      </c>
      <c r="E461" s="50" t="s">
        <v>1907</v>
      </c>
      <c r="F461" s="58">
        <v>11887.26</v>
      </c>
      <c r="G461" s="50" t="s">
        <v>471</v>
      </c>
      <c r="H461" s="50" t="s">
        <v>660</v>
      </c>
      <c r="I461" s="49" t="s">
        <v>107</v>
      </c>
      <c r="J461" s="50" t="s">
        <v>109</v>
      </c>
      <c r="K461" s="50" t="s">
        <v>109</v>
      </c>
      <c r="L461" s="50" t="s">
        <v>15</v>
      </c>
      <c r="M461" s="50" t="s">
        <v>13</v>
      </c>
      <c r="N461" s="50" t="s">
        <v>14</v>
      </c>
      <c r="O461" s="48" t="s">
        <v>620</v>
      </c>
      <c r="P461" s="45" t="s">
        <v>453</v>
      </c>
      <c r="Q461" s="35" t="str">
        <f>MID(Tabla1[[#This Row],[Aplicación]],14,1)</f>
        <v>2</v>
      </c>
      <c r="R461" s="35" t="s">
        <v>441</v>
      </c>
      <c r="S461" s="35" t="str">
        <f>MID(Tabla1[[#This Row],[Aplicación]],6,2)</f>
        <v>11</v>
      </c>
      <c r="T461" s="35" t="str">
        <f>VLOOKUP(Tabla1[[#This Row],[AREA]],Hoja1!A:B,2,FALSE)</f>
        <v>11. Salud pública y seguridad ciudadana</v>
      </c>
      <c r="U461" s="35" t="str">
        <f>MID(Tabla1[[#This Row],[Aplicación]],9,4)</f>
        <v>3111</v>
      </c>
      <c r="V461" s="35" t="str">
        <f>VLOOKUP(Tabla1[[#This Row],[PROGRAMA]],Hoja1!A:B,2,FALSE)</f>
        <v>3111. Protección de la salubridad pública</v>
      </c>
      <c r="W461" s="35" t="str">
        <f>MID(Tabla1[[#This Row],[Aplicación]],14,2)</f>
        <v>22</v>
      </c>
      <c r="X461" s="35" t="str">
        <f>MID(Tabla1[[#This Row],[Aplicación]],14,6)</f>
        <v>22106</v>
      </c>
    </row>
    <row r="462" spans="1:24" x14ac:dyDescent="0.25">
      <c r="A462" s="49">
        <v>220219000216</v>
      </c>
      <c r="B462" s="50" t="s">
        <v>9</v>
      </c>
      <c r="C462" s="57">
        <v>44562</v>
      </c>
      <c r="D462" s="49">
        <v>22022000049</v>
      </c>
      <c r="E462" s="50" t="s">
        <v>1742</v>
      </c>
      <c r="F462" s="58">
        <v>7464.9</v>
      </c>
      <c r="G462" s="50" t="s">
        <v>66</v>
      </c>
      <c r="H462" s="50" t="s">
        <v>1908</v>
      </c>
      <c r="I462" s="49" t="s">
        <v>107</v>
      </c>
      <c r="J462" s="50" t="s">
        <v>559</v>
      </c>
      <c r="K462" s="50" t="s">
        <v>157</v>
      </c>
      <c r="L462" s="50" t="s">
        <v>12</v>
      </c>
      <c r="M462" s="50" t="s">
        <v>13</v>
      </c>
      <c r="N462" s="50" t="s">
        <v>16</v>
      </c>
      <c r="O462" s="48" t="s">
        <v>620</v>
      </c>
      <c r="P462" s="45" t="s">
        <v>453</v>
      </c>
      <c r="Q462" s="35" t="str">
        <f>MID(Tabla1[[#This Row],[Aplicación]],14,1)</f>
        <v>2</v>
      </c>
      <c r="R462" s="35" t="s">
        <v>441</v>
      </c>
      <c r="S462" s="35" t="str">
        <f>MID(Tabla1[[#This Row],[Aplicación]],6,2)</f>
        <v>03</v>
      </c>
      <c r="T462" s="35" t="str">
        <f>VLOOKUP(Tabla1[[#This Row],[AREA]],Hoja1!A:B,2,FALSE)</f>
        <v>03. Participación ciudadana y deportes</v>
      </c>
      <c r="U462" s="35" t="str">
        <f>MID(Tabla1[[#This Row],[Aplicación]],9,4)</f>
        <v>9241</v>
      </c>
      <c r="V462" s="35" t="str">
        <f>VLOOKUP(Tabla1[[#This Row],[PROGRAMA]],Hoja1!A:B,2,FALSE)</f>
        <v>9241. Participación ciudadana</v>
      </c>
      <c r="W462" s="35" t="str">
        <f>MID(Tabla1[[#This Row],[Aplicación]],14,2)</f>
        <v>21</v>
      </c>
      <c r="X462" s="35" t="str">
        <f>MID(Tabla1[[#This Row],[Aplicación]],14,6)</f>
        <v>213</v>
      </c>
    </row>
    <row r="463" spans="1:24" x14ac:dyDescent="0.25">
      <c r="A463" s="49">
        <v>220209000745</v>
      </c>
      <c r="B463" s="50" t="s">
        <v>9</v>
      </c>
      <c r="C463" s="57">
        <v>44562</v>
      </c>
      <c r="D463" s="49">
        <v>22022000266</v>
      </c>
      <c r="E463" s="50" t="s">
        <v>1475</v>
      </c>
      <c r="F463" s="58">
        <v>6403.32</v>
      </c>
      <c r="G463" s="50" t="s">
        <v>66</v>
      </c>
      <c r="H463" s="50" t="s">
        <v>664</v>
      </c>
      <c r="I463" s="49" t="s">
        <v>107</v>
      </c>
      <c r="J463" s="50" t="s">
        <v>559</v>
      </c>
      <c r="K463" s="50" t="s">
        <v>157</v>
      </c>
      <c r="L463" s="50" t="s">
        <v>12</v>
      </c>
      <c r="M463" s="50" t="s">
        <v>13</v>
      </c>
      <c r="N463" s="50" t="s">
        <v>16</v>
      </c>
      <c r="O463" s="48" t="s">
        <v>620</v>
      </c>
      <c r="P463" s="45" t="s">
        <v>453</v>
      </c>
      <c r="Q463" s="35" t="str">
        <f>MID(Tabla1[[#This Row],[Aplicación]],14,1)</f>
        <v>2</v>
      </c>
      <c r="R463" s="35" t="s">
        <v>441</v>
      </c>
      <c r="S463" s="35" t="str">
        <f>MID(Tabla1[[#This Row],[Aplicación]],6,2)</f>
        <v>06</v>
      </c>
      <c r="T463" s="35" t="str">
        <f>VLOOKUP(Tabla1[[#This Row],[AREA]],Hoja1!A:B,2,FALSE)</f>
        <v>06. Educación, infancia, juventud e igualdad</v>
      </c>
      <c r="U463" s="35" t="str">
        <f>MID(Tabla1[[#This Row],[Aplicación]],9,4)</f>
        <v>3232</v>
      </c>
      <c r="V463" s="35" t="str">
        <f>VLOOKUP(Tabla1[[#This Row],[PROGRAMA]],Hoja1!A:B,2,FALSE)</f>
        <v>3232. Conservación y mantenimiento centros educación infantil y primaria</v>
      </c>
      <c r="W463" s="35" t="str">
        <f>MID(Tabla1[[#This Row],[Aplicación]],14,2)</f>
        <v>21</v>
      </c>
      <c r="X463" s="35" t="str">
        <f>MID(Tabla1[[#This Row],[Aplicación]],14,6)</f>
        <v>213</v>
      </c>
    </row>
    <row r="464" spans="1:24" x14ac:dyDescent="0.25">
      <c r="A464" s="49">
        <v>220219001267</v>
      </c>
      <c r="B464" s="50" t="s">
        <v>9</v>
      </c>
      <c r="C464" s="57">
        <v>44562</v>
      </c>
      <c r="D464" s="49">
        <v>22022001682</v>
      </c>
      <c r="E464" s="50" t="s">
        <v>1458</v>
      </c>
      <c r="F464" s="58">
        <v>1045.44</v>
      </c>
      <c r="G464" s="50" t="s">
        <v>66</v>
      </c>
      <c r="H464" s="50" t="s">
        <v>1909</v>
      </c>
      <c r="I464" s="49" t="s">
        <v>107</v>
      </c>
      <c r="J464" s="50" t="s">
        <v>559</v>
      </c>
      <c r="K464" s="50" t="s">
        <v>157</v>
      </c>
      <c r="L464" s="50" t="s">
        <v>12</v>
      </c>
      <c r="M464" s="50" t="s">
        <v>13</v>
      </c>
      <c r="N464" s="50" t="s">
        <v>14</v>
      </c>
      <c r="O464" s="48" t="s">
        <v>620</v>
      </c>
      <c r="P464" s="45" t="s">
        <v>453</v>
      </c>
      <c r="Q464" s="35" t="str">
        <f>MID(Tabla1[[#This Row],[Aplicación]],14,1)</f>
        <v>2</v>
      </c>
      <c r="R464" s="35" t="s">
        <v>441</v>
      </c>
      <c r="S464" s="35" t="str">
        <f>MID(Tabla1[[#This Row],[Aplicación]],6,2)</f>
        <v>04</v>
      </c>
      <c r="T464" s="35" t="str">
        <f>VLOOKUP(Tabla1[[#This Row],[AREA]],Hoja1!A:B,2,FALSE)</f>
        <v>04. Planificación y recursos</v>
      </c>
      <c r="U464" s="35" t="str">
        <f>MID(Tabla1[[#This Row],[Aplicación]],9,4)</f>
        <v>9204</v>
      </c>
      <c r="V464" s="35" t="str">
        <f>VLOOKUP(Tabla1[[#This Row],[PROGRAMA]],Hoja1!A:B,2,FALSE)</f>
        <v>9204. Tecnologías de la información y comunicación</v>
      </c>
      <c r="W464" s="35" t="str">
        <f>MID(Tabla1[[#This Row],[Aplicación]],14,2)</f>
        <v>21</v>
      </c>
      <c r="X464" s="35" t="str">
        <f>MID(Tabla1[[#This Row],[Aplicación]],14,6)</f>
        <v>213</v>
      </c>
    </row>
    <row r="465" spans="1:24" x14ac:dyDescent="0.25">
      <c r="A465" s="49">
        <v>220209000748</v>
      </c>
      <c r="B465" s="50" t="s">
        <v>9</v>
      </c>
      <c r="C465" s="57">
        <v>44562</v>
      </c>
      <c r="D465" s="49">
        <v>22022000269</v>
      </c>
      <c r="E465" s="50" t="s">
        <v>1910</v>
      </c>
      <c r="F465" s="58">
        <v>457.38</v>
      </c>
      <c r="G465" s="50" t="s">
        <v>66</v>
      </c>
      <c r="H465" s="50" t="s">
        <v>665</v>
      </c>
      <c r="I465" s="49" t="s">
        <v>107</v>
      </c>
      <c r="J465" s="50" t="s">
        <v>559</v>
      </c>
      <c r="K465" s="50" t="s">
        <v>157</v>
      </c>
      <c r="L465" s="50" t="s">
        <v>12</v>
      </c>
      <c r="M465" s="50" t="s">
        <v>13</v>
      </c>
      <c r="N465" s="50" t="s">
        <v>16</v>
      </c>
      <c r="O465" s="48" t="s">
        <v>620</v>
      </c>
      <c r="P465" s="45" t="s">
        <v>453</v>
      </c>
      <c r="Q465" s="35" t="str">
        <f>MID(Tabla1[[#This Row],[Aplicación]],14,1)</f>
        <v>2</v>
      </c>
      <c r="R465" s="35" t="s">
        <v>441</v>
      </c>
      <c r="S465" s="35" t="str">
        <f>MID(Tabla1[[#This Row],[Aplicación]],6,2)</f>
        <v>06</v>
      </c>
      <c r="T465" s="35" t="str">
        <f>VLOOKUP(Tabla1[[#This Row],[AREA]],Hoja1!A:B,2,FALSE)</f>
        <v>06. Educación, infancia, juventud e igualdad</v>
      </c>
      <c r="U465" s="35" t="str">
        <f>MID(Tabla1[[#This Row],[Aplicación]],9,4)</f>
        <v>3261</v>
      </c>
      <c r="V465" s="35" t="str">
        <f>VLOOKUP(Tabla1[[#This Row],[PROGRAMA]],Hoja1!A:B,2,FALSE)</f>
        <v>3261. Servicios complementarios de educación</v>
      </c>
      <c r="W465" s="35" t="str">
        <f>MID(Tabla1[[#This Row],[Aplicación]],14,2)</f>
        <v>21</v>
      </c>
      <c r="X465" s="35" t="str">
        <f>MID(Tabla1[[#This Row],[Aplicación]],14,6)</f>
        <v>213</v>
      </c>
    </row>
    <row r="466" spans="1:24" x14ac:dyDescent="0.25">
      <c r="A466" s="49">
        <v>220209000752</v>
      </c>
      <c r="B466" s="50" t="s">
        <v>9</v>
      </c>
      <c r="C466" s="57">
        <v>44562</v>
      </c>
      <c r="D466" s="49">
        <v>22022000273</v>
      </c>
      <c r="E466" s="50" t="s">
        <v>1911</v>
      </c>
      <c r="F466" s="58">
        <v>457.38</v>
      </c>
      <c r="G466" s="50" t="s">
        <v>66</v>
      </c>
      <c r="H466" s="50" t="s">
        <v>666</v>
      </c>
      <c r="I466" s="49" t="s">
        <v>107</v>
      </c>
      <c r="J466" s="50" t="s">
        <v>559</v>
      </c>
      <c r="K466" s="50" t="s">
        <v>157</v>
      </c>
      <c r="L466" s="50" t="s">
        <v>12</v>
      </c>
      <c r="M466" s="50" t="s">
        <v>13</v>
      </c>
      <c r="N466" s="50" t="s">
        <v>16</v>
      </c>
      <c r="O466" s="48" t="s">
        <v>620</v>
      </c>
      <c r="P466" s="45" t="s">
        <v>453</v>
      </c>
      <c r="Q466" s="35" t="str">
        <f>MID(Tabla1[[#This Row],[Aplicación]],14,1)</f>
        <v>2</v>
      </c>
      <c r="R466" s="35" t="s">
        <v>441</v>
      </c>
      <c r="S466" s="35" t="str">
        <f>MID(Tabla1[[#This Row],[Aplicación]],6,2)</f>
        <v>06</v>
      </c>
      <c r="T466" s="35" t="str">
        <f>VLOOKUP(Tabla1[[#This Row],[AREA]],Hoja1!A:B,2,FALSE)</f>
        <v>06. Educación, infancia, juventud e igualdad</v>
      </c>
      <c r="U466" s="35" t="str">
        <f>MID(Tabla1[[#This Row],[Aplicación]],9,4)</f>
        <v>2314</v>
      </c>
      <c r="V466" s="35" t="str">
        <f>VLOOKUP(Tabla1[[#This Row],[PROGRAMA]],Hoja1!A:B,2,FALSE)</f>
        <v>2314. Centro de programas juveniles</v>
      </c>
      <c r="W466" s="35" t="str">
        <f>MID(Tabla1[[#This Row],[Aplicación]],14,2)</f>
        <v>21</v>
      </c>
      <c r="X466" s="35" t="str">
        <f>MID(Tabla1[[#This Row],[Aplicación]],14,6)</f>
        <v>213</v>
      </c>
    </row>
    <row r="467" spans="1:24" x14ac:dyDescent="0.25">
      <c r="A467" s="49">
        <v>220220000386</v>
      </c>
      <c r="B467" s="50" t="s">
        <v>9</v>
      </c>
      <c r="C467" s="57">
        <v>44586</v>
      </c>
      <c r="D467" s="49">
        <v>22022000011</v>
      </c>
      <c r="E467" s="50" t="s">
        <v>1488</v>
      </c>
      <c r="F467" s="58">
        <v>2199.8000000000002</v>
      </c>
      <c r="G467" s="50" t="s">
        <v>34</v>
      </c>
      <c r="H467" s="50" t="s">
        <v>1912</v>
      </c>
      <c r="I467" s="49" t="s">
        <v>107</v>
      </c>
      <c r="J467" s="50" t="s">
        <v>109</v>
      </c>
      <c r="K467" s="50" t="s">
        <v>109</v>
      </c>
      <c r="L467" s="50" t="s">
        <v>12</v>
      </c>
      <c r="M467" s="50" t="s">
        <v>10</v>
      </c>
      <c r="N467" s="50" t="s">
        <v>11</v>
      </c>
      <c r="O467" s="48" t="s">
        <v>632</v>
      </c>
      <c r="P467" s="45" t="s">
        <v>453</v>
      </c>
      <c r="Q467" s="35" t="str">
        <f>MID(Tabla1[[#This Row],[Aplicación]],14,1)</f>
        <v>2</v>
      </c>
      <c r="R467" s="35" t="s">
        <v>441</v>
      </c>
      <c r="S467" s="35" t="str">
        <f>MID(Tabla1[[#This Row],[Aplicación]],6,2)</f>
        <v>10</v>
      </c>
      <c r="T467" s="35" t="str">
        <f>VLOOKUP(Tabla1[[#This Row],[AREA]],Hoja1!A:B,2,FALSE)</f>
        <v>10. Servicios sociales y mediación comunitaria</v>
      </c>
      <c r="U467" s="35" t="str">
        <f>MID(Tabla1[[#This Row],[Aplicación]],9,4)</f>
        <v>2312</v>
      </c>
      <c r="V467" s="35" t="str">
        <f>VLOOKUP(Tabla1[[#This Row],[PROGRAMA]],Hoja1!A:B,2,FALSE)</f>
        <v>2312. Iniciativas sociales</v>
      </c>
      <c r="W467" s="35" t="str">
        <f>MID(Tabla1[[#This Row],[Aplicación]],14,2)</f>
        <v>21</v>
      </c>
      <c r="X467" s="35" t="str">
        <f>MID(Tabla1[[#This Row],[Aplicación]],14,6)</f>
        <v>213</v>
      </c>
    </row>
    <row r="468" spans="1:24" x14ac:dyDescent="0.25">
      <c r="A468" s="49">
        <v>220220006747</v>
      </c>
      <c r="B468" s="50" t="s">
        <v>172</v>
      </c>
      <c r="C468" s="57">
        <v>44622</v>
      </c>
      <c r="D468" s="49">
        <v>22022001623</v>
      </c>
      <c r="E468" s="50" t="s">
        <v>1606</v>
      </c>
      <c r="F468" s="58">
        <v>41.62</v>
      </c>
      <c r="G468" s="50" t="s">
        <v>85</v>
      </c>
      <c r="H468" s="50" t="s">
        <v>1913</v>
      </c>
      <c r="I468" s="49" t="s">
        <v>173</v>
      </c>
      <c r="J468" s="50" t="s">
        <v>109</v>
      </c>
      <c r="K468" s="50" t="s">
        <v>109</v>
      </c>
      <c r="L468" s="50" t="s">
        <v>15</v>
      </c>
      <c r="M468" s="50" t="s">
        <v>13</v>
      </c>
      <c r="N468" s="50" t="s">
        <v>14</v>
      </c>
      <c r="O468" s="48" t="s">
        <v>631</v>
      </c>
      <c r="P468" s="45" t="s">
        <v>453</v>
      </c>
      <c r="Q468" s="35" t="str">
        <f>MID(Tabla1[[#This Row],[Aplicación]],14,1)</f>
        <v>2</v>
      </c>
      <c r="R468" s="35" t="s">
        <v>441</v>
      </c>
      <c r="S468" s="35" t="str">
        <f>MID(Tabla1[[#This Row],[Aplicación]],6,2)</f>
        <v>11</v>
      </c>
      <c r="T468" s="35" t="str">
        <f>VLOOKUP(Tabla1[[#This Row],[AREA]],Hoja1!A:B,2,FALSE)</f>
        <v>11. Salud pública y seguridad ciudadana</v>
      </c>
      <c r="U468" s="35" t="str">
        <f>MID(Tabla1[[#This Row],[Aplicación]],9,4)</f>
        <v>1361</v>
      </c>
      <c r="V468" s="35" t="str">
        <f>VLOOKUP(Tabla1[[#This Row],[PROGRAMA]],Hoja1!A:B,2,FALSE)</f>
        <v>1361. Prevención y extinción de incencios</v>
      </c>
      <c r="W468" s="35" t="str">
        <f>MID(Tabla1[[#This Row],[Aplicación]],14,2)</f>
        <v>22</v>
      </c>
      <c r="X468" s="35" t="str">
        <f>MID(Tabla1[[#This Row],[Aplicación]],14,6)</f>
        <v>22199</v>
      </c>
    </row>
    <row r="469" spans="1:24" x14ac:dyDescent="0.25">
      <c r="A469" s="49">
        <v>220220000387</v>
      </c>
      <c r="B469" s="50" t="s">
        <v>9</v>
      </c>
      <c r="C469" s="57">
        <v>44586</v>
      </c>
      <c r="D469" s="49">
        <v>22022000013</v>
      </c>
      <c r="E469" s="50" t="s">
        <v>1488</v>
      </c>
      <c r="F469" s="58">
        <v>2199.8000000000002</v>
      </c>
      <c r="G469" s="50" t="s">
        <v>34</v>
      </c>
      <c r="H469" s="50" t="s">
        <v>1914</v>
      </c>
      <c r="I469" s="49" t="s">
        <v>107</v>
      </c>
      <c r="J469" s="50" t="s">
        <v>109</v>
      </c>
      <c r="K469" s="50" t="s">
        <v>109</v>
      </c>
      <c r="L469" s="50" t="s">
        <v>12</v>
      </c>
      <c r="M469" s="50" t="s">
        <v>10</v>
      </c>
      <c r="N469" s="50" t="s">
        <v>11</v>
      </c>
      <c r="O469" s="48" t="s">
        <v>632</v>
      </c>
      <c r="P469" s="45" t="s">
        <v>453</v>
      </c>
      <c r="Q469" s="35" t="str">
        <f>MID(Tabla1[[#This Row],[Aplicación]],14,1)</f>
        <v>2</v>
      </c>
      <c r="R469" s="35" t="s">
        <v>441</v>
      </c>
      <c r="S469" s="35" t="str">
        <f>MID(Tabla1[[#This Row],[Aplicación]],6,2)</f>
        <v>10</v>
      </c>
      <c r="T469" s="35" t="str">
        <f>VLOOKUP(Tabla1[[#This Row],[AREA]],Hoja1!A:B,2,FALSE)</f>
        <v>10. Servicios sociales y mediación comunitaria</v>
      </c>
      <c r="U469" s="35" t="str">
        <f>MID(Tabla1[[#This Row],[Aplicación]],9,4)</f>
        <v>2312</v>
      </c>
      <c r="V469" s="35" t="str">
        <f>VLOOKUP(Tabla1[[#This Row],[PROGRAMA]],Hoja1!A:B,2,FALSE)</f>
        <v>2312. Iniciativas sociales</v>
      </c>
      <c r="W469" s="35" t="str">
        <f>MID(Tabla1[[#This Row],[Aplicación]],14,2)</f>
        <v>21</v>
      </c>
      <c r="X469" s="35" t="str">
        <f>MID(Tabla1[[#This Row],[Aplicación]],14,6)</f>
        <v>213</v>
      </c>
    </row>
    <row r="470" spans="1:24" x14ac:dyDescent="0.25">
      <c r="A470" s="49">
        <v>220220000393</v>
      </c>
      <c r="B470" s="50" t="s">
        <v>9</v>
      </c>
      <c r="C470" s="57">
        <v>44586</v>
      </c>
      <c r="D470" s="49">
        <v>22022000009</v>
      </c>
      <c r="E470" s="50" t="s">
        <v>1496</v>
      </c>
      <c r="F470" s="58">
        <v>879.92</v>
      </c>
      <c r="G470" s="50" t="s">
        <v>34</v>
      </c>
      <c r="H470" s="50" t="s">
        <v>1915</v>
      </c>
      <c r="I470" s="49" t="s">
        <v>107</v>
      </c>
      <c r="J470" s="50" t="s">
        <v>109</v>
      </c>
      <c r="K470" s="50" t="s">
        <v>109</v>
      </c>
      <c r="L470" s="50" t="s">
        <v>12</v>
      </c>
      <c r="M470" s="50" t="s">
        <v>10</v>
      </c>
      <c r="N470" s="50" t="s">
        <v>11</v>
      </c>
      <c r="O470" s="48" t="s">
        <v>632</v>
      </c>
      <c r="P470" s="45" t="s">
        <v>453</v>
      </c>
      <c r="Q470" s="35" t="str">
        <f>MID(Tabla1[[#This Row],[Aplicación]],14,1)</f>
        <v>2</v>
      </c>
      <c r="R470" s="35" t="s">
        <v>441</v>
      </c>
      <c r="S470" s="35" t="str">
        <f>MID(Tabla1[[#This Row],[Aplicación]],6,2)</f>
        <v>10</v>
      </c>
      <c r="T470" s="35" t="str">
        <f>VLOOKUP(Tabla1[[#This Row],[AREA]],Hoja1!A:B,2,FALSE)</f>
        <v>10. Servicios sociales y mediación comunitaria</v>
      </c>
      <c r="U470" s="35" t="str">
        <f>MID(Tabla1[[#This Row],[Aplicación]],9,4)</f>
        <v>2311</v>
      </c>
      <c r="V470" s="35" t="str">
        <f>VLOOKUP(Tabla1[[#This Row],[PROGRAMA]],Hoja1!A:B,2,FALSE)</f>
        <v>2311. Intervención social</v>
      </c>
      <c r="W470" s="35" t="str">
        <f>MID(Tabla1[[#This Row],[Aplicación]],14,2)</f>
        <v>21</v>
      </c>
      <c r="X470" s="35" t="str">
        <f>MID(Tabla1[[#This Row],[Aplicación]],14,6)</f>
        <v>213</v>
      </c>
    </row>
    <row r="471" spans="1:24" x14ac:dyDescent="0.25">
      <c r="A471" s="49">
        <v>220220000392</v>
      </c>
      <c r="B471" s="50" t="s">
        <v>9</v>
      </c>
      <c r="C471" s="57">
        <v>44586</v>
      </c>
      <c r="D471" s="49">
        <v>22022000008</v>
      </c>
      <c r="E471" s="50" t="s">
        <v>1496</v>
      </c>
      <c r="F471" s="58">
        <v>439.96</v>
      </c>
      <c r="G471" s="50" t="s">
        <v>34</v>
      </c>
      <c r="H471" s="50" t="s">
        <v>1916</v>
      </c>
      <c r="I471" s="49" t="s">
        <v>107</v>
      </c>
      <c r="J471" s="50" t="s">
        <v>109</v>
      </c>
      <c r="K471" s="50" t="s">
        <v>109</v>
      </c>
      <c r="L471" s="50" t="s">
        <v>12</v>
      </c>
      <c r="M471" s="50" t="s">
        <v>10</v>
      </c>
      <c r="N471" s="50" t="s">
        <v>11</v>
      </c>
      <c r="O471" s="48" t="s">
        <v>632</v>
      </c>
      <c r="P471" s="45" t="s">
        <v>453</v>
      </c>
      <c r="Q471" s="35" t="str">
        <f>MID(Tabla1[[#This Row],[Aplicación]],14,1)</f>
        <v>2</v>
      </c>
      <c r="R471" s="35" t="s">
        <v>441</v>
      </c>
      <c r="S471" s="35" t="str">
        <f>MID(Tabla1[[#This Row],[Aplicación]],6,2)</f>
        <v>10</v>
      </c>
      <c r="T471" s="35" t="str">
        <f>VLOOKUP(Tabla1[[#This Row],[AREA]],Hoja1!A:B,2,FALSE)</f>
        <v>10. Servicios sociales y mediación comunitaria</v>
      </c>
      <c r="U471" s="35" t="str">
        <f>MID(Tabla1[[#This Row],[Aplicación]],9,4)</f>
        <v>2311</v>
      </c>
      <c r="V471" s="35" t="str">
        <f>VLOOKUP(Tabla1[[#This Row],[PROGRAMA]],Hoja1!A:B,2,FALSE)</f>
        <v>2311. Intervención social</v>
      </c>
      <c r="W471" s="35" t="str">
        <f>MID(Tabla1[[#This Row],[Aplicación]],14,2)</f>
        <v>21</v>
      </c>
      <c r="X471" s="35" t="str">
        <f>MID(Tabla1[[#This Row],[Aplicación]],14,6)</f>
        <v>213</v>
      </c>
    </row>
    <row r="472" spans="1:24" x14ac:dyDescent="0.25">
      <c r="A472" s="49">
        <v>220220000398</v>
      </c>
      <c r="B472" s="50" t="s">
        <v>9</v>
      </c>
      <c r="C472" s="57">
        <v>44586</v>
      </c>
      <c r="D472" s="49">
        <v>22022000016</v>
      </c>
      <c r="E472" s="50" t="s">
        <v>1502</v>
      </c>
      <c r="F472" s="58">
        <v>229.94</v>
      </c>
      <c r="G472" s="50" t="s">
        <v>34</v>
      </c>
      <c r="H472" s="50" t="s">
        <v>1917</v>
      </c>
      <c r="I472" s="49" t="s">
        <v>107</v>
      </c>
      <c r="J472" s="50" t="s">
        <v>109</v>
      </c>
      <c r="K472" s="50" t="s">
        <v>109</v>
      </c>
      <c r="L472" s="50" t="s">
        <v>12</v>
      </c>
      <c r="M472" s="50" t="s">
        <v>10</v>
      </c>
      <c r="N472" s="50" t="s">
        <v>11</v>
      </c>
      <c r="O472" s="48" t="s">
        <v>632</v>
      </c>
      <c r="P472" s="45" t="s">
        <v>453</v>
      </c>
      <c r="Q472" s="35" t="str">
        <f>MID(Tabla1[[#This Row],[Aplicación]],14,1)</f>
        <v>2</v>
      </c>
      <c r="R472" s="35" t="s">
        <v>441</v>
      </c>
      <c r="S472" s="35" t="str">
        <f>MID(Tabla1[[#This Row],[Aplicación]],6,2)</f>
        <v>10</v>
      </c>
      <c r="T472" s="35" t="str">
        <f>VLOOKUP(Tabla1[[#This Row],[AREA]],Hoja1!A:B,2,FALSE)</f>
        <v>10. Servicios sociales y mediación comunitaria</v>
      </c>
      <c r="U472" s="35" t="str">
        <f>MID(Tabla1[[#This Row],[Aplicación]],9,4)</f>
        <v>2412</v>
      </c>
      <c r="V472" s="35" t="str">
        <f>VLOOKUP(Tabla1[[#This Row],[PROGRAMA]],Hoja1!A:B,2,FALSE)</f>
        <v>2412. Formación para el empleo</v>
      </c>
      <c r="W472" s="35" t="str">
        <f>MID(Tabla1[[#This Row],[Aplicación]],14,2)</f>
        <v>21</v>
      </c>
      <c r="X472" s="35" t="str">
        <f>MID(Tabla1[[#This Row],[Aplicación]],14,6)</f>
        <v>213</v>
      </c>
    </row>
    <row r="473" spans="1:24" x14ac:dyDescent="0.25">
      <c r="A473" s="49">
        <v>220220000399</v>
      </c>
      <c r="B473" s="50" t="s">
        <v>9</v>
      </c>
      <c r="C473" s="57">
        <v>44586</v>
      </c>
      <c r="D473" s="49">
        <v>22022000017</v>
      </c>
      <c r="E473" s="50" t="s">
        <v>1502</v>
      </c>
      <c r="F473" s="58">
        <v>95.52</v>
      </c>
      <c r="G473" s="50" t="s">
        <v>34</v>
      </c>
      <c r="H473" s="50" t="s">
        <v>1918</v>
      </c>
      <c r="I473" s="49" t="s">
        <v>107</v>
      </c>
      <c r="J473" s="50" t="s">
        <v>109</v>
      </c>
      <c r="K473" s="50" t="s">
        <v>109</v>
      </c>
      <c r="L473" s="50" t="s">
        <v>12</v>
      </c>
      <c r="M473" s="50" t="s">
        <v>10</v>
      </c>
      <c r="N473" s="50" t="s">
        <v>11</v>
      </c>
      <c r="O473" s="48" t="s">
        <v>632</v>
      </c>
      <c r="P473" s="45" t="s">
        <v>453</v>
      </c>
      <c r="Q473" s="35" t="str">
        <f>MID(Tabla1[[#This Row],[Aplicación]],14,1)</f>
        <v>2</v>
      </c>
      <c r="R473" s="35" t="s">
        <v>441</v>
      </c>
      <c r="S473" s="35" t="str">
        <f>MID(Tabla1[[#This Row],[Aplicación]],6,2)</f>
        <v>10</v>
      </c>
      <c r="T473" s="35" t="str">
        <f>VLOOKUP(Tabla1[[#This Row],[AREA]],Hoja1!A:B,2,FALSE)</f>
        <v>10. Servicios sociales y mediación comunitaria</v>
      </c>
      <c r="U473" s="35" t="str">
        <f>MID(Tabla1[[#This Row],[Aplicación]],9,4)</f>
        <v>2412</v>
      </c>
      <c r="V473" s="35" t="str">
        <f>VLOOKUP(Tabla1[[#This Row],[PROGRAMA]],Hoja1!A:B,2,FALSE)</f>
        <v>2412. Formación para el empleo</v>
      </c>
      <c r="W473" s="35" t="str">
        <f>MID(Tabla1[[#This Row],[Aplicación]],14,2)</f>
        <v>21</v>
      </c>
      <c r="X473" s="35" t="str">
        <f>MID(Tabla1[[#This Row],[Aplicación]],14,6)</f>
        <v>213</v>
      </c>
    </row>
    <row r="474" spans="1:24" x14ac:dyDescent="0.25">
      <c r="A474" s="49">
        <v>220220000397</v>
      </c>
      <c r="B474" s="50" t="s">
        <v>9</v>
      </c>
      <c r="C474" s="57">
        <v>44586</v>
      </c>
      <c r="D474" s="49">
        <v>22022000014</v>
      </c>
      <c r="E474" s="50" t="s">
        <v>1502</v>
      </c>
      <c r="F474" s="58">
        <v>58.29</v>
      </c>
      <c r="G474" s="50" t="s">
        <v>34</v>
      </c>
      <c r="H474" s="50" t="s">
        <v>1919</v>
      </c>
      <c r="I474" s="49" t="s">
        <v>107</v>
      </c>
      <c r="J474" s="50" t="s">
        <v>109</v>
      </c>
      <c r="K474" s="50" t="s">
        <v>109</v>
      </c>
      <c r="L474" s="50" t="s">
        <v>12</v>
      </c>
      <c r="M474" s="50" t="s">
        <v>10</v>
      </c>
      <c r="N474" s="50" t="s">
        <v>11</v>
      </c>
      <c r="O474" s="48" t="s">
        <v>632</v>
      </c>
      <c r="P474" s="45" t="s">
        <v>453</v>
      </c>
      <c r="Q474" s="35" t="str">
        <f>MID(Tabla1[[#This Row],[Aplicación]],14,1)</f>
        <v>2</v>
      </c>
      <c r="R474" s="35" t="s">
        <v>441</v>
      </c>
      <c r="S474" s="35" t="str">
        <f>MID(Tabla1[[#This Row],[Aplicación]],6,2)</f>
        <v>10</v>
      </c>
      <c r="T474" s="35" t="str">
        <f>VLOOKUP(Tabla1[[#This Row],[AREA]],Hoja1!A:B,2,FALSE)</f>
        <v>10. Servicios sociales y mediación comunitaria</v>
      </c>
      <c r="U474" s="35" t="str">
        <f>MID(Tabla1[[#This Row],[Aplicación]],9,4)</f>
        <v>2412</v>
      </c>
      <c r="V474" s="35" t="str">
        <f>VLOOKUP(Tabla1[[#This Row],[PROGRAMA]],Hoja1!A:B,2,FALSE)</f>
        <v>2412. Formación para el empleo</v>
      </c>
      <c r="W474" s="35" t="str">
        <f>MID(Tabla1[[#This Row],[Aplicación]],14,2)</f>
        <v>21</v>
      </c>
      <c r="X474" s="35" t="str">
        <f>MID(Tabla1[[#This Row],[Aplicación]],14,6)</f>
        <v>213</v>
      </c>
    </row>
    <row r="475" spans="1:24" x14ac:dyDescent="0.25">
      <c r="A475" s="49">
        <v>220220000400</v>
      </c>
      <c r="B475" s="50" t="s">
        <v>9</v>
      </c>
      <c r="C475" s="57">
        <v>44586</v>
      </c>
      <c r="D475" s="49">
        <v>22022000019</v>
      </c>
      <c r="E475" s="50" t="s">
        <v>1502</v>
      </c>
      <c r="F475" s="58">
        <v>56.21</v>
      </c>
      <c r="G475" s="50" t="s">
        <v>34</v>
      </c>
      <c r="H475" s="50" t="s">
        <v>1920</v>
      </c>
      <c r="I475" s="49" t="s">
        <v>107</v>
      </c>
      <c r="J475" s="50" t="s">
        <v>109</v>
      </c>
      <c r="K475" s="50" t="s">
        <v>109</v>
      </c>
      <c r="L475" s="50" t="s">
        <v>12</v>
      </c>
      <c r="M475" s="50" t="s">
        <v>10</v>
      </c>
      <c r="N475" s="50" t="s">
        <v>11</v>
      </c>
      <c r="O475" s="48" t="s">
        <v>632</v>
      </c>
      <c r="P475" s="45" t="s">
        <v>453</v>
      </c>
      <c r="Q475" s="35" t="str">
        <f>MID(Tabla1[[#This Row],[Aplicación]],14,1)</f>
        <v>2</v>
      </c>
      <c r="R475" s="35" t="s">
        <v>441</v>
      </c>
      <c r="S475" s="35" t="str">
        <f>MID(Tabla1[[#This Row],[Aplicación]],6,2)</f>
        <v>10</v>
      </c>
      <c r="T475" s="35" t="str">
        <f>VLOOKUP(Tabla1[[#This Row],[AREA]],Hoja1!A:B,2,FALSE)</f>
        <v>10. Servicios sociales y mediación comunitaria</v>
      </c>
      <c r="U475" s="35" t="str">
        <f>MID(Tabla1[[#This Row],[Aplicación]],9,4)</f>
        <v>2412</v>
      </c>
      <c r="V475" s="35" t="str">
        <f>VLOOKUP(Tabla1[[#This Row],[PROGRAMA]],Hoja1!A:B,2,FALSE)</f>
        <v>2412. Formación para el empleo</v>
      </c>
      <c r="W475" s="35" t="str">
        <f>MID(Tabla1[[#This Row],[Aplicación]],14,2)</f>
        <v>21</v>
      </c>
      <c r="X475" s="35" t="str">
        <f>MID(Tabla1[[#This Row],[Aplicación]],14,6)</f>
        <v>213</v>
      </c>
    </row>
    <row r="476" spans="1:24" x14ac:dyDescent="0.25">
      <c r="A476" s="49">
        <v>220219000093</v>
      </c>
      <c r="B476" s="50" t="s">
        <v>9</v>
      </c>
      <c r="C476" s="57">
        <v>44562</v>
      </c>
      <c r="D476" s="49">
        <v>22022002225</v>
      </c>
      <c r="E476" s="50" t="s">
        <v>1921</v>
      </c>
      <c r="F476" s="58">
        <v>5082</v>
      </c>
      <c r="G476" s="50" t="s">
        <v>669</v>
      </c>
      <c r="H476" s="50" t="s">
        <v>670</v>
      </c>
      <c r="I476" s="49" t="s">
        <v>107</v>
      </c>
      <c r="J476" s="50" t="s">
        <v>109</v>
      </c>
      <c r="K476" s="50" t="s">
        <v>109</v>
      </c>
      <c r="L476" s="50" t="s">
        <v>12</v>
      </c>
      <c r="M476" s="50" t="s">
        <v>13</v>
      </c>
      <c r="N476" s="50" t="s">
        <v>14</v>
      </c>
      <c r="O476" s="48" t="s">
        <v>620</v>
      </c>
      <c r="P476" s="45" t="s">
        <v>453</v>
      </c>
      <c r="Q476" s="35" t="str">
        <f>MID(Tabla1[[#This Row],[Aplicación]],14,1)</f>
        <v>2</v>
      </c>
      <c r="R476" s="35" t="s">
        <v>441</v>
      </c>
      <c r="S476" s="35" t="str">
        <f>MID(Tabla1[[#This Row],[Aplicación]],6,2)</f>
        <v>04</v>
      </c>
      <c r="T476" s="35" t="str">
        <f>VLOOKUP(Tabla1[[#This Row],[AREA]],Hoja1!A:B,2,FALSE)</f>
        <v>04. Planificación y recursos</v>
      </c>
      <c r="U476" s="35" t="str">
        <f>MID(Tabla1[[#This Row],[Aplicación]],9,4)</f>
        <v>9311</v>
      </c>
      <c r="V476" s="35" t="str">
        <f>VLOOKUP(Tabla1[[#This Row],[PROGRAMA]],Hoja1!A:B,2,FALSE)</f>
        <v>9311. Planificación económico financiera</v>
      </c>
      <c r="W476" s="35" t="str">
        <f>MID(Tabla1[[#This Row],[Aplicación]],14,2)</f>
        <v>22</v>
      </c>
      <c r="X476" s="35" t="str">
        <f>MID(Tabla1[[#This Row],[Aplicación]],14,6)</f>
        <v>22799</v>
      </c>
    </row>
    <row r="477" spans="1:24" x14ac:dyDescent="0.25">
      <c r="A477" s="49">
        <v>220210069212</v>
      </c>
      <c r="B477" s="50" t="s">
        <v>9</v>
      </c>
      <c r="C477" s="57">
        <v>44631</v>
      </c>
      <c r="D477" s="49">
        <v>22021004435</v>
      </c>
      <c r="E477" s="50" t="s">
        <v>1782</v>
      </c>
      <c r="F477" s="58">
        <v>169158</v>
      </c>
      <c r="G477" s="50" t="s">
        <v>200</v>
      </c>
      <c r="H477" s="50" t="s">
        <v>1266</v>
      </c>
      <c r="I477" s="49" t="s">
        <v>107</v>
      </c>
      <c r="J477" s="50" t="s">
        <v>109</v>
      </c>
      <c r="K477" s="50" t="s">
        <v>109</v>
      </c>
      <c r="L477" s="50" t="s">
        <v>15</v>
      </c>
      <c r="M477" s="50" t="s">
        <v>13</v>
      </c>
      <c r="N477" s="50" t="s">
        <v>14</v>
      </c>
      <c r="O477" s="48" t="s">
        <v>631</v>
      </c>
      <c r="P477" s="45" t="s">
        <v>453</v>
      </c>
      <c r="Q477" s="35" t="str">
        <f>MID(Tabla1[[#This Row],[Aplicación]],14,1)</f>
        <v>6</v>
      </c>
      <c r="R477" s="35" t="s">
        <v>442</v>
      </c>
      <c r="S477" s="35" t="str">
        <f>MID(Tabla1[[#This Row],[Aplicación]],6,2)</f>
        <v>11</v>
      </c>
      <c r="T477" s="35" t="str">
        <f>VLOOKUP(Tabla1[[#This Row],[AREA]],Hoja1!A:B,2,FALSE)</f>
        <v>11. Salud pública y seguridad ciudadana</v>
      </c>
      <c r="U477" s="35" t="str">
        <f>MID(Tabla1[[#This Row],[Aplicación]],9,4)</f>
        <v>1321</v>
      </c>
      <c r="V477" s="35" t="str">
        <f>VLOOKUP(Tabla1[[#This Row],[PROGRAMA]],Hoja1!A:B,2,FALSE)</f>
        <v>1321. Policía municipal</v>
      </c>
      <c r="W477" s="35" t="str">
        <f>MID(Tabla1[[#This Row],[Aplicación]],14,2)</f>
        <v>62</v>
      </c>
      <c r="X477" s="35" t="str">
        <f>MID(Tabla1[[#This Row],[Aplicación]],14,6)</f>
        <v>624</v>
      </c>
    </row>
    <row r="478" spans="1:24" x14ac:dyDescent="0.25">
      <c r="A478" s="49">
        <v>220220001740</v>
      </c>
      <c r="B478" s="50" t="s">
        <v>172</v>
      </c>
      <c r="C478" s="57">
        <v>44588</v>
      </c>
      <c r="D478" s="49">
        <v>22022001637</v>
      </c>
      <c r="E478" s="50" t="s">
        <v>1922</v>
      </c>
      <c r="F478" s="58">
        <v>44.77</v>
      </c>
      <c r="G478" s="50" t="s">
        <v>200</v>
      </c>
      <c r="H478" s="50" t="s">
        <v>1923</v>
      </c>
      <c r="I478" s="49" t="s">
        <v>173</v>
      </c>
      <c r="J478" s="50" t="s">
        <v>109</v>
      </c>
      <c r="K478" s="50" t="s">
        <v>109</v>
      </c>
      <c r="L478" s="50" t="s">
        <v>12</v>
      </c>
      <c r="M478" s="50" t="s">
        <v>13</v>
      </c>
      <c r="N478" s="50" t="s">
        <v>14</v>
      </c>
      <c r="O478" s="48" t="s">
        <v>631</v>
      </c>
      <c r="P478" s="45" t="s">
        <v>453</v>
      </c>
      <c r="Q478" s="35" t="str">
        <f>MID(Tabla1[[#This Row],[Aplicación]],14,1)</f>
        <v>2</v>
      </c>
      <c r="R478" s="35" t="s">
        <v>441</v>
      </c>
      <c r="S478" s="35" t="str">
        <f>MID(Tabla1[[#This Row],[Aplicación]],6,2)</f>
        <v>07</v>
      </c>
      <c r="T478" s="35" t="str">
        <f>VLOOKUP(Tabla1[[#This Row],[AREA]],Hoja1!A:B,2,FALSE)</f>
        <v>07. Medio ambiente y desarrollo sostenible</v>
      </c>
      <c r="U478" s="35" t="str">
        <f>MID(Tabla1[[#This Row],[Aplicación]],9,4)</f>
        <v>1711</v>
      </c>
      <c r="V478" s="35" t="str">
        <f>VLOOKUP(Tabla1[[#This Row],[PROGRAMA]],Hoja1!A:B,2,FALSE)</f>
        <v>1711. Parques y jardines</v>
      </c>
      <c r="W478" s="35" t="str">
        <f>MID(Tabla1[[#This Row],[Aplicación]],14,2)</f>
        <v>21</v>
      </c>
      <c r="X478" s="35" t="str">
        <f>MID(Tabla1[[#This Row],[Aplicación]],14,6)</f>
        <v>214</v>
      </c>
    </row>
    <row r="479" spans="1:24" x14ac:dyDescent="0.25">
      <c r="A479" s="49">
        <v>220220004154</v>
      </c>
      <c r="B479" s="50" t="s">
        <v>172</v>
      </c>
      <c r="C479" s="57">
        <v>44610</v>
      </c>
      <c r="D479" s="49">
        <v>22022001453</v>
      </c>
      <c r="E479" s="50" t="s">
        <v>1608</v>
      </c>
      <c r="F479" s="58">
        <v>105.47</v>
      </c>
      <c r="G479" s="50" t="s">
        <v>200</v>
      </c>
      <c r="H479" s="50" t="s">
        <v>1924</v>
      </c>
      <c r="I479" s="49" t="s">
        <v>173</v>
      </c>
      <c r="J479" s="50" t="s">
        <v>109</v>
      </c>
      <c r="K479" s="50" t="s">
        <v>109</v>
      </c>
      <c r="L479" s="50" t="s">
        <v>12</v>
      </c>
      <c r="M479" s="50" t="s">
        <v>13</v>
      </c>
      <c r="N479" s="50" t="s">
        <v>14</v>
      </c>
      <c r="O479" s="48" t="s">
        <v>631</v>
      </c>
      <c r="P479" s="45" t="s">
        <v>453</v>
      </c>
      <c r="Q479" s="35" t="str">
        <f>MID(Tabla1[[#This Row],[Aplicación]],14,1)</f>
        <v>2</v>
      </c>
      <c r="R479" s="35" t="s">
        <v>441</v>
      </c>
      <c r="S479" s="35" t="str">
        <f>MID(Tabla1[[#This Row],[Aplicación]],6,2)</f>
        <v>11</v>
      </c>
      <c r="T479" s="35" t="str">
        <f>VLOOKUP(Tabla1[[#This Row],[AREA]],Hoja1!A:B,2,FALSE)</f>
        <v>11. Salud pública y seguridad ciudadana</v>
      </c>
      <c r="U479" s="35" t="str">
        <f>MID(Tabla1[[#This Row],[Aplicación]],9,4)</f>
        <v>1321</v>
      </c>
      <c r="V479" s="35" t="str">
        <f>VLOOKUP(Tabla1[[#This Row],[PROGRAMA]],Hoja1!A:B,2,FALSE)</f>
        <v>1321. Policía municipal</v>
      </c>
      <c r="W479" s="35" t="str">
        <f>MID(Tabla1[[#This Row],[Aplicación]],14,2)</f>
        <v>21</v>
      </c>
      <c r="X479" s="35" t="str">
        <f>MID(Tabla1[[#This Row],[Aplicación]],14,6)</f>
        <v>214</v>
      </c>
    </row>
    <row r="480" spans="1:24" x14ac:dyDescent="0.25">
      <c r="A480" s="49">
        <v>220220004186</v>
      </c>
      <c r="B480" s="50" t="s">
        <v>172</v>
      </c>
      <c r="C480" s="57">
        <v>44610</v>
      </c>
      <c r="D480" s="49">
        <v>22022000901</v>
      </c>
      <c r="E480" s="50" t="s">
        <v>1644</v>
      </c>
      <c r="F480" s="58">
        <v>1482.25</v>
      </c>
      <c r="G480" s="50" t="s">
        <v>200</v>
      </c>
      <c r="H480" s="50" t="s">
        <v>1925</v>
      </c>
      <c r="I480" s="49" t="s">
        <v>173</v>
      </c>
      <c r="J480" s="50" t="s">
        <v>109</v>
      </c>
      <c r="K480" s="50" t="s">
        <v>109</v>
      </c>
      <c r="L480" s="50" t="s">
        <v>12</v>
      </c>
      <c r="M480" s="50" t="s">
        <v>13</v>
      </c>
      <c r="N480" s="50" t="s">
        <v>14</v>
      </c>
      <c r="O480" s="48" t="s">
        <v>631</v>
      </c>
      <c r="P480" s="45" t="s">
        <v>453</v>
      </c>
      <c r="Q480" s="35" t="str">
        <f>MID(Tabla1[[#This Row],[Aplicación]],14,1)</f>
        <v>2</v>
      </c>
      <c r="R480" s="35" t="s">
        <v>441</v>
      </c>
      <c r="S480" s="35" t="str">
        <f>MID(Tabla1[[#This Row],[Aplicación]],6,2)</f>
        <v>11</v>
      </c>
      <c r="T480" s="35" t="str">
        <f>VLOOKUP(Tabla1[[#This Row],[AREA]],Hoja1!A:B,2,FALSE)</f>
        <v>11. Salud pública y seguridad ciudadana</v>
      </c>
      <c r="U480" s="35" t="str">
        <f>MID(Tabla1[[#This Row],[Aplicación]],9,4)</f>
        <v>1621</v>
      </c>
      <c r="V480" s="35" t="str">
        <f>VLOOKUP(Tabla1[[#This Row],[PROGRAMA]],Hoja1!A:B,2,FALSE)</f>
        <v>1621. Servicio de limpieza</v>
      </c>
      <c r="W480" s="35" t="str">
        <f>MID(Tabla1[[#This Row],[Aplicación]],14,2)</f>
        <v>21</v>
      </c>
      <c r="X480" s="35" t="str">
        <f>MID(Tabla1[[#This Row],[Aplicación]],14,6)</f>
        <v>214</v>
      </c>
    </row>
    <row r="481" spans="1:24" x14ac:dyDescent="0.25">
      <c r="A481" s="49">
        <v>220220005605</v>
      </c>
      <c r="B481" s="50" t="s">
        <v>172</v>
      </c>
      <c r="C481" s="57">
        <v>44614</v>
      </c>
      <c r="D481" s="49">
        <v>22022001637</v>
      </c>
      <c r="E481" s="50" t="s">
        <v>1922</v>
      </c>
      <c r="F481" s="58">
        <v>54.45</v>
      </c>
      <c r="G481" s="50" t="s">
        <v>200</v>
      </c>
      <c r="H481" s="50" t="s">
        <v>1926</v>
      </c>
      <c r="I481" s="49" t="s">
        <v>173</v>
      </c>
      <c r="J481" s="50" t="s">
        <v>109</v>
      </c>
      <c r="K481" s="50" t="s">
        <v>109</v>
      </c>
      <c r="L481" s="50" t="s">
        <v>12</v>
      </c>
      <c r="M481" s="50" t="s">
        <v>13</v>
      </c>
      <c r="N481" s="50" t="s">
        <v>14</v>
      </c>
      <c r="O481" s="48" t="s">
        <v>631</v>
      </c>
      <c r="P481" s="45" t="s">
        <v>453</v>
      </c>
      <c r="Q481" s="35" t="str">
        <f>MID(Tabla1[[#This Row],[Aplicación]],14,1)</f>
        <v>2</v>
      </c>
      <c r="R481" s="35" t="s">
        <v>441</v>
      </c>
      <c r="S481" s="35" t="str">
        <f>MID(Tabla1[[#This Row],[Aplicación]],6,2)</f>
        <v>07</v>
      </c>
      <c r="T481" s="35" t="str">
        <f>VLOOKUP(Tabla1[[#This Row],[AREA]],Hoja1!A:B,2,FALSE)</f>
        <v>07. Medio ambiente y desarrollo sostenible</v>
      </c>
      <c r="U481" s="35" t="str">
        <f>MID(Tabla1[[#This Row],[Aplicación]],9,4)</f>
        <v>1711</v>
      </c>
      <c r="V481" s="35" t="str">
        <f>VLOOKUP(Tabla1[[#This Row],[PROGRAMA]],Hoja1!A:B,2,FALSE)</f>
        <v>1711. Parques y jardines</v>
      </c>
      <c r="W481" s="35" t="str">
        <f>MID(Tabla1[[#This Row],[Aplicación]],14,2)</f>
        <v>21</v>
      </c>
      <c r="X481" s="35" t="str">
        <f>MID(Tabla1[[#This Row],[Aplicación]],14,6)</f>
        <v>214</v>
      </c>
    </row>
    <row r="482" spans="1:24" x14ac:dyDescent="0.25">
      <c r="A482" s="49">
        <v>220220005628</v>
      </c>
      <c r="B482" s="50" t="s">
        <v>172</v>
      </c>
      <c r="C482" s="57">
        <v>44614</v>
      </c>
      <c r="D482" s="49">
        <v>22022001555</v>
      </c>
      <c r="E482" s="50" t="s">
        <v>1927</v>
      </c>
      <c r="F482" s="58">
        <v>256.7</v>
      </c>
      <c r="G482" s="50" t="s">
        <v>200</v>
      </c>
      <c r="H482" s="50" t="s">
        <v>1928</v>
      </c>
      <c r="I482" s="49" t="s">
        <v>173</v>
      </c>
      <c r="J482" s="50" t="s">
        <v>109</v>
      </c>
      <c r="K482" s="50" t="s">
        <v>109</v>
      </c>
      <c r="L482" s="50" t="s">
        <v>12</v>
      </c>
      <c r="M482" s="50" t="s">
        <v>13</v>
      </c>
      <c r="N482" s="50" t="s">
        <v>14</v>
      </c>
      <c r="O482" s="48" t="s">
        <v>631</v>
      </c>
      <c r="P482" s="45" t="s">
        <v>453</v>
      </c>
      <c r="Q482" s="35" t="str">
        <f>MID(Tabla1[[#This Row],[Aplicación]],14,1)</f>
        <v>2</v>
      </c>
      <c r="R482" s="35" t="s">
        <v>441</v>
      </c>
      <c r="S482" s="35" t="str">
        <f>MID(Tabla1[[#This Row],[Aplicación]],6,2)</f>
        <v>08</v>
      </c>
      <c r="T482" s="35" t="str">
        <f>VLOOKUP(Tabla1[[#This Row],[AREA]],Hoja1!A:B,2,FALSE)</f>
        <v>08. Movilidad y espacio urbano</v>
      </c>
      <c r="U482" s="35" t="str">
        <f>MID(Tabla1[[#This Row],[Aplicación]],9,4)</f>
        <v>1532</v>
      </c>
      <c r="V482" s="35" t="str">
        <f>VLOOKUP(Tabla1[[#This Row],[PROGRAMA]],Hoja1!A:B,2,FALSE)</f>
        <v>1532. Pavimentación vias públicas y otros servicios urbanísticos</v>
      </c>
      <c r="W482" s="35" t="str">
        <f>MID(Tabla1[[#This Row],[Aplicación]],14,2)</f>
        <v>21</v>
      </c>
      <c r="X482" s="35" t="str">
        <f>MID(Tabla1[[#This Row],[Aplicación]],14,6)</f>
        <v>214</v>
      </c>
    </row>
    <row r="483" spans="1:24" x14ac:dyDescent="0.25">
      <c r="A483" s="49">
        <v>220220005630</v>
      </c>
      <c r="B483" s="50" t="s">
        <v>172</v>
      </c>
      <c r="C483" s="57">
        <v>44614</v>
      </c>
      <c r="D483" s="49">
        <v>22022001555</v>
      </c>
      <c r="E483" s="50" t="s">
        <v>1927</v>
      </c>
      <c r="F483" s="58">
        <v>271.51</v>
      </c>
      <c r="G483" s="50" t="s">
        <v>200</v>
      </c>
      <c r="H483" s="50" t="s">
        <v>1929</v>
      </c>
      <c r="I483" s="49" t="s">
        <v>173</v>
      </c>
      <c r="J483" s="50" t="s">
        <v>109</v>
      </c>
      <c r="K483" s="50" t="s">
        <v>109</v>
      </c>
      <c r="L483" s="50" t="s">
        <v>12</v>
      </c>
      <c r="M483" s="50" t="s">
        <v>13</v>
      </c>
      <c r="N483" s="50" t="s">
        <v>14</v>
      </c>
      <c r="O483" s="48" t="s">
        <v>631</v>
      </c>
      <c r="P483" s="45" t="s">
        <v>453</v>
      </c>
      <c r="Q483" s="35" t="str">
        <f>MID(Tabla1[[#This Row],[Aplicación]],14,1)</f>
        <v>2</v>
      </c>
      <c r="R483" s="35" t="s">
        <v>441</v>
      </c>
      <c r="S483" s="35" t="str">
        <f>MID(Tabla1[[#This Row],[Aplicación]],6,2)</f>
        <v>08</v>
      </c>
      <c r="T483" s="35" t="str">
        <f>VLOOKUP(Tabla1[[#This Row],[AREA]],Hoja1!A:B,2,FALSE)</f>
        <v>08. Movilidad y espacio urbano</v>
      </c>
      <c r="U483" s="35" t="str">
        <f>MID(Tabla1[[#This Row],[Aplicación]],9,4)</f>
        <v>1532</v>
      </c>
      <c r="V483" s="35" t="str">
        <f>VLOOKUP(Tabla1[[#This Row],[PROGRAMA]],Hoja1!A:B,2,FALSE)</f>
        <v>1532. Pavimentación vias públicas y otros servicios urbanísticos</v>
      </c>
      <c r="W483" s="35" t="str">
        <f>MID(Tabla1[[#This Row],[Aplicación]],14,2)</f>
        <v>21</v>
      </c>
      <c r="X483" s="35" t="str">
        <f>MID(Tabla1[[#This Row],[Aplicación]],14,6)</f>
        <v>214</v>
      </c>
    </row>
    <row r="484" spans="1:24" x14ac:dyDescent="0.25">
      <c r="A484" s="49">
        <v>220220005632</v>
      </c>
      <c r="B484" s="50" t="s">
        <v>172</v>
      </c>
      <c r="C484" s="57">
        <v>44614</v>
      </c>
      <c r="D484" s="49">
        <v>22022001555</v>
      </c>
      <c r="E484" s="50" t="s">
        <v>1927</v>
      </c>
      <c r="F484" s="58">
        <v>1241.32</v>
      </c>
      <c r="G484" s="50" t="s">
        <v>200</v>
      </c>
      <c r="H484" s="50" t="s">
        <v>1930</v>
      </c>
      <c r="I484" s="49" t="s">
        <v>173</v>
      </c>
      <c r="J484" s="50" t="s">
        <v>109</v>
      </c>
      <c r="K484" s="50" t="s">
        <v>109</v>
      </c>
      <c r="L484" s="50" t="s">
        <v>12</v>
      </c>
      <c r="M484" s="50" t="s">
        <v>13</v>
      </c>
      <c r="N484" s="50" t="s">
        <v>14</v>
      </c>
      <c r="O484" s="48" t="s">
        <v>631</v>
      </c>
      <c r="P484" s="45" t="s">
        <v>453</v>
      </c>
      <c r="Q484" s="35" t="str">
        <f>MID(Tabla1[[#This Row],[Aplicación]],14,1)</f>
        <v>2</v>
      </c>
      <c r="R484" s="35" t="s">
        <v>441</v>
      </c>
      <c r="S484" s="35" t="str">
        <f>MID(Tabla1[[#This Row],[Aplicación]],6,2)</f>
        <v>08</v>
      </c>
      <c r="T484" s="35" t="str">
        <f>VLOOKUP(Tabla1[[#This Row],[AREA]],Hoja1!A:B,2,FALSE)</f>
        <v>08. Movilidad y espacio urbano</v>
      </c>
      <c r="U484" s="35" t="str">
        <f>MID(Tabla1[[#This Row],[Aplicación]],9,4)</f>
        <v>1532</v>
      </c>
      <c r="V484" s="35" t="str">
        <f>VLOOKUP(Tabla1[[#This Row],[PROGRAMA]],Hoja1!A:B,2,FALSE)</f>
        <v>1532. Pavimentación vias públicas y otros servicios urbanísticos</v>
      </c>
      <c r="W484" s="35" t="str">
        <f>MID(Tabla1[[#This Row],[Aplicación]],14,2)</f>
        <v>21</v>
      </c>
      <c r="X484" s="35" t="str">
        <f>MID(Tabla1[[#This Row],[Aplicación]],14,6)</f>
        <v>214</v>
      </c>
    </row>
    <row r="485" spans="1:24" x14ac:dyDescent="0.25">
      <c r="A485" s="49">
        <v>220220008424</v>
      </c>
      <c r="B485" s="50" t="s">
        <v>172</v>
      </c>
      <c r="C485" s="57">
        <v>44631</v>
      </c>
      <c r="D485" s="49">
        <v>22022001637</v>
      </c>
      <c r="E485" s="50" t="s">
        <v>1922</v>
      </c>
      <c r="F485" s="58">
        <v>150.78</v>
      </c>
      <c r="G485" s="50" t="s">
        <v>200</v>
      </c>
      <c r="H485" s="50" t="s">
        <v>1084</v>
      </c>
      <c r="I485" s="49" t="s">
        <v>173</v>
      </c>
      <c r="J485" s="50" t="s">
        <v>109</v>
      </c>
      <c r="K485" s="50" t="s">
        <v>109</v>
      </c>
      <c r="L485" s="50" t="s">
        <v>12</v>
      </c>
      <c r="M485" s="50" t="s">
        <v>13</v>
      </c>
      <c r="N485" s="50" t="s">
        <v>14</v>
      </c>
      <c r="O485" s="48" t="s">
        <v>631</v>
      </c>
      <c r="P485" s="45" t="s">
        <v>453</v>
      </c>
      <c r="Q485" s="35" t="str">
        <f>MID(Tabla1[[#This Row],[Aplicación]],14,1)</f>
        <v>2</v>
      </c>
      <c r="R485" s="35" t="s">
        <v>441</v>
      </c>
      <c r="S485" s="35" t="str">
        <f>MID(Tabla1[[#This Row],[Aplicación]],6,2)</f>
        <v>07</v>
      </c>
      <c r="T485" s="35" t="str">
        <f>VLOOKUP(Tabla1[[#This Row],[AREA]],Hoja1!A:B,2,FALSE)</f>
        <v>07. Medio ambiente y desarrollo sostenible</v>
      </c>
      <c r="U485" s="35" t="str">
        <f>MID(Tabla1[[#This Row],[Aplicación]],9,4)</f>
        <v>1711</v>
      </c>
      <c r="V485" s="35" t="str">
        <f>VLOOKUP(Tabla1[[#This Row],[PROGRAMA]],Hoja1!A:B,2,FALSE)</f>
        <v>1711. Parques y jardines</v>
      </c>
      <c r="W485" s="35" t="str">
        <f>MID(Tabla1[[#This Row],[Aplicación]],14,2)</f>
        <v>21</v>
      </c>
      <c r="X485" s="35" t="str">
        <f>MID(Tabla1[[#This Row],[Aplicación]],14,6)</f>
        <v>214</v>
      </c>
    </row>
    <row r="486" spans="1:24" x14ac:dyDescent="0.25">
      <c r="A486" s="49">
        <v>220220008474</v>
      </c>
      <c r="B486" s="50" t="s">
        <v>172</v>
      </c>
      <c r="C486" s="57">
        <v>44631</v>
      </c>
      <c r="D486" s="49">
        <v>22022001555</v>
      </c>
      <c r="E486" s="50" t="s">
        <v>1927</v>
      </c>
      <c r="F486" s="58">
        <v>333.9</v>
      </c>
      <c r="G486" s="50" t="s">
        <v>200</v>
      </c>
      <c r="H486" s="50" t="s">
        <v>1931</v>
      </c>
      <c r="I486" s="49" t="s">
        <v>173</v>
      </c>
      <c r="J486" s="50" t="s">
        <v>109</v>
      </c>
      <c r="K486" s="50" t="s">
        <v>109</v>
      </c>
      <c r="L486" s="50" t="s">
        <v>12</v>
      </c>
      <c r="M486" s="50" t="s">
        <v>13</v>
      </c>
      <c r="N486" s="50" t="s">
        <v>14</v>
      </c>
      <c r="O486" s="48" t="s">
        <v>631</v>
      </c>
      <c r="P486" s="45" t="s">
        <v>453</v>
      </c>
      <c r="Q486" s="35" t="str">
        <f>MID(Tabla1[[#This Row],[Aplicación]],14,1)</f>
        <v>2</v>
      </c>
      <c r="R486" s="35" t="s">
        <v>441</v>
      </c>
      <c r="S486" s="35" t="str">
        <f>MID(Tabla1[[#This Row],[Aplicación]],6,2)</f>
        <v>08</v>
      </c>
      <c r="T486" s="35" t="str">
        <f>VLOOKUP(Tabla1[[#This Row],[AREA]],Hoja1!A:B,2,FALSE)</f>
        <v>08. Movilidad y espacio urbano</v>
      </c>
      <c r="U486" s="35" t="str">
        <f>MID(Tabla1[[#This Row],[Aplicación]],9,4)</f>
        <v>1532</v>
      </c>
      <c r="V486" s="35" t="str">
        <f>VLOOKUP(Tabla1[[#This Row],[PROGRAMA]],Hoja1!A:B,2,FALSE)</f>
        <v>1532. Pavimentación vias públicas y otros servicios urbanísticos</v>
      </c>
      <c r="W486" s="35" t="str">
        <f>MID(Tabla1[[#This Row],[Aplicación]],14,2)</f>
        <v>21</v>
      </c>
      <c r="X486" s="35" t="str">
        <f>MID(Tabla1[[#This Row],[Aplicación]],14,6)</f>
        <v>214</v>
      </c>
    </row>
    <row r="487" spans="1:24" x14ac:dyDescent="0.25">
      <c r="A487" s="49">
        <v>220220008476</v>
      </c>
      <c r="B487" s="50" t="s">
        <v>172</v>
      </c>
      <c r="C487" s="57">
        <v>44631</v>
      </c>
      <c r="D487" s="49">
        <v>22022001555</v>
      </c>
      <c r="E487" s="50" t="s">
        <v>1927</v>
      </c>
      <c r="F487" s="58">
        <v>300.75</v>
      </c>
      <c r="G487" s="50" t="s">
        <v>200</v>
      </c>
      <c r="H487" s="50" t="s">
        <v>1932</v>
      </c>
      <c r="I487" s="49" t="s">
        <v>173</v>
      </c>
      <c r="J487" s="50" t="s">
        <v>109</v>
      </c>
      <c r="K487" s="50" t="s">
        <v>109</v>
      </c>
      <c r="L487" s="50" t="s">
        <v>12</v>
      </c>
      <c r="M487" s="50" t="s">
        <v>13</v>
      </c>
      <c r="N487" s="50" t="s">
        <v>14</v>
      </c>
      <c r="O487" s="48" t="s">
        <v>631</v>
      </c>
      <c r="P487" s="45" t="s">
        <v>453</v>
      </c>
      <c r="Q487" s="35" t="str">
        <f>MID(Tabla1[[#This Row],[Aplicación]],14,1)</f>
        <v>2</v>
      </c>
      <c r="R487" s="35" t="s">
        <v>441</v>
      </c>
      <c r="S487" s="35" t="str">
        <f>MID(Tabla1[[#This Row],[Aplicación]],6,2)</f>
        <v>08</v>
      </c>
      <c r="T487" s="35" t="str">
        <f>VLOOKUP(Tabla1[[#This Row],[AREA]],Hoja1!A:B,2,FALSE)</f>
        <v>08. Movilidad y espacio urbano</v>
      </c>
      <c r="U487" s="35" t="str">
        <f>MID(Tabla1[[#This Row],[Aplicación]],9,4)</f>
        <v>1532</v>
      </c>
      <c r="V487" s="35" t="str">
        <f>VLOOKUP(Tabla1[[#This Row],[PROGRAMA]],Hoja1!A:B,2,FALSE)</f>
        <v>1532. Pavimentación vias públicas y otros servicios urbanísticos</v>
      </c>
      <c r="W487" s="35" t="str">
        <f>MID(Tabla1[[#This Row],[Aplicación]],14,2)</f>
        <v>21</v>
      </c>
      <c r="X487" s="35" t="str">
        <f>MID(Tabla1[[#This Row],[Aplicación]],14,6)</f>
        <v>214</v>
      </c>
    </row>
    <row r="488" spans="1:24" x14ac:dyDescent="0.25">
      <c r="A488" s="49">
        <v>220220008615</v>
      </c>
      <c r="B488" s="50" t="s">
        <v>172</v>
      </c>
      <c r="C488" s="57">
        <v>44631</v>
      </c>
      <c r="D488" s="49">
        <v>22022001555</v>
      </c>
      <c r="E488" s="50" t="s">
        <v>1927</v>
      </c>
      <c r="F488" s="58">
        <v>393.29</v>
      </c>
      <c r="G488" s="50" t="s">
        <v>200</v>
      </c>
      <c r="H488" s="50" t="s">
        <v>1933</v>
      </c>
      <c r="I488" s="49" t="s">
        <v>173</v>
      </c>
      <c r="J488" s="50" t="s">
        <v>109</v>
      </c>
      <c r="K488" s="50" t="s">
        <v>109</v>
      </c>
      <c r="L488" s="50" t="s">
        <v>12</v>
      </c>
      <c r="M488" s="50" t="s">
        <v>13</v>
      </c>
      <c r="N488" s="50" t="s">
        <v>14</v>
      </c>
      <c r="O488" s="48" t="s">
        <v>631</v>
      </c>
      <c r="P488" s="45" t="s">
        <v>453</v>
      </c>
      <c r="Q488" s="35" t="str">
        <f>MID(Tabla1[[#This Row],[Aplicación]],14,1)</f>
        <v>2</v>
      </c>
      <c r="R488" s="35" t="s">
        <v>441</v>
      </c>
      <c r="S488" s="35" t="str">
        <f>MID(Tabla1[[#This Row],[Aplicación]],6,2)</f>
        <v>08</v>
      </c>
      <c r="T488" s="35" t="str">
        <f>VLOOKUP(Tabla1[[#This Row],[AREA]],Hoja1!A:B,2,FALSE)</f>
        <v>08. Movilidad y espacio urbano</v>
      </c>
      <c r="U488" s="35" t="str">
        <f>MID(Tabla1[[#This Row],[Aplicación]],9,4)</f>
        <v>1532</v>
      </c>
      <c r="V488" s="35" t="str">
        <f>VLOOKUP(Tabla1[[#This Row],[PROGRAMA]],Hoja1!A:B,2,FALSE)</f>
        <v>1532. Pavimentación vias públicas y otros servicios urbanísticos</v>
      </c>
      <c r="W488" s="35" t="str">
        <f>MID(Tabla1[[#This Row],[Aplicación]],14,2)</f>
        <v>21</v>
      </c>
      <c r="X488" s="35" t="str">
        <f>MID(Tabla1[[#This Row],[Aplicación]],14,6)</f>
        <v>214</v>
      </c>
    </row>
    <row r="489" spans="1:24" x14ac:dyDescent="0.25">
      <c r="A489" s="49">
        <v>220220008642</v>
      </c>
      <c r="B489" s="50" t="s">
        <v>26</v>
      </c>
      <c r="C489" s="57">
        <v>44634</v>
      </c>
      <c r="D489" s="49">
        <v>22022001186</v>
      </c>
      <c r="E489" s="50" t="s">
        <v>1668</v>
      </c>
      <c r="F489" s="58">
        <v>217.91</v>
      </c>
      <c r="G489" s="50" t="s">
        <v>200</v>
      </c>
      <c r="H489" s="50" t="s">
        <v>1934</v>
      </c>
      <c r="I489" s="49" t="s">
        <v>197</v>
      </c>
      <c r="J489" s="50" t="s">
        <v>109</v>
      </c>
      <c r="K489" s="50" t="s">
        <v>109</v>
      </c>
      <c r="L489" s="50" t="s">
        <v>15</v>
      </c>
      <c r="M489" s="50" t="s">
        <v>13</v>
      </c>
      <c r="N489" s="50" t="s">
        <v>14</v>
      </c>
      <c r="O489" s="48" t="s">
        <v>631</v>
      </c>
      <c r="P489" s="45" t="s">
        <v>453</v>
      </c>
      <c r="Q489" s="35" t="str">
        <f>MID(Tabla1[[#This Row],[Aplicación]],14,1)</f>
        <v>2</v>
      </c>
      <c r="R489" s="35" t="s">
        <v>441</v>
      </c>
      <c r="S489" s="35" t="str">
        <f>MID(Tabla1[[#This Row],[Aplicación]],6,2)</f>
        <v>02</v>
      </c>
      <c r="T489" s="35" t="str">
        <f>VLOOKUP(Tabla1[[#This Row],[AREA]],Hoja1!A:B,2,FALSE)</f>
        <v>02. Planeamiento urbanístico y vivienda</v>
      </c>
      <c r="U489" s="35" t="str">
        <f>MID(Tabla1[[#This Row],[Aplicación]],9,4)</f>
        <v>9332</v>
      </c>
      <c r="V489" s="35" t="str">
        <f>VLOOKUP(Tabla1[[#This Row],[PROGRAMA]],Hoja1!A:B,2,FALSE)</f>
        <v>9332. Mantenimiento de edificios e instalaciones municipales</v>
      </c>
      <c r="W489" s="35" t="str">
        <f>MID(Tabla1[[#This Row],[Aplicación]],14,2)</f>
        <v>21</v>
      </c>
      <c r="X489" s="35" t="str">
        <f>MID(Tabla1[[#This Row],[Aplicación]],14,6)</f>
        <v>214</v>
      </c>
    </row>
    <row r="490" spans="1:24" x14ac:dyDescent="0.25">
      <c r="A490" s="49">
        <v>220220009386</v>
      </c>
      <c r="B490" s="50" t="s">
        <v>172</v>
      </c>
      <c r="C490" s="57">
        <v>44636</v>
      </c>
      <c r="D490" s="49">
        <v>22022001627</v>
      </c>
      <c r="E490" s="50" t="s">
        <v>1827</v>
      </c>
      <c r="F490" s="58">
        <v>297.37</v>
      </c>
      <c r="G490" s="50" t="s">
        <v>200</v>
      </c>
      <c r="H490" s="50" t="s">
        <v>1935</v>
      </c>
      <c r="I490" s="49" t="s">
        <v>173</v>
      </c>
      <c r="J490" s="50" t="s">
        <v>109</v>
      </c>
      <c r="K490" s="50" t="s">
        <v>109</v>
      </c>
      <c r="L490" s="50" t="s">
        <v>12</v>
      </c>
      <c r="M490" s="50" t="s">
        <v>13</v>
      </c>
      <c r="N490" s="50" t="s">
        <v>14</v>
      </c>
      <c r="O490" s="48" t="s">
        <v>631</v>
      </c>
      <c r="P490" s="45" t="s">
        <v>453</v>
      </c>
      <c r="Q490" s="35" t="str">
        <f>MID(Tabla1[[#This Row],[Aplicación]],14,1)</f>
        <v>2</v>
      </c>
      <c r="R490" s="35" t="s">
        <v>441</v>
      </c>
      <c r="S490" s="35" t="str">
        <f>MID(Tabla1[[#This Row],[Aplicación]],6,2)</f>
        <v>11</v>
      </c>
      <c r="T490" s="35" t="str">
        <f>VLOOKUP(Tabla1[[#This Row],[AREA]],Hoja1!A:B,2,FALSE)</f>
        <v>11. Salud pública y seguridad ciudadana</v>
      </c>
      <c r="U490" s="35" t="str">
        <f>MID(Tabla1[[#This Row],[Aplicación]],9,4)</f>
        <v>1361</v>
      </c>
      <c r="V490" s="35" t="str">
        <f>VLOOKUP(Tabla1[[#This Row],[PROGRAMA]],Hoja1!A:B,2,FALSE)</f>
        <v>1361. Prevención y extinción de incencios</v>
      </c>
      <c r="W490" s="35" t="str">
        <f>MID(Tabla1[[#This Row],[Aplicación]],14,2)</f>
        <v>21</v>
      </c>
      <c r="X490" s="35" t="str">
        <f>MID(Tabla1[[#This Row],[Aplicación]],14,6)</f>
        <v>214</v>
      </c>
    </row>
    <row r="491" spans="1:24" x14ac:dyDescent="0.25">
      <c r="A491" s="49">
        <v>220220009448</v>
      </c>
      <c r="B491" s="50" t="s">
        <v>172</v>
      </c>
      <c r="C491" s="57">
        <v>44636</v>
      </c>
      <c r="D491" s="49">
        <v>22022001637</v>
      </c>
      <c r="E491" s="50" t="s">
        <v>1922</v>
      </c>
      <c r="F491" s="58">
        <v>420.61</v>
      </c>
      <c r="G491" s="50" t="s">
        <v>200</v>
      </c>
      <c r="H491" s="50" t="s">
        <v>1936</v>
      </c>
      <c r="I491" s="49" t="s">
        <v>173</v>
      </c>
      <c r="J491" s="50" t="s">
        <v>109</v>
      </c>
      <c r="K491" s="50" t="s">
        <v>109</v>
      </c>
      <c r="L491" s="50" t="s">
        <v>12</v>
      </c>
      <c r="M491" s="50" t="s">
        <v>13</v>
      </c>
      <c r="N491" s="50" t="s">
        <v>14</v>
      </c>
      <c r="O491" s="48" t="s">
        <v>631</v>
      </c>
      <c r="P491" s="45" t="s">
        <v>453</v>
      </c>
      <c r="Q491" s="35" t="str">
        <f>MID(Tabla1[[#This Row],[Aplicación]],14,1)</f>
        <v>2</v>
      </c>
      <c r="R491" s="35" t="s">
        <v>441</v>
      </c>
      <c r="S491" s="35" t="str">
        <f>MID(Tabla1[[#This Row],[Aplicación]],6,2)</f>
        <v>07</v>
      </c>
      <c r="T491" s="35" t="str">
        <f>VLOOKUP(Tabla1[[#This Row],[AREA]],Hoja1!A:B,2,FALSE)</f>
        <v>07. Medio ambiente y desarrollo sostenible</v>
      </c>
      <c r="U491" s="35" t="str">
        <f>MID(Tabla1[[#This Row],[Aplicación]],9,4)</f>
        <v>1711</v>
      </c>
      <c r="V491" s="35" t="str">
        <f>VLOOKUP(Tabla1[[#This Row],[PROGRAMA]],Hoja1!A:B,2,FALSE)</f>
        <v>1711. Parques y jardines</v>
      </c>
      <c r="W491" s="35" t="str">
        <f>MID(Tabla1[[#This Row],[Aplicación]],14,2)</f>
        <v>21</v>
      </c>
      <c r="X491" s="35" t="str">
        <f>MID(Tabla1[[#This Row],[Aplicación]],14,6)</f>
        <v>214</v>
      </c>
    </row>
    <row r="492" spans="1:24" x14ac:dyDescent="0.25">
      <c r="A492" s="49">
        <v>220220009529</v>
      </c>
      <c r="B492" s="50" t="s">
        <v>172</v>
      </c>
      <c r="C492" s="57">
        <v>44636</v>
      </c>
      <c r="D492" s="49">
        <v>22022001451</v>
      </c>
      <c r="E492" s="50" t="s">
        <v>1668</v>
      </c>
      <c r="F492" s="58">
        <v>292.5</v>
      </c>
      <c r="G492" s="50" t="s">
        <v>200</v>
      </c>
      <c r="H492" s="50" t="s">
        <v>1937</v>
      </c>
      <c r="I492" s="49" t="s">
        <v>173</v>
      </c>
      <c r="J492" s="50" t="s">
        <v>109</v>
      </c>
      <c r="K492" s="50" t="s">
        <v>109</v>
      </c>
      <c r="L492" s="50" t="s">
        <v>12</v>
      </c>
      <c r="M492" s="50" t="s">
        <v>13</v>
      </c>
      <c r="N492" s="50" t="s">
        <v>14</v>
      </c>
      <c r="O492" s="48" t="s">
        <v>631</v>
      </c>
      <c r="P492" s="45" t="s">
        <v>453</v>
      </c>
      <c r="Q492" s="35" t="str">
        <f>MID(Tabla1[[#This Row],[Aplicación]],14,1)</f>
        <v>2</v>
      </c>
      <c r="R492" s="35" t="s">
        <v>441</v>
      </c>
      <c r="S492" s="35" t="str">
        <f>MID(Tabla1[[#This Row],[Aplicación]],6,2)</f>
        <v>02</v>
      </c>
      <c r="T492" s="35" t="str">
        <f>VLOOKUP(Tabla1[[#This Row],[AREA]],Hoja1!A:B,2,FALSE)</f>
        <v>02. Planeamiento urbanístico y vivienda</v>
      </c>
      <c r="U492" s="35" t="str">
        <f>MID(Tabla1[[#This Row],[Aplicación]],9,4)</f>
        <v>9332</v>
      </c>
      <c r="V492" s="35" t="str">
        <f>VLOOKUP(Tabla1[[#This Row],[PROGRAMA]],Hoja1!A:B,2,FALSE)</f>
        <v>9332. Mantenimiento de edificios e instalaciones municipales</v>
      </c>
      <c r="W492" s="35" t="str">
        <f>MID(Tabla1[[#This Row],[Aplicación]],14,2)</f>
        <v>21</v>
      </c>
      <c r="X492" s="35" t="str">
        <f>MID(Tabla1[[#This Row],[Aplicación]],14,6)</f>
        <v>214</v>
      </c>
    </row>
    <row r="493" spans="1:24" x14ac:dyDescent="0.25">
      <c r="A493" s="49">
        <v>220220009573</v>
      </c>
      <c r="B493" s="50" t="s">
        <v>172</v>
      </c>
      <c r="C493" s="57">
        <v>44636</v>
      </c>
      <c r="D493" s="49">
        <v>22022001555</v>
      </c>
      <c r="E493" s="50" t="s">
        <v>1927</v>
      </c>
      <c r="F493" s="58">
        <v>54.45</v>
      </c>
      <c r="G493" s="50" t="s">
        <v>200</v>
      </c>
      <c r="H493" s="50" t="s">
        <v>1938</v>
      </c>
      <c r="I493" s="49" t="s">
        <v>173</v>
      </c>
      <c r="J493" s="50" t="s">
        <v>109</v>
      </c>
      <c r="K493" s="50" t="s">
        <v>109</v>
      </c>
      <c r="L493" s="50" t="s">
        <v>12</v>
      </c>
      <c r="M493" s="50" t="s">
        <v>13</v>
      </c>
      <c r="N493" s="50" t="s">
        <v>14</v>
      </c>
      <c r="O493" s="48" t="s">
        <v>631</v>
      </c>
      <c r="P493" s="45" t="s">
        <v>453</v>
      </c>
      <c r="Q493" s="35" t="str">
        <f>MID(Tabla1[[#This Row],[Aplicación]],14,1)</f>
        <v>2</v>
      </c>
      <c r="R493" s="35" t="s">
        <v>441</v>
      </c>
      <c r="S493" s="35" t="str">
        <f>MID(Tabla1[[#This Row],[Aplicación]],6,2)</f>
        <v>08</v>
      </c>
      <c r="T493" s="35" t="str">
        <f>VLOOKUP(Tabla1[[#This Row],[AREA]],Hoja1!A:B,2,FALSE)</f>
        <v>08. Movilidad y espacio urbano</v>
      </c>
      <c r="U493" s="35" t="str">
        <f>MID(Tabla1[[#This Row],[Aplicación]],9,4)</f>
        <v>1532</v>
      </c>
      <c r="V493" s="35" t="str">
        <f>VLOOKUP(Tabla1[[#This Row],[PROGRAMA]],Hoja1!A:B,2,FALSE)</f>
        <v>1532. Pavimentación vias públicas y otros servicios urbanísticos</v>
      </c>
      <c r="W493" s="35" t="str">
        <f>MID(Tabla1[[#This Row],[Aplicación]],14,2)</f>
        <v>21</v>
      </c>
      <c r="X493" s="35" t="str">
        <f>MID(Tabla1[[#This Row],[Aplicación]],14,6)</f>
        <v>214</v>
      </c>
    </row>
    <row r="494" spans="1:24" x14ac:dyDescent="0.25">
      <c r="A494" s="49">
        <v>220220012683</v>
      </c>
      <c r="B494" s="50" t="s">
        <v>172</v>
      </c>
      <c r="C494" s="57">
        <v>44644</v>
      </c>
      <c r="D494" s="49">
        <v>22022001637</v>
      </c>
      <c r="E494" s="50" t="s">
        <v>1922</v>
      </c>
      <c r="F494" s="58">
        <v>55.66</v>
      </c>
      <c r="G494" s="50" t="s">
        <v>200</v>
      </c>
      <c r="H494" s="50" t="s">
        <v>1939</v>
      </c>
      <c r="I494" s="49" t="s">
        <v>173</v>
      </c>
      <c r="J494" s="50" t="s">
        <v>109</v>
      </c>
      <c r="K494" s="50" t="s">
        <v>109</v>
      </c>
      <c r="L494" s="50" t="s">
        <v>12</v>
      </c>
      <c r="M494" s="50" t="s">
        <v>13</v>
      </c>
      <c r="N494" s="50" t="s">
        <v>14</v>
      </c>
      <c r="O494" s="48" t="s">
        <v>631</v>
      </c>
      <c r="P494" s="45" t="s">
        <v>453</v>
      </c>
      <c r="Q494" s="35" t="str">
        <f>MID(Tabla1[[#This Row],[Aplicación]],14,1)</f>
        <v>2</v>
      </c>
      <c r="R494" s="35" t="s">
        <v>441</v>
      </c>
      <c r="S494" s="35" t="str">
        <f>MID(Tabla1[[#This Row],[Aplicación]],6,2)</f>
        <v>07</v>
      </c>
      <c r="T494" s="35" t="str">
        <f>VLOOKUP(Tabla1[[#This Row],[AREA]],Hoja1!A:B,2,FALSE)</f>
        <v>07. Medio ambiente y desarrollo sostenible</v>
      </c>
      <c r="U494" s="35" t="str">
        <f>MID(Tabla1[[#This Row],[Aplicación]],9,4)</f>
        <v>1711</v>
      </c>
      <c r="V494" s="35" t="str">
        <f>VLOOKUP(Tabla1[[#This Row],[PROGRAMA]],Hoja1!A:B,2,FALSE)</f>
        <v>1711. Parques y jardines</v>
      </c>
      <c r="W494" s="35" t="str">
        <f>MID(Tabla1[[#This Row],[Aplicación]],14,2)</f>
        <v>21</v>
      </c>
      <c r="X494" s="35" t="str">
        <f>MID(Tabla1[[#This Row],[Aplicación]],14,6)</f>
        <v>214</v>
      </c>
    </row>
    <row r="495" spans="1:24" x14ac:dyDescent="0.25">
      <c r="A495" s="49">
        <v>220220006759</v>
      </c>
      <c r="B495" s="50" t="s">
        <v>172</v>
      </c>
      <c r="C495" s="57">
        <v>44622</v>
      </c>
      <c r="D495" s="49">
        <v>22022001627</v>
      </c>
      <c r="E495" s="50" t="s">
        <v>1827</v>
      </c>
      <c r="F495" s="58">
        <v>88.64</v>
      </c>
      <c r="G495" s="50" t="s">
        <v>200</v>
      </c>
      <c r="H495" s="50" t="s">
        <v>1940</v>
      </c>
      <c r="I495" s="49" t="s">
        <v>173</v>
      </c>
      <c r="J495" s="50" t="s">
        <v>109</v>
      </c>
      <c r="K495" s="50" t="s">
        <v>109</v>
      </c>
      <c r="L495" s="50" t="s">
        <v>12</v>
      </c>
      <c r="M495" s="50" t="s">
        <v>13</v>
      </c>
      <c r="N495" s="50" t="s">
        <v>14</v>
      </c>
      <c r="O495" s="48" t="s">
        <v>631</v>
      </c>
      <c r="P495" s="45" t="s">
        <v>453</v>
      </c>
      <c r="Q495" s="35" t="str">
        <f>MID(Tabla1[[#This Row],[Aplicación]],14,1)</f>
        <v>2</v>
      </c>
      <c r="R495" s="35" t="s">
        <v>441</v>
      </c>
      <c r="S495" s="35" t="str">
        <f>MID(Tabla1[[#This Row],[Aplicación]],6,2)</f>
        <v>11</v>
      </c>
      <c r="T495" s="35" t="str">
        <f>VLOOKUP(Tabla1[[#This Row],[AREA]],Hoja1!A:B,2,FALSE)</f>
        <v>11. Salud pública y seguridad ciudadana</v>
      </c>
      <c r="U495" s="35" t="str">
        <f>MID(Tabla1[[#This Row],[Aplicación]],9,4)</f>
        <v>1361</v>
      </c>
      <c r="V495" s="35" t="str">
        <f>VLOOKUP(Tabla1[[#This Row],[PROGRAMA]],Hoja1!A:B,2,FALSE)</f>
        <v>1361. Prevención y extinción de incencios</v>
      </c>
      <c r="W495" s="35" t="str">
        <f>MID(Tabla1[[#This Row],[Aplicación]],14,2)</f>
        <v>21</v>
      </c>
      <c r="X495" s="35" t="str">
        <f>MID(Tabla1[[#This Row],[Aplicación]],14,6)</f>
        <v>214</v>
      </c>
    </row>
    <row r="496" spans="1:24" x14ac:dyDescent="0.25">
      <c r="A496" s="49">
        <v>220220006761</v>
      </c>
      <c r="B496" s="50" t="s">
        <v>172</v>
      </c>
      <c r="C496" s="57">
        <v>44622</v>
      </c>
      <c r="D496" s="49">
        <v>22022001627</v>
      </c>
      <c r="E496" s="50" t="s">
        <v>1827</v>
      </c>
      <c r="F496" s="58">
        <v>24.2</v>
      </c>
      <c r="G496" s="50" t="s">
        <v>200</v>
      </c>
      <c r="H496" s="50" t="s">
        <v>1941</v>
      </c>
      <c r="I496" s="49" t="s">
        <v>173</v>
      </c>
      <c r="J496" s="50" t="s">
        <v>109</v>
      </c>
      <c r="K496" s="50" t="s">
        <v>109</v>
      </c>
      <c r="L496" s="50" t="s">
        <v>12</v>
      </c>
      <c r="M496" s="50" t="s">
        <v>13</v>
      </c>
      <c r="N496" s="50" t="s">
        <v>14</v>
      </c>
      <c r="O496" s="48" t="s">
        <v>631</v>
      </c>
      <c r="P496" s="45" t="s">
        <v>453</v>
      </c>
      <c r="Q496" s="35" t="str">
        <f>MID(Tabla1[[#This Row],[Aplicación]],14,1)</f>
        <v>2</v>
      </c>
      <c r="R496" s="35" t="s">
        <v>441</v>
      </c>
      <c r="S496" s="35" t="str">
        <f>MID(Tabla1[[#This Row],[Aplicación]],6,2)</f>
        <v>11</v>
      </c>
      <c r="T496" s="35" t="str">
        <f>VLOOKUP(Tabla1[[#This Row],[AREA]],Hoja1!A:B,2,FALSE)</f>
        <v>11. Salud pública y seguridad ciudadana</v>
      </c>
      <c r="U496" s="35" t="str">
        <f>MID(Tabla1[[#This Row],[Aplicación]],9,4)</f>
        <v>1361</v>
      </c>
      <c r="V496" s="35" t="str">
        <f>VLOOKUP(Tabla1[[#This Row],[PROGRAMA]],Hoja1!A:B,2,FALSE)</f>
        <v>1361. Prevención y extinción de incencios</v>
      </c>
      <c r="W496" s="35" t="str">
        <f>MID(Tabla1[[#This Row],[Aplicación]],14,2)</f>
        <v>21</v>
      </c>
      <c r="X496" s="35" t="str">
        <f>MID(Tabla1[[#This Row],[Aplicación]],14,6)</f>
        <v>214</v>
      </c>
    </row>
    <row r="497" spans="1:24" x14ac:dyDescent="0.25">
      <c r="A497" s="49">
        <v>220220003517</v>
      </c>
      <c r="B497" s="50" t="s">
        <v>9</v>
      </c>
      <c r="C497" s="57">
        <v>44606</v>
      </c>
      <c r="D497" s="49">
        <v>22022001929</v>
      </c>
      <c r="E497" s="50" t="s">
        <v>1676</v>
      </c>
      <c r="F497" s="58">
        <v>28958.93</v>
      </c>
      <c r="G497" s="50" t="s">
        <v>161</v>
      </c>
      <c r="H497" s="50" t="s">
        <v>1944</v>
      </c>
      <c r="I497" s="49" t="s">
        <v>107</v>
      </c>
      <c r="J497" s="50" t="s">
        <v>108</v>
      </c>
      <c r="K497" s="50" t="s">
        <v>108</v>
      </c>
      <c r="L497" s="50" t="s">
        <v>15</v>
      </c>
      <c r="M497" s="50" t="s">
        <v>13</v>
      </c>
      <c r="N497" s="50" t="s">
        <v>16</v>
      </c>
      <c r="O497" s="48" t="s">
        <v>620</v>
      </c>
      <c r="P497" s="45" t="s">
        <v>453</v>
      </c>
      <c r="Q497" s="35" t="str">
        <f>MID(Tabla1[[#This Row],[Aplicación]],14,1)</f>
        <v>6</v>
      </c>
      <c r="R497" s="35" t="s">
        <v>442</v>
      </c>
      <c r="S497" s="35" t="str">
        <f>MID(Tabla1[[#This Row],[Aplicación]],6,2)</f>
        <v>04</v>
      </c>
      <c r="T497" s="35" t="str">
        <f>VLOOKUP(Tabla1[[#This Row],[AREA]],Hoja1!A:B,2,FALSE)</f>
        <v>04. Planificación y recursos</v>
      </c>
      <c r="U497" s="35" t="str">
        <f>MID(Tabla1[[#This Row],[Aplicación]],9,4)</f>
        <v>9204</v>
      </c>
      <c r="V497" s="35" t="str">
        <f>VLOOKUP(Tabla1[[#This Row],[PROGRAMA]],Hoja1!A:B,2,FALSE)</f>
        <v>9204. Tecnologías de la información y comunicación</v>
      </c>
      <c r="W497" s="35" t="str">
        <f>MID(Tabla1[[#This Row],[Aplicación]],14,2)</f>
        <v>64</v>
      </c>
      <c r="X497" s="35" t="str">
        <f>MID(Tabla1[[#This Row],[Aplicación]],14,6)</f>
        <v>641</v>
      </c>
    </row>
    <row r="498" spans="1:24" x14ac:dyDescent="0.25">
      <c r="A498" s="49">
        <v>220219000536</v>
      </c>
      <c r="B498" s="50" t="s">
        <v>9</v>
      </c>
      <c r="C498" s="57">
        <v>44562</v>
      </c>
      <c r="D498" s="49">
        <v>22022001997</v>
      </c>
      <c r="E498" s="50" t="s">
        <v>1676</v>
      </c>
      <c r="F498" s="58">
        <v>10300</v>
      </c>
      <c r="G498" s="50" t="s">
        <v>1059</v>
      </c>
      <c r="H498" s="50" t="s">
        <v>1060</v>
      </c>
      <c r="I498" s="49" t="s">
        <v>107</v>
      </c>
      <c r="J498" s="50" t="s">
        <v>128</v>
      </c>
      <c r="K498" s="50" t="s">
        <v>128</v>
      </c>
      <c r="L498" s="50" t="s">
        <v>15</v>
      </c>
      <c r="M498" s="50" t="s">
        <v>13</v>
      </c>
      <c r="N498" s="50" t="s">
        <v>16</v>
      </c>
      <c r="O498" s="48" t="s">
        <v>620</v>
      </c>
      <c r="P498" s="45" t="s">
        <v>453</v>
      </c>
      <c r="Q498" s="35" t="str">
        <f>MID(Tabla1[[#This Row],[Aplicación]],14,1)</f>
        <v>6</v>
      </c>
      <c r="R498" s="35" t="s">
        <v>442</v>
      </c>
      <c r="S498" s="35" t="str">
        <f>MID(Tabla1[[#This Row],[Aplicación]],6,2)</f>
        <v>04</v>
      </c>
      <c r="T498" s="35" t="str">
        <f>VLOOKUP(Tabla1[[#This Row],[AREA]],Hoja1!A:B,2,FALSE)</f>
        <v>04. Planificación y recursos</v>
      </c>
      <c r="U498" s="35" t="str">
        <f>MID(Tabla1[[#This Row],[Aplicación]],9,4)</f>
        <v>9204</v>
      </c>
      <c r="V498" s="35" t="str">
        <f>VLOOKUP(Tabla1[[#This Row],[PROGRAMA]],Hoja1!A:B,2,FALSE)</f>
        <v>9204. Tecnologías de la información y comunicación</v>
      </c>
      <c r="W498" s="35" t="str">
        <f>MID(Tabla1[[#This Row],[Aplicación]],14,2)</f>
        <v>64</v>
      </c>
      <c r="X498" s="35" t="str">
        <f>MID(Tabla1[[#This Row],[Aplicación]],14,6)</f>
        <v>641</v>
      </c>
    </row>
    <row r="499" spans="1:24" x14ac:dyDescent="0.25">
      <c r="A499" s="49">
        <v>220210036836</v>
      </c>
      <c r="B499" s="50" t="s">
        <v>9</v>
      </c>
      <c r="C499" s="57">
        <v>44620</v>
      </c>
      <c r="D499" s="49">
        <v>22021005105</v>
      </c>
      <c r="E499" s="50" t="s">
        <v>1368</v>
      </c>
      <c r="F499" s="58">
        <v>617.47</v>
      </c>
      <c r="G499" s="50" t="s">
        <v>1313</v>
      </c>
      <c r="H499" s="50" t="s">
        <v>1087</v>
      </c>
      <c r="I499" s="49" t="s">
        <v>107</v>
      </c>
      <c r="J499" s="50" t="s">
        <v>171</v>
      </c>
      <c r="K499" s="50" t="s">
        <v>171</v>
      </c>
      <c r="L499" s="50" t="s">
        <v>12</v>
      </c>
      <c r="M499" s="50" t="s">
        <v>13</v>
      </c>
      <c r="N499" s="50" t="s">
        <v>14</v>
      </c>
      <c r="O499" s="48" t="s">
        <v>631</v>
      </c>
      <c r="P499" s="45" t="s">
        <v>453</v>
      </c>
      <c r="Q499" s="35" t="str">
        <f>MID(Tabla1[[#This Row],[Aplicación]],14,1)</f>
        <v>6</v>
      </c>
      <c r="R499" s="35" t="s">
        <v>442</v>
      </c>
      <c r="S499" s="35" t="str">
        <f>MID(Tabla1[[#This Row],[Aplicación]],6,2)</f>
        <v>08</v>
      </c>
      <c r="T499" s="35" t="str">
        <f>VLOOKUP(Tabla1[[#This Row],[AREA]],Hoja1!A:B,2,FALSE)</f>
        <v>08. Movilidad y espacio urbano</v>
      </c>
      <c r="U499" s="35" t="str">
        <f>MID(Tabla1[[#This Row],[Aplicación]],9,4)</f>
        <v>1532</v>
      </c>
      <c r="V499" s="35" t="str">
        <f>VLOOKUP(Tabla1[[#This Row],[PROGRAMA]],Hoja1!A:B,2,FALSE)</f>
        <v>1532. Pavimentación vias públicas y otros servicios urbanísticos</v>
      </c>
      <c r="W499" s="35" t="str">
        <f>MID(Tabla1[[#This Row],[Aplicación]],14,2)</f>
        <v>61</v>
      </c>
      <c r="X499" s="35" t="str">
        <f>MID(Tabla1[[#This Row],[Aplicación]],14,6)</f>
        <v>619</v>
      </c>
    </row>
    <row r="500" spans="1:24" x14ac:dyDescent="0.25">
      <c r="A500" s="49">
        <v>220210037295</v>
      </c>
      <c r="B500" s="50" t="s">
        <v>9</v>
      </c>
      <c r="C500" s="57">
        <v>44620</v>
      </c>
      <c r="D500" s="49">
        <v>22021002836</v>
      </c>
      <c r="E500" s="50" t="s">
        <v>1368</v>
      </c>
      <c r="F500" s="58">
        <v>13042.35</v>
      </c>
      <c r="G500" s="50" t="s">
        <v>1313</v>
      </c>
      <c r="H500" s="50" t="s">
        <v>1085</v>
      </c>
      <c r="I500" s="49" t="s">
        <v>107</v>
      </c>
      <c r="J500" s="50" t="s">
        <v>171</v>
      </c>
      <c r="K500" s="50" t="s">
        <v>171</v>
      </c>
      <c r="L500" s="50" t="s">
        <v>12</v>
      </c>
      <c r="M500" s="50" t="s">
        <v>13</v>
      </c>
      <c r="N500" s="50" t="s">
        <v>14</v>
      </c>
      <c r="O500" s="48" t="s">
        <v>631</v>
      </c>
      <c r="P500" s="45" t="s">
        <v>453</v>
      </c>
      <c r="Q500" s="35" t="str">
        <f>MID(Tabla1[[#This Row],[Aplicación]],14,1)</f>
        <v>6</v>
      </c>
      <c r="R500" s="35" t="s">
        <v>442</v>
      </c>
      <c r="S500" s="35" t="str">
        <f>MID(Tabla1[[#This Row],[Aplicación]],6,2)</f>
        <v>08</v>
      </c>
      <c r="T500" s="35" t="str">
        <f>VLOOKUP(Tabla1[[#This Row],[AREA]],Hoja1!A:B,2,FALSE)</f>
        <v>08. Movilidad y espacio urbano</v>
      </c>
      <c r="U500" s="35" t="str">
        <f>MID(Tabla1[[#This Row],[Aplicación]],9,4)</f>
        <v>1532</v>
      </c>
      <c r="V500" s="35" t="str">
        <f>VLOOKUP(Tabla1[[#This Row],[PROGRAMA]],Hoja1!A:B,2,FALSE)</f>
        <v>1532. Pavimentación vias públicas y otros servicios urbanísticos</v>
      </c>
      <c r="W500" s="35" t="str">
        <f>MID(Tabla1[[#This Row],[Aplicación]],14,2)</f>
        <v>61</v>
      </c>
      <c r="X500" s="35" t="str">
        <f>MID(Tabla1[[#This Row],[Aplicación]],14,6)</f>
        <v>619</v>
      </c>
    </row>
    <row r="501" spans="1:24" x14ac:dyDescent="0.25">
      <c r="A501" s="49">
        <v>220220003511</v>
      </c>
      <c r="B501" s="50" t="s">
        <v>172</v>
      </c>
      <c r="C501" s="57">
        <v>44606</v>
      </c>
      <c r="D501" s="49">
        <v>22022001871</v>
      </c>
      <c r="E501" s="50" t="s">
        <v>1676</v>
      </c>
      <c r="F501" s="58">
        <v>73810</v>
      </c>
      <c r="G501" s="50" t="s">
        <v>901</v>
      </c>
      <c r="H501" s="50" t="s">
        <v>1945</v>
      </c>
      <c r="I501" s="49" t="s">
        <v>173</v>
      </c>
      <c r="J501" s="50" t="s">
        <v>109</v>
      </c>
      <c r="K501" s="50" t="s">
        <v>109</v>
      </c>
      <c r="L501" s="50" t="s">
        <v>15</v>
      </c>
      <c r="M501" s="50" t="s">
        <v>13</v>
      </c>
      <c r="N501" s="50" t="s">
        <v>14</v>
      </c>
      <c r="O501" s="48" t="s">
        <v>620</v>
      </c>
      <c r="P501" s="45" t="s">
        <v>453</v>
      </c>
      <c r="Q501" s="35" t="str">
        <f>MID(Tabla1[[#This Row],[Aplicación]],14,1)</f>
        <v>6</v>
      </c>
      <c r="R501" s="35" t="s">
        <v>442</v>
      </c>
      <c r="S501" s="35" t="str">
        <f>MID(Tabla1[[#This Row],[Aplicación]],6,2)</f>
        <v>04</v>
      </c>
      <c r="T501" s="35" t="str">
        <f>VLOOKUP(Tabla1[[#This Row],[AREA]],Hoja1!A:B,2,FALSE)</f>
        <v>04. Planificación y recursos</v>
      </c>
      <c r="U501" s="35" t="str">
        <f>MID(Tabla1[[#This Row],[Aplicación]],9,4)</f>
        <v>9204</v>
      </c>
      <c r="V501" s="35" t="str">
        <f>VLOOKUP(Tabla1[[#This Row],[PROGRAMA]],Hoja1!A:B,2,FALSE)</f>
        <v>9204. Tecnologías de la información y comunicación</v>
      </c>
      <c r="W501" s="35" t="str">
        <f>MID(Tabla1[[#This Row],[Aplicación]],14,2)</f>
        <v>64</v>
      </c>
      <c r="X501" s="35" t="str">
        <f>MID(Tabla1[[#This Row],[Aplicación]],14,6)</f>
        <v>641</v>
      </c>
    </row>
    <row r="502" spans="1:24" x14ac:dyDescent="0.25">
      <c r="A502" s="49">
        <v>220210043823</v>
      </c>
      <c r="B502" s="50" t="s">
        <v>9</v>
      </c>
      <c r="C502" s="57">
        <v>44620</v>
      </c>
      <c r="D502" s="49">
        <v>22021003909</v>
      </c>
      <c r="E502" s="50" t="s">
        <v>1602</v>
      </c>
      <c r="F502" s="58">
        <v>1721.12</v>
      </c>
      <c r="G502" s="50" t="s">
        <v>1313</v>
      </c>
      <c r="H502" s="50" t="s">
        <v>1086</v>
      </c>
      <c r="I502" s="49" t="s">
        <v>107</v>
      </c>
      <c r="J502" s="50" t="s">
        <v>171</v>
      </c>
      <c r="K502" s="50" t="s">
        <v>171</v>
      </c>
      <c r="L502" s="50" t="s">
        <v>25</v>
      </c>
      <c r="M502" s="50" t="s">
        <v>13</v>
      </c>
      <c r="N502" s="50" t="s">
        <v>16</v>
      </c>
      <c r="O502" s="48" t="s">
        <v>631</v>
      </c>
      <c r="P502" s="45" t="s">
        <v>453</v>
      </c>
      <c r="Q502" s="35" t="str">
        <f>MID(Tabla1[[#This Row],[Aplicación]],14,1)</f>
        <v>6</v>
      </c>
      <c r="R502" s="35" t="s">
        <v>442</v>
      </c>
      <c r="S502" s="35" t="str">
        <f>MID(Tabla1[[#This Row],[Aplicación]],6,2)</f>
        <v>05</v>
      </c>
      <c r="T502" s="35" t="str">
        <f>VLOOKUP(Tabla1[[#This Row],[AREA]],Hoja1!A:B,2,FALSE)</f>
        <v>05. Innovación, desarrollo económico, empleo y comercio</v>
      </c>
      <c r="U502" s="35" t="str">
        <f>MID(Tabla1[[#This Row],[Aplicación]],9,4)</f>
        <v>4331</v>
      </c>
      <c r="V502" s="35" t="str">
        <f>VLOOKUP(Tabla1[[#This Row],[PROGRAMA]],Hoja1!A:B,2,FALSE)</f>
        <v>4331. Desarrollo empresarial</v>
      </c>
      <c r="W502" s="35" t="str">
        <f>MID(Tabla1[[#This Row],[Aplicación]],14,2)</f>
        <v>60</v>
      </c>
      <c r="X502" s="35" t="str">
        <f>MID(Tabla1[[#This Row],[Aplicación]],14,6)</f>
        <v>609</v>
      </c>
    </row>
    <row r="503" spans="1:24" x14ac:dyDescent="0.25">
      <c r="A503" s="49">
        <v>220210033090</v>
      </c>
      <c r="B503" s="50" t="s">
        <v>9</v>
      </c>
      <c r="C503" s="57">
        <v>44620</v>
      </c>
      <c r="D503" s="49">
        <v>22021005030</v>
      </c>
      <c r="E503" s="50" t="s">
        <v>1844</v>
      </c>
      <c r="F503" s="58">
        <v>263.38</v>
      </c>
      <c r="G503" s="50" t="s">
        <v>1313</v>
      </c>
      <c r="H503" s="50" t="s">
        <v>1023</v>
      </c>
      <c r="I503" s="49" t="s">
        <v>107</v>
      </c>
      <c r="J503" s="50" t="s">
        <v>171</v>
      </c>
      <c r="K503" s="50" t="s">
        <v>171</v>
      </c>
      <c r="L503" s="50" t="s">
        <v>12</v>
      </c>
      <c r="M503" s="50" t="s">
        <v>13</v>
      </c>
      <c r="N503" s="50" t="s">
        <v>14</v>
      </c>
      <c r="O503" s="48" t="s">
        <v>631</v>
      </c>
      <c r="P503" s="45" t="s">
        <v>453</v>
      </c>
      <c r="Q503" s="35" t="str">
        <f>MID(Tabla1[[#This Row],[Aplicación]],14,1)</f>
        <v>6</v>
      </c>
      <c r="R503" s="35" t="s">
        <v>442</v>
      </c>
      <c r="S503" s="35" t="str">
        <f>MID(Tabla1[[#This Row],[Aplicación]],6,2)</f>
        <v>06</v>
      </c>
      <c r="T503" s="35" t="str">
        <f>VLOOKUP(Tabla1[[#This Row],[AREA]],Hoja1!A:B,2,FALSE)</f>
        <v>06. Educación, infancia, juventud e igualdad</v>
      </c>
      <c r="U503" s="35" t="str">
        <f>MID(Tabla1[[#This Row],[Aplicación]],9,4)</f>
        <v>3261</v>
      </c>
      <c r="V503" s="35" t="str">
        <f>VLOOKUP(Tabla1[[#This Row],[PROGRAMA]],Hoja1!A:B,2,FALSE)</f>
        <v>3261. Servicios complementarios de educación</v>
      </c>
      <c r="W503" s="35" t="str">
        <f>MID(Tabla1[[#This Row],[Aplicación]],14,2)</f>
        <v>63</v>
      </c>
      <c r="X503" s="35" t="str">
        <f>MID(Tabla1[[#This Row],[Aplicación]],14,6)</f>
        <v>632</v>
      </c>
    </row>
    <row r="504" spans="1:24" x14ac:dyDescent="0.25">
      <c r="A504" s="49">
        <v>220210034306</v>
      </c>
      <c r="B504" s="50" t="s">
        <v>9</v>
      </c>
      <c r="C504" s="57">
        <v>44631</v>
      </c>
      <c r="D504" s="49">
        <v>22021002556</v>
      </c>
      <c r="E504" s="50" t="s">
        <v>1713</v>
      </c>
      <c r="F504" s="58">
        <v>542.92999999999995</v>
      </c>
      <c r="G504" s="50" t="s">
        <v>1313</v>
      </c>
      <c r="H504" s="50" t="s">
        <v>1088</v>
      </c>
      <c r="I504" s="49" t="s">
        <v>107</v>
      </c>
      <c r="J504" s="50" t="s">
        <v>171</v>
      </c>
      <c r="K504" s="50" t="s">
        <v>171</v>
      </c>
      <c r="L504" s="50" t="s">
        <v>12</v>
      </c>
      <c r="M504" s="50" t="s">
        <v>13</v>
      </c>
      <c r="N504" s="50" t="s">
        <v>14</v>
      </c>
      <c r="O504" s="48" t="s">
        <v>631</v>
      </c>
      <c r="P504" s="45" t="s">
        <v>453</v>
      </c>
      <c r="Q504" s="35" t="str">
        <f>MID(Tabla1[[#This Row],[Aplicación]],14,1)</f>
        <v>6</v>
      </c>
      <c r="R504" s="35" t="s">
        <v>442</v>
      </c>
      <c r="S504" s="35" t="str">
        <f>MID(Tabla1[[#This Row],[Aplicación]],6,2)</f>
        <v>11</v>
      </c>
      <c r="T504" s="35" t="str">
        <f>VLOOKUP(Tabla1[[#This Row],[AREA]],Hoja1!A:B,2,FALSE)</f>
        <v>11. Salud pública y seguridad ciudadana</v>
      </c>
      <c r="U504" s="35" t="str">
        <f>MID(Tabla1[[#This Row],[Aplicación]],9,4)</f>
        <v>3111</v>
      </c>
      <c r="V504" s="35" t="str">
        <f>VLOOKUP(Tabla1[[#This Row],[PROGRAMA]],Hoja1!A:B,2,FALSE)</f>
        <v>3111. Protección de la salubridad pública</v>
      </c>
      <c r="W504" s="35" t="str">
        <f>MID(Tabla1[[#This Row],[Aplicación]],14,2)</f>
        <v>63</v>
      </c>
      <c r="X504" s="35" t="str">
        <f>MID(Tabla1[[#This Row],[Aplicación]],14,6)</f>
        <v>632</v>
      </c>
    </row>
    <row r="505" spans="1:24" x14ac:dyDescent="0.25">
      <c r="A505" s="49">
        <v>220210054482</v>
      </c>
      <c r="B505" s="50" t="s">
        <v>9</v>
      </c>
      <c r="C505" s="57">
        <v>44620</v>
      </c>
      <c r="D505" s="49">
        <v>22021006299</v>
      </c>
      <c r="E505" s="50" t="s">
        <v>1395</v>
      </c>
      <c r="F505" s="58">
        <v>1239.5</v>
      </c>
      <c r="G505" s="50" t="s">
        <v>1313</v>
      </c>
      <c r="H505" s="50" t="s">
        <v>1091</v>
      </c>
      <c r="I505" s="49" t="s">
        <v>107</v>
      </c>
      <c r="J505" s="50" t="s">
        <v>171</v>
      </c>
      <c r="K505" s="50" t="s">
        <v>171</v>
      </c>
      <c r="L505" s="50" t="s">
        <v>12</v>
      </c>
      <c r="M505" s="50" t="s">
        <v>13</v>
      </c>
      <c r="N505" s="50" t="s">
        <v>14</v>
      </c>
      <c r="O505" s="48" t="s">
        <v>631</v>
      </c>
      <c r="P505" s="45" t="s">
        <v>453</v>
      </c>
      <c r="Q505" s="35" t="str">
        <f>MID(Tabla1[[#This Row],[Aplicación]],14,1)</f>
        <v>6</v>
      </c>
      <c r="R505" s="35" t="s">
        <v>442</v>
      </c>
      <c r="S505" s="35" t="str">
        <f>MID(Tabla1[[#This Row],[Aplicación]],6,2)</f>
        <v>06</v>
      </c>
      <c r="T505" s="35" t="str">
        <f>VLOOKUP(Tabla1[[#This Row],[AREA]],Hoja1!A:B,2,FALSE)</f>
        <v>06. Educación, infancia, juventud e igualdad</v>
      </c>
      <c r="U505" s="35" t="str">
        <f>MID(Tabla1[[#This Row],[Aplicación]],9,4)</f>
        <v>3231</v>
      </c>
      <c r="V505" s="35" t="str">
        <f>VLOOKUP(Tabla1[[#This Row],[PROGRAMA]],Hoja1!A:B,2,FALSE)</f>
        <v>3231. Escuelas infantiles</v>
      </c>
      <c r="W505" s="35" t="str">
        <f>MID(Tabla1[[#This Row],[Aplicación]],14,2)</f>
        <v>62</v>
      </c>
      <c r="X505" s="35" t="str">
        <f>MID(Tabla1[[#This Row],[Aplicación]],14,6)</f>
        <v>622</v>
      </c>
    </row>
    <row r="506" spans="1:24" x14ac:dyDescent="0.25">
      <c r="A506" s="49">
        <v>220210042109</v>
      </c>
      <c r="B506" s="50" t="s">
        <v>9</v>
      </c>
      <c r="C506" s="57">
        <v>44620</v>
      </c>
      <c r="D506" s="49">
        <v>22021005623</v>
      </c>
      <c r="E506" s="50" t="s">
        <v>1946</v>
      </c>
      <c r="F506" s="58">
        <v>263.06</v>
      </c>
      <c r="G506" s="50" t="s">
        <v>1313</v>
      </c>
      <c r="H506" s="50" t="s">
        <v>1089</v>
      </c>
      <c r="I506" s="49" t="s">
        <v>107</v>
      </c>
      <c r="J506" s="50" t="s">
        <v>171</v>
      </c>
      <c r="K506" s="50" t="s">
        <v>171</v>
      </c>
      <c r="L506" s="50" t="s">
        <v>12</v>
      </c>
      <c r="M506" s="50" t="s">
        <v>13</v>
      </c>
      <c r="N506" s="50" t="s">
        <v>14</v>
      </c>
      <c r="O506" s="48" t="s">
        <v>631</v>
      </c>
      <c r="P506" s="45" t="s">
        <v>453</v>
      </c>
      <c r="Q506" s="35" t="str">
        <f>MID(Tabla1[[#This Row],[Aplicación]],14,1)</f>
        <v>6</v>
      </c>
      <c r="R506" s="35" t="s">
        <v>442</v>
      </c>
      <c r="S506" s="35" t="str">
        <f>MID(Tabla1[[#This Row],[Aplicación]],6,2)</f>
        <v>06</v>
      </c>
      <c r="T506" s="35" t="str">
        <f>VLOOKUP(Tabla1[[#This Row],[AREA]],Hoja1!A:B,2,FALSE)</f>
        <v>06. Educación, infancia, juventud e igualdad</v>
      </c>
      <c r="U506" s="35" t="str">
        <f>MID(Tabla1[[#This Row],[Aplicación]],9,4)</f>
        <v>3232</v>
      </c>
      <c r="V506" s="35" t="str">
        <f>VLOOKUP(Tabla1[[#This Row],[PROGRAMA]],Hoja1!A:B,2,FALSE)</f>
        <v>3232. Conservación y mantenimiento centros educación infantil y primaria</v>
      </c>
      <c r="W506" s="35" t="str">
        <f>MID(Tabla1[[#This Row],[Aplicación]],14,2)</f>
        <v>63</v>
      </c>
      <c r="X506" s="35" t="str">
        <f>MID(Tabla1[[#This Row],[Aplicación]],14,6)</f>
        <v>632</v>
      </c>
    </row>
    <row r="507" spans="1:24" x14ac:dyDescent="0.25">
      <c r="A507" s="49">
        <v>220210043875</v>
      </c>
      <c r="B507" s="50" t="s">
        <v>9</v>
      </c>
      <c r="C507" s="57">
        <v>44620</v>
      </c>
      <c r="D507" s="49">
        <v>22021005787</v>
      </c>
      <c r="E507" s="50" t="s">
        <v>1947</v>
      </c>
      <c r="F507" s="58">
        <v>140.66</v>
      </c>
      <c r="G507" s="50" t="s">
        <v>1313</v>
      </c>
      <c r="H507" s="50" t="s">
        <v>1090</v>
      </c>
      <c r="I507" s="49" t="s">
        <v>107</v>
      </c>
      <c r="J507" s="50" t="s">
        <v>171</v>
      </c>
      <c r="K507" s="50" t="s">
        <v>171</v>
      </c>
      <c r="L507" s="50" t="s">
        <v>12</v>
      </c>
      <c r="M507" s="50" t="s">
        <v>13</v>
      </c>
      <c r="N507" s="50" t="s">
        <v>14</v>
      </c>
      <c r="O507" s="48" t="s">
        <v>631</v>
      </c>
      <c r="P507" s="45" t="s">
        <v>453</v>
      </c>
      <c r="Q507" s="35" t="str">
        <f>MID(Tabla1[[#This Row],[Aplicación]],14,1)</f>
        <v>6</v>
      </c>
      <c r="R507" s="35" t="s">
        <v>442</v>
      </c>
      <c r="S507" s="35" t="str">
        <f>MID(Tabla1[[#This Row],[Aplicación]],6,2)</f>
        <v>06</v>
      </c>
      <c r="T507" s="35" t="str">
        <f>VLOOKUP(Tabla1[[#This Row],[AREA]],Hoja1!A:B,2,FALSE)</f>
        <v>06. Educación, infancia, juventud e igualdad</v>
      </c>
      <c r="U507" s="35" t="str">
        <f>MID(Tabla1[[#This Row],[Aplicación]],9,4)</f>
        <v>3231</v>
      </c>
      <c r="V507" s="35" t="str">
        <f>VLOOKUP(Tabla1[[#This Row],[PROGRAMA]],Hoja1!A:B,2,FALSE)</f>
        <v>3231. Escuelas infantiles</v>
      </c>
      <c r="W507" s="35" t="str">
        <f>MID(Tabla1[[#This Row],[Aplicación]],14,2)</f>
        <v>63</v>
      </c>
      <c r="X507" s="35" t="str">
        <f>MID(Tabla1[[#This Row],[Aplicación]],14,6)</f>
        <v>632</v>
      </c>
    </row>
    <row r="508" spans="1:24" x14ac:dyDescent="0.25">
      <c r="A508" s="49">
        <v>220210056295</v>
      </c>
      <c r="B508" s="50" t="s">
        <v>9</v>
      </c>
      <c r="C508" s="57">
        <v>44620</v>
      </c>
      <c r="D508" s="49">
        <v>22021006392</v>
      </c>
      <c r="E508" s="50" t="s">
        <v>1755</v>
      </c>
      <c r="F508" s="58">
        <v>213.86</v>
      </c>
      <c r="G508" s="50" t="s">
        <v>1313</v>
      </c>
      <c r="H508" s="50" t="s">
        <v>1076</v>
      </c>
      <c r="I508" s="49" t="s">
        <v>107</v>
      </c>
      <c r="J508" s="50" t="s">
        <v>171</v>
      </c>
      <c r="K508" s="50" t="s">
        <v>171</v>
      </c>
      <c r="L508" s="50" t="s">
        <v>25</v>
      </c>
      <c r="M508" s="50" t="s">
        <v>13</v>
      </c>
      <c r="N508" s="50" t="s">
        <v>14</v>
      </c>
      <c r="O508" s="48" t="s">
        <v>631</v>
      </c>
      <c r="P508" s="45" t="s">
        <v>453</v>
      </c>
      <c r="Q508" s="35" t="str">
        <f>MID(Tabla1[[#This Row],[Aplicación]],14,1)</f>
        <v>6</v>
      </c>
      <c r="R508" s="35" t="s">
        <v>442</v>
      </c>
      <c r="S508" s="35" t="str">
        <f>MID(Tabla1[[#This Row],[Aplicación]],6,2)</f>
        <v>05</v>
      </c>
      <c r="T508" s="35" t="str">
        <f>VLOOKUP(Tabla1[[#This Row],[AREA]],Hoja1!A:B,2,FALSE)</f>
        <v>05. Innovación, desarrollo económico, empleo y comercio</v>
      </c>
      <c r="U508" s="35" t="str">
        <f>MID(Tabla1[[#This Row],[Aplicación]],9,4)</f>
        <v>4331</v>
      </c>
      <c r="V508" s="35" t="str">
        <f>VLOOKUP(Tabla1[[#This Row],[PROGRAMA]],Hoja1!A:B,2,FALSE)</f>
        <v>4331. Desarrollo empresarial</v>
      </c>
      <c r="W508" s="35" t="str">
        <f>MID(Tabla1[[#This Row],[Aplicación]],14,2)</f>
        <v>62</v>
      </c>
      <c r="X508" s="35" t="str">
        <f>MID(Tabla1[[#This Row],[Aplicación]],14,6)</f>
        <v>622</v>
      </c>
    </row>
    <row r="509" spans="1:24" x14ac:dyDescent="0.25">
      <c r="A509" s="49">
        <v>220210063762</v>
      </c>
      <c r="B509" s="50" t="s">
        <v>9</v>
      </c>
      <c r="C509" s="57">
        <v>44620</v>
      </c>
      <c r="D509" s="49">
        <v>22021006772</v>
      </c>
      <c r="E509" s="50" t="s">
        <v>1602</v>
      </c>
      <c r="F509" s="58">
        <v>717.31</v>
      </c>
      <c r="G509" s="50" t="s">
        <v>1313</v>
      </c>
      <c r="H509" s="50" t="s">
        <v>1213</v>
      </c>
      <c r="I509" s="49" t="s">
        <v>107</v>
      </c>
      <c r="J509" s="50" t="s">
        <v>171</v>
      </c>
      <c r="K509" s="50" t="s">
        <v>171</v>
      </c>
      <c r="L509" s="50" t="s">
        <v>25</v>
      </c>
      <c r="M509" s="50" t="s">
        <v>13</v>
      </c>
      <c r="N509" s="50" t="s">
        <v>14</v>
      </c>
      <c r="O509" s="48" t="s">
        <v>631</v>
      </c>
      <c r="P509" s="45" t="s">
        <v>453</v>
      </c>
      <c r="Q509" s="35" t="str">
        <f>MID(Tabla1[[#This Row],[Aplicación]],14,1)</f>
        <v>6</v>
      </c>
      <c r="R509" s="35" t="s">
        <v>442</v>
      </c>
      <c r="S509" s="35" t="str">
        <f>MID(Tabla1[[#This Row],[Aplicación]],6,2)</f>
        <v>05</v>
      </c>
      <c r="T509" s="35" t="str">
        <f>VLOOKUP(Tabla1[[#This Row],[AREA]],Hoja1!A:B,2,FALSE)</f>
        <v>05. Innovación, desarrollo económico, empleo y comercio</v>
      </c>
      <c r="U509" s="35" t="str">
        <f>MID(Tabla1[[#This Row],[Aplicación]],9,4)</f>
        <v>4331</v>
      </c>
      <c r="V509" s="35" t="str">
        <f>VLOOKUP(Tabla1[[#This Row],[PROGRAMA]],Hoja1!A:B,2,FALSE)</f>
        <v>4331. Desarrollo empresarial</v>
      </c>
      <c r="W509" s="35" t="str">
        <f>MID(Tabla1[[#This Row],[Aplicación]],14,2)</f>
        <v>60</v>
      </c>
      <c r="X509" s="35" t="str">
        <f>MID(Tabla1[[#This Row],[Aplicación]],14,6)</f>
        <v>609</v>
      </c>
    </row>
    <row r="510" spans="1:24" x14ac:dyDescent="0.25">
      <c r="A510" s="49">
        <v>220210068032</v>
      </c>
      <c r="B510" s="50" t="s">
        <v>9</v>
      </c>
      <c r="C510" s="57">
        <v>44620</v>
      </c>
      <c r="D510" s="49">
        <v>22021007324</v>
      </c>
      <c r="E510" s="50" t="s">
        <v>1368</v>
      </c>
      <c r="F510" s="58">
        <v>891.62</v>
      </c>
      <c r="G510" s="50" t="s">
        <v>1313</v>
      </c>
      <c r="H510" s="50" t="s">
        <v>1214</v>
      </c>
      <c r="I510" s="49" t="s">
        <v>107</v>
      </c>
      <c r="J510" s="50" t="s">
        <v>171</v>
      </c>
      <c r="K510" s="50" t="s">
        <v>171</v>
      </c>
      <c r="L510" s="50" t="s">
        <v>12</v>
      </c>
      <c r="M510" s="50" t="s">
        <v>13</v>
      </c>
      <c r="N510" s="50" t="s">
        <v>14</v>
      </c>
      <c r="O510" s="48" t="s">
        <v>631</v>
      </c>
      <c r="P510" s="45" t="s">
        <v>453</v>
      </c>
      <c r="Q510" s="35" t="str">
        <f>MID(Tabla1[[#This Row],[Aplicación]],14,1)</f>
        <v>6</v>
      </c>
      <c r="R510" s="35" t="s">
        <v>442</v>
      </c>
      <c r="S510" s="35" t="str">
        <f>MID(Tabla1[[#This Row],[Aplicación]],6,2)</f>
        <v>08</v>
      </c>
      <c r="T510" s="35" t="str">
        <f>VLOOKUP(Tabla1[[#This Row],[AREA]],Hoja1!A:B,2,FALSE)</f>
        <v>08. Movilidad y espacio urbano</v>
      </c>
      <c r="U510" s="35" t="str">
        <f>MID(Tabla1[[#This Row],[Aplicación]],9,4)</f>
        <v>1532</v>
      </c>
      <c r="V510" s="35" t="str">
        <f>VLOOKUP(Tabla1[[#This Row],[PROGRAMA]],Hoja1!A:B,2,FALSE)</f>
        <v>1532. Pavimentación vias públicas y otros servicios urbanísticos</v>
      </c>
      <c r="W510" s="35" t="str">
        <f>MID(Tabla1[[#This Row],[Aplicación]],14,2)</f>
        <v>61</v>
      </c>
      <c r="X510" s="35" t="str">
        <f>MID(Tabla1[[#This Row],[Aplicación]],14,6)</f>
        <v>619</v>
      </c>
    </row>
    <row r="511" spans="1:24" x14ac:dyDescent="0.25">
      <c r="A511" s="49">
        <v>220210074647</v>
      </c>
      <c r="B511" s="50" t="s">
        <v>9</v>
      </c>
      <c r="C511" s="57">
        <v>44620</v>
      </c>
      <c r="D511" s="49">
        <v>22021008110</v>
      </c>
      <c r="E511" s="50" t="s">
        <v>1368</v>
      </c>
      <c r="F511" s="58">
        <v>688.31</v>
      </c>
      <c r="G511" s="50" t="s">
        <v>1313</v>
      </c>
      <c r="H511" s="50" t="s">
        <v>1216</v>
      </c>
      <c r="I511" s="49" t="s">
        <v>107</v>
      </c>
      <c r="J511" s="50" t="s">
        <v>171</v>
      </c>
      <c r="K511" s="50" t="s">
        <v>171</v>
      </c>
      <c r="L511" s="50" t="s">
        <v>12</v>
      </c>
      <c r="M511" s="50" t="s">
        <v>13</v>
      </c>
      <c r="N511" s="50" t="s">
        <v>14</v>
      </c>
      <c r="O511" s="48" t="s">
        <v>631</v>
      </c>
      <c r="P511" s="45" t="s">
        <v>453</v>
      </c>
      <c r="Q511" s="35" t="str">
        <f>MID(Tabla1[[#This Row],[Aplicación]],14,1)</f>
        <v>6</v>
      </c>
      <c r="R511" s="35" t="s">
        <v>442</v>
      </c>
      <c r="S511" s="35" t="str">
        <f>MID(Tabla1[[#This Row],[Aplicación]],6,2)</f>
        <v>08</v>
      </c>
      <c r="T511" s="35" t="str">
        <f>VLOOKUP(Tabla1[[#This Row],[AREA]],Hoja1!A:B,2,FALSE)</f>
        <v>08. Movilidad y espacio urbano</v>
      </c>
      <c r="U511" s="35" t="str">
        <f>MID(Tabla1[[#This Row],[Aplicación]],9,4)</f>
        <v>1532</v>
      </c>
      <c r="V511" s="35" t="str">
        <f>VLOOKUP(Tabla1[[#This Row],[PROGRAMA]],Hoja1!A:B,2,FALSE)</f>
        <v>1532. Pavimentación vias públicas y otros servicios urbanísticos</v>
      </c>
      <c r="W511" s="35" t="str">
        <f>MID(Tabla1[[#This Row],[Aplicación]],14,2)</f>
        <v>61</v>
      </c>
      <c r="X511" s="35" t="str">
        <f>MID(Tabla1[[#This Row],[Aplicación]],14,6)</f>
        <v>619</v>
      </c>
    </row>
    <row r="512" spans="1:24" x14ac:dyDescent="0.25">
      <c r="A512" s="49">
        <v>220210050352</v>
      </c>
      <c r="B512" s="50" t="s">
        <v>9</v>
      </c>
      <c r="C512" s="57">
        <v>44620</v>
      </c>
      <c r="D512" s="49">
        <v>22021006119</v>
      </c>
      <c r="E512" s="50" t="s">
        <v>1947</v>
      </c>
      <c r="F512" s="58">
        <v>197.1</v>
      </c>
      <c r="G512" s="50" t="s">
        <v>1313</v>
      </c>
      <c r="H512" s="50" t="s">
        <v>1092</v>
      </c>
      <c r="I512" s="49" t="s">
        <v>107</v>
      </c>
      <c r="J512" s="50" t="s">
        <v>171</v>
      </c>
      <c r="K512" s="50" t="s">
        <v>171</v>
      </c>
      <c r="L512" s="50" t="s">
        <v>12</v>
      </c>
      <c r="M512" s="50" t="s">
        <v>13</v>
      </c>
      <c r="N512" s="50" t="s">
        <v>14</v>
      </c>
      <c r="O512" s="48" t="s">
        <v>631</v>
      </c>
      <c r="P512" s="45" t="s">
        <v>453</v>
      </c>
      <c r="Q512" s="35" t="str">
        <f>MID(Tabla1[[#This Row],[Aplicación]],14,1)</f>
        <v>6</v>
      </c>
      <c r="R512" s="35" t="s">
        <v>442</v>
      </c>
      <c r="S512" s="35" t="str">
        <f>MID(Tabla1[[#This Row],[Aplicación]],6,2)</f>
        <v>06</v>
      </c>
      <c r="T512" s="35" t="str">
        <f>VLOOKUP(Tabla1[[#This Row],[AREA]],Hoja1!A:B,2,FALSE)</f>
        <v>06. Educación, infancia, juventud e igualdad</v>
      </c>
      <c r="U512" s="35" t="str">
        <f>MID(Tabla1[[#This Row],[Aplicación]],9,4)</f>
        <v>3231</v>
      </c>
      <c r="V512" s="35" t="str">
        <f>VLOOKUP(Tabla1[[#This Row],[PROGRAMA]],Hoja1!A:B,2,FALSE)</f>
        <v>3231. Escuelas infantiles</v>
      </c>
      <c r="W512" s="35" t="str">
        <f>MID(Tabla1[[#This Row],[Aplicación]],14,2)</f>
        <v>63</v>
      </c>
      <c r="X512" s="35" t="str">
        <f>MID(Tabla1[[#This Row],[Aplicación]],14,6)</f>
        <v>632</v>
      </c>
    </row>
    <row r="513" spans="1:24" x14ac:dyDescent="0.25">
      <c r="A513" s="49">
        <v>220210056284</v>
      </c>
      <c r="B513" s="50" t="s">
        <v>9</v>
      </c>
      <c r="C513" s="57">
        <v>44631</v>
      </c>
      <c r="D513" s="49">
        <v>22022002810</v>
      </c>
      <c r="E513" s="50" t="s">
        <v>1791</v>
      </c>
      <c r="F513" s="58">
        <v>128.37</v>
      </c>
      <c r="G513" s="50" t="s">
        <v>1313</v>
      </c>
      <c r="H513" s="50" t="s">
        <v>1093</v>
      </c>
      <c r="I513" s="49" t="s">
        <v>107</v>
      </c>
      <c r="J513" s="50" t="s">
        <v>171</v>
      </c>
      <c r="K513" s="50" t="s">
        <v>171</v>
      </c>
      <c r="L513" s="50" t="s">
        <v>12</v>
      </c>
      <c r="M513" s="50" t="s">
        <v>13</v>
      </c>
      <c r="N513" s="50" t="s">
        <v>14</v>
      </c>
      <c r="O513" s="48" t="s">
        <v>631</v>
      </c>
      <c r="P513" s="45" t="s">
        <v>453</v>
      </c>
      <c r="Q513" s="35" t="str">
        <f>MID(Tabla1[[#This Row],[Aplicación]],14,1)</f>
        <v>6</v>
      </c>
      <c r="R513" s="35" t="s">
        <v>442</v>
      </c>
      <c r="S513" s="35" t="str">
        <f>MID(Tabla1[[#This Row],[Aplicación]],6,2)</f>
        <v>11</v>
      </c>
      <c r="T513" s="35" t="str">
        <f>VLOOKUP(Tabla1[[#This Row],[AREA]],Hoja1!A:B,2,FALSE)</f>
        <v>11. Salud pública y seguridad ciudadana</v>
      </c>
      <c r="U513" s="35" t="str">
        <f>MID(Tabla1[[#This Row],[Aplicación]],9,4)</f>
        <v>1631</v>
      </c>
      <c r="V513" s="35" t="str">
        <f>VLOOKUP(Tabla1[[#This Row],[PROGRAMA]],Hoja1!A:B,2,FALSE)</f>
        <v>1631. Limpieza viaria</v>
      </c>
      <c r="W513" s="35" t="str">
        <f>MID(Tabla1[[#This Row],[Aplicación]],14,2)</f>
        <v>63</v>
      </c>
      <c r="X513" s="35" t="str">
        <f>MID(Tabla1[[#This Row],[Aplicación]],14,6)</f>
        <v>632</v>
      </c>
    </row>
    <row r="514" spans="1:24" x14ac:dyDescent="0.25">
      <c r="A514" s="49">
        <v>220210056289</v>
      </c>
      <c r="B514" s="50" t="s">
        <v>9</v>
      </c>
      <c r="C514" s="57">
        <v>44620</v>
      </c>
      <c r="D514" s="49">
        <v>22021005812</v>
      </c>
      <c r="E514" s="50" t="s">
        <v>1789</v>
      </c>
      <c r="F514" s="58">
        <v>104.03</v>
      </c>
      <c r="G514" s="50" t="s">
        <v>1313</v>
      </c>
      <c r="H514" s="50" t="s">
        <v>1094</v>
      </c>
      <c r="I514" s="49" t="s">
        <v>107</v>
      </c>
      <c r="J514" s="50" t="s">
        <v>171</v>
      </c>
      <c r="K514" s="50" t="s">
        <v>171</v>
      </c>
      <c r="L514" s="50" t="s">
        <v>25</v>
      </c>
      <c r="M514" s="50" t="s">
        <v>13</v>
      </c>
      <c r="N514" s="50" t="s">
        <v>14</v>
      </c>
      <c r="O514" s="48" t="s">
        <v>631</v>
      </c>
      <c r="P514" s="45" t="s">
        <v>453</v>
      </c>
      <c r="Q514" s="35" t="str">
        <f>MID(Tabla1[[#This Row],[Aplicación]],14,1)</f>
        <v>6</v>
      </c>
      <c r="R514" s="35" t="s">
        <v>442</v>
      </c>
      <c r="S514" s="35" t="str">
        <f>MID(Tabla1[[#This Row],[Aplicación]],6,2)</f>
        <v>10</v>
      </c>
      <c r="T514" s="35" t="str">
        <f>VLOOKUP(Tabla1[[#This Row],[AREA]],Hoja1!A:B,2,FALSE)</f>
        <v>10. Servicios sociales y mediación comunitaria</v>
      </c>
      <c r="U514" s="35" t="str">
        <f>MID(Tabla1[[#This Row],[Aplicación]],9,4)</f>
        <v>2311</v>
      </c>
      <c r="V514" s="35" t="str">
        <f>VLOOKUP(Tabla1[[#This Row],[PROGRAMA]],Hoja1!A:B,2,FALSE)</f>
        <v>2311. Intervención social</v>
      </c>
      <c r="W514" s="35" t="str">
        <f>MID(Tabla1[[#This Row],[Aplicación]],14,2)</f>
        <v>63</v>
      </c>
      <c r="X514" s="35" t="str">
        <f>MID(Tabla1[[#This Row],[Aplicación]],14,6)</f>
        <v>632</v>
      </c>
    </row>
    <row r="515" spans="1:24" x14ac:dyDescent="0.25">
      <c r="A515" s="49">
        <v>220210084926</v>
      </c>
      <c r="B515" s="50" t="s">
        <v>9</v>
      </c>
      <c r="C515" s="57">
        <v>44620</v>
      </c>
      <c r="D515" s="49">
        <v>22021005726</v>
      </c>
      <c r="E515" s="50" t="s">
        <v>1368</v>
      </c>
      <c r="F515" s="58">
        <v>544.45000000000005</v>
      </c>
      <c r="G515" s="50" t="s">
        <v>1313</v>
      </c>
      <c r="H515" s="50" t="s">
        <v>1316</v>
      </c>
      <c r="I515" s="49" t="s">
        <v>107</v>
      </c>
      <c r="J515" s="50" t="s">
        <v>171</v>
      </c>
      <c r="K515" s="50" t="s">
        <v>171</v>
      </c>
      <c r="L515" s="50" t="s">
        <v>12</v>
      </c>
      <c r="M515" s="50" t="s">
        <v>13</v>
      </c>
      <c r="N515" s="50" t="s">
        <v>14</v>
      </c>
      <c r="O515" s="48" t="s">
        <v>631</v>
      </c>
      <c r="P515" s="45" t="s">
        <v>453</v>
      </c>
      <c r="Q515" s="35" t="str">
        <f>MID(Tabla1[[#This Row],[Aplicación]],14,1)</f>
        <v>6</v>
      </c>
      <c r="R515" s="35" t="s">
        <v>442</v>
      </c>
      <c r="S515" s="35" t="str">
        <f>MID(Tabla1[[#This Row],[Aplicación]],6,2)</f>
        <v>08</v>
      </c>
      <c r="T515" s="35" t="str">
        <f>VLOOKUP(Tabla1[[#This Row],[AREA]],Hoja1!A:B,2,FALSE)</f>
        <v>08. Movilidad y espacio urbano</v>
      </c>
      <c r="U515" s="35" t="str">
        <f>MID(Tabla1[[#This Row],[Aplicación]],9,4)</f>
        <v>1532</v>
      </c>
      <c r="V515" s="35" t="str">
        <f>VLOOKUP(Tabla1[[#This Row],[PROGRAMA]],Hoja1!A:B,2,FALSE)</f>
        <v>1532. Pavimentación vias públicas y otros servicios urbanísticos</v>
      </c>
      <c r="W515" s="35" t="str">
        <f>MID(Tabla1[[#This Row],[Aplicación]],14,2)</f>
        <v>61</v>
      </c>
      <c r="X515" s="35" t="str">
        <f>MID(Tabla1[[#This Row],[Aplicación]],14,6)</f>
        <v>619</v>
      </c>
    </row>
    <row r="516" spans="1:24" x14ac:dyDescent="0.25">
      <c r="A516" s="49">
        <v>220219000656</v>
      </c>
      <c r="B516" s="50" t="s">
        <v>9</v>
      </c>
      <c r="C516" s="57">
        <v>44562</v>
      </c>
      <c r="D516" s="49">
        <v>22022002081</v>
      </c>
      <c r="E516" s="50" t="s">
        <v>1755</v>
      </c>
      <c r="F516" s="58">
        <v>394.9</v>
      </c>
      <c r="G516" s="50" t="s">
        <v>1313</v>
      </c>
      <c r="H516" s="50" t="s">
        <v>1076</v>
      </c>
      <c r="I516" s="49" t="s">
        <v>107</v>
      </c>
      <c r="J516" s="50" t="s">
        <v>171</v>
      </c>
      <c r="K516" s="50" t="s">
        <v>171</v>
      </c>
      <c r="L516" s="50" t="s">
        <v>25</v>
      </c>
      <c r="M516" s="50" t="s">
        <v>13</v>
      </c>
      <c r="N516" s="50" t="s">
        <v>14</v>
      </c>
      <c r="O516" s="48" t="s">
        <v>631</v>
      </c>
      <c r="P516" s="45" t="s">
        <v>453</v>
      </c>
      <c r="Q516" s="35" t="str">
        <f>MID(Tabla1[[#This Row],[Aplicación]],14,1)</f>
        <v>6</v>
      </c>
      <c r="R516" s="35" t="s">
        <v>442</v>
      </c>
      <c r="S516" s="35" t="str">
        <f>MID(Tabla1[[#This Row],[Aplicación]],6,2)</f>
        <v>05</v>
      </c>
      <c r="T516" s="35" t="str">
        <f>VLOOKUP(Tabla1[[#This Row],[AREA]],Hoja1!A:B,2,FALSE)</f>
        <v>05. Innovación, desarrollo económico, empleo y comercio</v>
      </c>
      <c r="U516" s="35" t="str">
        <f>MID(Tabla1[[#This Row],[Aplicación]],9,4)</f>
        <v>4331</v>
      </c>
      <c r="V516" s="35" t="str">
        <f>VLOOKUP(Tabla1[[#This Row],[PROGRAMA]],Hoja1!A:B,2,FALSE)</f>
        <v>4331. Desarrollo empresarial</v>
      </c>
      <c r="W516" s="35" t="str">
        <f>MID(Tabla1[[#This Row],[Aplicación]],14,2)</f>
        <v>62</v>
      </c>
      <c r="X516" s="35" t="str">
        <f>MID(Tabla1[[#This Row],[Aplicación]],14,6)</f>
        <v>622</v>
      </c>
    </row>
    <row r="517" spans="1:24" x14ac:dyDescent="0.25">
      <c r="A517" s="44">
        <v>220219000706</v>
      </c>
      <c r="B517" s="45" t="s">
        <v>9</v>
      </c>
      <c r="C517" s="46">
        <v>44562</v>
      </c>
      <c r="D517" s="44">
        <v>22022002006</v>
      </c>
      <c r="E517" s="45" t="s">
        <v>1399</v>
      </c>
      <c r="F517" s="47">
        <v>61297.68</v>
      </c>
      <c r="G517" s="45" t="s">
        <v>1313</v>
      </c>
      <c r="H517" s="45" t="s">
        <v>1948</v>
      </c>
      <c r="I517" s="44" t="s">
        <v>107</v>
      </c>
      <c r="J517" s="45" t="s">
        <v>171</v>
      </c>
      <c r="K517" s="45" t="s">
        <v>171</v>
      </c>
      <c r="L517" s="45" t="s">
        <v>12</v>
      </c>
      <c r="M517" s="45" t="s">
        <v>13</v>
      </c>
      <c r="N517" s="45" t="s">
        <v>14</v>
      </c>
      <c r="O517" s="48" t="s">
        <v>620</v>
      </c>
      <c r="P517" s="45" t="s">
        <v>453</v>
      </c>
      <c r="Q517" s="35" t="str">
        <f>MID(Tabla1[[#This Row],[Aplicación]],14,1)</f>
        <v>6</v>
      </c>
      <c r="R517" s="35" t="s">
        <v>442</v>
      </c>
      <c r="S517" s="35" t="str">
        <f>MID(Tabla1[[#This Row],[Aplicación]],6,2)</f>
        <v>02</v>
      </c>
      <c r="T517" s="35" t="str">
        <f>VLOOKUP(Tabla1[[#This Row],[AREA]],Hoja1!A:B,2,FALSE)</f>
        <v>02. Planeamiento urbanístico y vivienda</v>
      </c>
      <c r="U517" s="35" t="str">
        <f>MID(Tabla1[[#This Row],[Aplicación]],9,4)</f>
        <v>1511</v>
      </c>
      <c r="V517" s="35" t="str">
        <f>VLOOKUP(Tabla1[[#This Row],[PROGRAMA]],Hoja1!A:B,2,FALSE)</f>
        <v>1511. Planficación y gestión del urbanismo</v>
      </c>
      <c r="W517" s="35" t="str">
        <f>MID(Tabla1[[#This Row],[Aplicación]],14,2)</f>
        <v>60</v>
      </c>
      <c r="X517" s="35" t="str">
        <f>MID(Tabla1[[#This Row],[Aplicación]],14,6)</f>
        <v>609</v>
      </c>
    </row>
    <row r="518" spans="1:24" x14ac:dyDescent="0.25">
      <c r="A518" s="49">
        <v>220219000772</v>
      </c>
      <c r="B518" s="50" t="s">
        <v>9</v>
      </c>
      <c r="C518" s="57">
        <v>44562</v>
      </c>
      <c r="D518" s="49">
        <v>22022002209</v>
      </c>
      <c r="E518" s="50" t="s">
        <v>1374</v>
      </c>
      <c r="F518" s="58">
        <v>1357.14</v>
      </c>
      <c r="G518" s="50" t="s">
        <v>1313</v>
      </c>
      <c r="H518" s="50" t="s">
        <v>1949</v>
      </c>
      <c r="I518" s="49" t="s">
        <v>107</v>
      </c>
      <c r="J518" s="50" t="s">
        <v>171</v>
      </c>
      <c r="K518" s="50" t="s">
        <v>171</v>
      </c>
      <c r="L518" s="50" t="s">
        <v>12</v>
      </c>
      <c r="M518" s="50" t="s">
        <v>13</v>
      </c>
      <c r="N518" s="50" t="s">
        <v>14</v>
      </c>
      <c r="O518" s="48" t="s">
        <v>631</v>
      </c>
      <c r="P518" s="45" t="s">
        <v>453</v>
      </c>
      <c r="Q518" s="35" t="str">
        <f>MID(Tabla1[[#This Row],[Aplicación]],14,1)</f>
        <v>6</v>
      </c>
      <c r="R518" s="35" t="s">
        <v>442</v>
      </c>
      <c r="S518" s="35" t="str">
        <f>MID(Tabla1[[#This Row],[Aplicación]],6,2)</f>
        <v>08</v>
      </c>
      <c r="T518" s="35" t="str">
        <f>VLOOKUP(Tabla1[[#This Row],[AREA]],Hoja1!A:B,2,FALSE)</f>
        <v>08. Movilidad y espacio urbano</v>
      </c>
      <c r="U518" s="35" t="str">
        <f>MID(Tabla1[[#This Row],[Aplicación]],9,4)</f>
        <v>1651</v>
      </c>
      <c r="V518" s="35" t="str">
        <f>VLOOKUP(Tabla1[[#This Row],[PROGRAMA]],Hoja1!A:B,2,FALSE)</f>
        <v>1651. Alumbrado público</v>
      </c>
      <c r="W518" s="35" t="str">
        <f>MID(Tabla1[[#This Row],[Aplicación]],14,2)</f>
        <v>61</v>
      </c>
      <c r="X518" s="35" t="str">
        <f>MID(Tabla1[[#This Row],[Aplicación]],14,6)</f>
        <v>619</v>
      </c>
    </row>
    <row r="519" spans="1:24" x14ac:dyDescent="0.25">
      <c r="A519" s="49">
        <v>220219000838</v>
      </c>
      <c r="B519" s="50" t="s">
        <v>9</v>
      </c>
      <c r="C519" s="57">
        <v>44562</v>
      </c>
      <c r="D519" s="49">
        <v>22022002210</v>
      </c>
      <c r="E519" s="50" t="s">
        <v>1368</v>
      </c>
      <c r="F519" s="58">
        <v>2000</v>
      </c>
      <c r="G519" s="50" t="s">
        <v>1313</v>
      </c>
      <c r="H519" s="50" t="s">
        <v>1950</v>
      </c>
      <c r="I519" s="49" t="s">
        <v>107</v>
      </c>
      <c r="J519" s="50" t="s">
        <v>171</v>
      </c>
      <c r="K519" s="50" t="s">
        <v>171</v>
      </c>
      <c r="L519" s="50" t="s">
        <v>12</v>
      </c>
      <c r="M519" s="50" t="s">
        <v>13</v>
      </c>
      <c r="N519" s="50" t="s">
        <v>14</v>
      </c>
      <c r="O519" s="48" t="s">
        <v>631</v>
      </c>
      <c r="P519" s="45" t="s">
        <v>453</v>
      </c>
      <c r="Q519" s="35" t="str">
        <f>MID(Tabla1[[#This Row],[Aplicación]],14,1)</f>
        <v>6</v>
      </c>
      <c r="R519" s="35" t="s">
        <v>442</v>
      </c>
      <c r="S519" s="35" t="str">
        <f>MID(Tabla1[[#This Row],[Aplicación]],6,2)</f>
        <v>08</v>
      </c>
      <c r="T519" s="35" t="str">
        <f>VLOOKUP(Tabla1[[#This Row],[AREA]],Hoja1!A:B,2,FALSE)</f>
        <v>08. Movilidad y espacio urbano</v>
      </c>
      <c r="U519" s="35" t="str">
        <f>MID(Tabla1[[#This Row],[Aplicación]],9,4)</f>
        <v>1532</v>
      </c>
      <c r="V519" s="35" t="str">
        <f>VLOOKUP(Tabla1[[#This Row],[PROGRAMA]],Hoja1!A:B,2,FALSE)</f>
        <v>1532. Pavimentación vias públicas y otros servicios urbanísticos</v>
      </c>
      <c r="W519" s="35" t="str">
        <f>MID(Tabla1[[#This Row],[Aplicación]],14,2)</f>
        <v>61</v>
      </c>
      <c r="X519" s="35" t="str">
        <f>MID(Tabla1[[#This Row],[Aplicación]],14,6)</f>
        <v>619</v>
      </c>
    </row>
    <row r="520" spans="1:24" x14ac:dyDescent="0.25">
      <c r="A520" s="49">
        <v>220219000900</v>
      </c>
      <c r="B520" s="50" t="s">
        <v>9</v>
      </c>
      <c r="C520" s="57">
        <v>44562</v>
      </c>
      <c r="D520" s="49">
        <v>22022002155</v>
      </c>
      <c r="E520" s="50" t="s">
        <v>1395</v>
      </c>
      <c r="F520" s="58">
        <v>2587</v>
      </c>
      <c r="G520" s="50" t="s">
        <v>1313</v>
      </c>
      <c r="H520" s="50" t="s">
        <v>1951</v>
      </c>
      <c r="I520" s="49" t="s">
        <v>107</v>
      </c>
      <c r="J520" s="50" t="s">
        <v>171</v>
      </c>
      <c r="K520" s="50" t="s">
        <v>171</v>
      </c>
      <c r="L520" s="50" t="s">
        <v>12</v>
      </c>
      <c r="M520" s="50" t="s">
        <v>13</v>
      </c>
      <c r="N520" s="50" t="s">
        <v>14</v>
      </c>
      <c r="O520" s="48" t="s">
        <v>631</v>
      </c>
      <c r="P520" s="45" t="s">
        <v>453</v>
      </c>
      <c r="Q520" s="35" t="str">
        <f>MID(Tabla1[[#This Row],[Aplicación]],14,1)</f>
        <v>6</v>
      </c>
      <c r="R520" s="35" t="s">
        <v>442</v>
      </c>
      <c r="S520" s="35" t="str">
        <f>MID(Tabla1[[#This Row],[Aplicación]],6,2)</f>
        <v>06</v>
      </c>
      <c r="T520" s="35" t="str">
        <f>VLOOKUP(Tabla1[[#This Row],[AREA]],Hoja1!A:B,2,FALSE)</f>
        <v>06. Educación, infancia, juventud e igualdad</v>
      </c>
      <c r="U520" s="35" t="str">
        <f>MID(Tabla1[[#This Row],[Aplicación]],9,4)</f>
        <v>3231</v>
      </c>
      <c r="V520" s="35" t="str">
        <f>VLOOKUP(Tabla1[[#This Row],[PROGRAMA]],Hoja1!A:B,2,FALSE)</f>
        <v>3231. Escuelas infantiles</v>
      </c>
      <c r="W520" s="35" t="str">
        <f>MID(Tabla1[[#This Row],[Aplicación]],14,2)</f>
        <v>62</v>
      </c>
      <c r="X520" s="35" t="str">
        <f>MID(Tabla1[[#This Row],[Aplicación]],14,6)</f>
        <v>622</v>
      </c>
    </row>
    <row r="521" spans="1:24" x14ac:dyDescent="0.25">
      <c r="A521" s="49">
        <v>220210077216</v>
      </c>
      <c r="B521" s="50" t="s">
        <v>9</v>
      </c>
      <c r="C521" s="57">
        <v>44620</v>
      </c>
      <c r="D521" s="49">
        <v>22021008090</v>
      </c>
      <c r="E521" s="50" t="s">
        <v>1946</v>
      </c>
      <c r="F521" s="58">
        <v>189.57</v>
      </c>
      <c r="G521" s="50" t="s">
        <v>1313</v>
      </c>
      <c r="H521" s="50" t="s">
        <v>1215</v>
      </c>
      <c r="I521" s="49" t="s">
        <v>107</v>
      </c>
      <c r="J521" s="50" t="s">
        <v>171</v>
      </c>
      <c r="K521" s="50" t="s">
        <v>171</v>
      </c>
      <c r="L521" s="50" t="s">
        <v>12</v>
      </c>
      <c r="M521" s="50" t="s">
        <v>13</v>
      </c>
      <c r="N521" s="50" t="s">
        <v>14</v>
      </c>
      <c r="O521" s="48" t="s">
        <v>631</v>
      </c>
      <c r="P521" s="45" t="s">
        <v>453</v>
      </c>
      <c r="Q521" s="35" t="str">
        <f>MID(Tabla1[[#This Row],[Aplicación]],14,1)</f>
        <v>6</v>
      </c>
      <c r="R521" s="35" t="s">
        <v>442</v>
      </c>
      <c r="S521" s="35" t="str">
        <f>MID(Tabla1[[#This Row],[Aplicación]],6,2)</f>
        <v>06</v>
      </c>
      <c r="T521" s="35" t="str">
        <f>VLOOKUP(Tabla1[[#This Row],[AREA]],Hoja1!A:B,2,FALSE)</f>
        <v>06. Educación, infancia, juventud e igualdad</v>
      </c>
      <c r="U521" s="35" t="str">
        <f>MID(Tabla1[[#This Row],[Aplicación]],9,4)</f>
        <v>3232</v>
      </c>
      <c r="V521" s="35" t="str">
        <f>VLOOKUP(Tabla1[[#This Row],[PROGRAMA]],Hoja1!A:B,2,FALSE)</f>
        <v>3232. Conservación y mantenimiento centros educación infantil y primaria</v>
      </c>
      <c r="W521" s="35" t="str">
        <f>MID(Tabla1[[#This Row],[Aplicación]],14,2)</f>
        <v>63</v>
      </c>
      <c r="X521" s="35" t="str">
        <f>MID(Tabla1[[#This Row],[Aplicación]],14,6)</f>
        <v>632</v>
      </c>
    </row>
    <row r="522" spans="1:24" x14ac:dyDescent="0.25">
      <c r="A522" s="49">
        <v>220220007916</v>
      </c>
      <c r="B522" s="50" t="s">
        <v>172</v>
      </c>
      <c r="C522" s="57">
        <v>44627</v>
      </c>
      <c r="D522" s="49">
        <v>22022002032</v>
      </c>
      <c r="E522" s="50" t="s">
        <v>1362</v>
      </c>
      <c r="F522" s="58">
        <v>8367.94</v>
      </c>
      <c r="G522" s="50" t="s">
        <v>1313</v>
      </c>
      <c r="H522" s="50" t="s">
        <v>1952</v>
      </c>
      <c r="I522" s="49" t="s">
        <v>173</v>
      </c>
      <c r="J522" s="50" t="s">
        <v>171</v>
      </c>
      <c r="K522" s="50" t="s">
        <v>171</v>
      </c>
      <c r="L522" s="50" t="s">
        <v>12</v>
      </c>
      <c r="M522" s="50" t="s">
        <v>13</v>
      </c>
      <c r="N522" s="50" t="s">
        <v>16</v>
      </c>
      <c r="O522" s="48" t="s">
        <v>631</v>
      </c>
      <c r="P522" s="45" t="s">
        <v>453</v>
      </c>
      <c r="Q522" s="35" t="str">
        <f>MID(Tabla1[[#This Row],[Aplicación]],14,1)</f>
        <v>6</v>
      </c>
      <c r="R522" s="35" t="s">
        <v>442</v>
      </c>
      <c r="S522" s="35" t="str">
        <f>MID(Tabla1[[#This Row],[Aplicación]],6,2)</f>
        <v>08</v>
      </c>
      <c r="T522" s="35" t="str">
        <f>VLOOKUP(Tabla1[[#This Row],[AREA]],Hoja1!A:B,2,FALSE)</f>
        <v>08. Movilidad y espacio urbano</v>
      </c>
      <c r="U522" s="35" t="str">
        <f>MID(Tabla1[[#This Row],[Aplicación]],9,4)</f>
        <v>1341</v>
      </c>
      <c r="V522" s="35" t="str">
        <f>VLOOKUP(Tabla1[[#This Row],[PROGRAMA]],Hoja1!A:B,2,FALSE)</f>
        <v>1341. Movilidad</v>
      </c>
      <c r="W522" s="35" t="str">
        <f>MID(Tabla1[[#This Row],[Aplicación]],14,2)</f>
        <v>60</v>
      </c>
      <c r="X522" s="35" t="str">
        <f>MID(Tabla1[[#This Row],[Aplicación]],14,6)</f>
        <v>609</v>
      </c>
    </row>
    <row r="523" spans="1:24" x14ac:dyDescent="0.25">
      <c r="A523" s="49">
        <v>220210081394</v>
      </c>
      <c r="B523" s="50" t="s">
        <v>9</v>
      </c>
      <c r="C523" s="57">
        <v>44620</v>
      </c>
      <c r="D523" s="49">
        <v>22021007258</v>
      </c>
      <c r="E523" s="50" t="s">
        <v>1410</v>
      </c>
      <c r="F523" s="58">
        <v>3027.9</v>
      </c>
      <c r="G523" s="50" t="s">
        <v>1313</v>
      </c>
      <c r="H523" s="50" t="s">
        <v>1314</v>
      </c>
      <c r="I523" s="49" t="s">
        <v>107</v>
      </c>
      <c r="J523" s="50" t="s">
        <v>171</v>
      </c>
      <c r="K523" s="50" t="s">
        <v>171</v>
      </c>
      <c r="L523" s="50" t="s">
        <v>12</v>
      </c>
      <c r="M523" s="50" t="s">
        <v>13</v>
      </c>
      <c r="N523" s="50" t="s">
        <v>14</v>
      </c>
      <c r="O523" s="48" t="s">
        <v>631</v>
      </c>
      <c r="P523" s="45" t="s">
        <v>453</v>
      </c>
      <c r="Q523" s="35" t="str">
        <f>MID(Tabla1[[#This Row],[Aplicación]],14,1)</f>
        <v>6</v>
      </c>
      <c r="R523" s="35" t="s">
        <v>442</v>
      </c>
      <c r="S523" s="35" t="str">
        <f>MID(Tabla1[[#This Row],[Aplicación]],6,2)</f>
        <v>03</v>
      </c>
      <c r="T523" s="35" t="str">
        <f>VLOOKUP(Tabla1[[#This Row],[AREA]],Hoja1!A:B,2,FALSE)</f>
        <v>03. Participación ciudadana y deportes</v>
      </c>
      <c r="U523" s="35" t="str">
        <f>MID(Tabla1[[#This Row],[Aplicación]],9,4)</f>
        <v>9241</v>
      </c>
      <c r="V523" s="35" t="str">
        <f>VLOOKUP(Tabla1[[#This Row],[PROGRAMA]],Hoja1!A:B,2,FALSE)</f>
        <v>9241. Participación ciudadana</v>
      </c>
      <c r="W523" s="35" t="str">
        <f>MID(Tabla1[[#This Row],[Aplicación]],14,2)</f>
        <v>63</v>
      </c>
      <c r="X523" s="35" t="str">
        <f>MID(Tabla1[[#This Row],[Aplicación]],14,6)</f>
        <v>632</v>
      </c>
    </row>
    <row r="524" spans="1:24" x14ac:dyDescent="0.25">
      <c r="A524" s="49">
        <v>220220003492</v>
      </c>
      <c r="B524" s="50" t="s">
        <v>9</v>
      </c>
      <c r="C524" s="57">
        <v>44606</v>
      </c>
      <c r="D524" s="49">
        <v>22022002112</v>
      </c>
      <c r="E524" s="50" t="s">
        <v>1953</v>
      </c>
      <c r="F524" s="58">
        <v>107</v>
      </c>
      <c r="G524" s="50" t="s">
        <v>1313</v>
      </c>
      <c r="H524" s="50" t="s">
        <v>1954</v>
      </c>
      <c r="I524" s="49" t="s">
        <v>107</v>
      </c>
      <c r="J524" s="50" t="s">
        <v>171</v>
      </c>
      <c r="K524" s="50" t="s">
        <v>171</v>
      </c>
      <c r="L524" s="50" t="s">
        <v>12</v>
      </c>
      <c r="M524" s="50" t="s">
        <v>10</v>
      </c>
      <c r="N524" s="50" t="s">
        <v>11</v>
      </c>
      <c r="O524" s="48" t="s">
        <v>632</v>
      </c>
      <c r="P524" s="45" t="s">
        <v>453</v>
      </c>
      <c r="Q524" s="35" t="str">
        <f>MID(Tabla1[[#This Row],[Aplicación]],14,1)</f>
        <v>2</v>
      </c>
      <c r="R524" s="35" t="s">
        <v>441</v>
      </c>
      <c r="S524" s="35" t="str">
        <f>MID(Tabla1[[#This Row],[Aplicación]],6,2)</f>
        <v>03</v>
      </c>
      <c r="T524" s="35" t="str">
        <f>VLOOKUP(Tabla1[[#This Row],[AREA]],Hoja1!A:B,2,FALSE)</f>
        <v>03. Participación ciudadana y deportes</v>
      </c>
      <c r="U524" s="35" t="str">
        <f>MID(Tabla1[[#This Row],[Aplicación]],9,4)</f>
        <v>9241</v>
      </c>
      <c r="V524" s="35" t="str">
        <f>VLOOKUP(Tabla1[[#This Row],[PROGRAMA]],Hoja1!A:B,2,FALSE)</f>
        <v>9241. Participación ciudadana</v>
      </c>
      <c r="W524" s="35" t="str">
        <f>MID(Tabla1[[#This Row],[Aplicación]],14,2)</f>
        <v>22</v>
      </c>
      <c r="X524" s="35" t="str">
        <f>MID(Tabla1[[#This Row],[Aplicación]],14,6)</f>
        <v>22706</v>
      </c>
    </row>
    <row r="525" spans="1:24" x14ac:dyDescent="0.25">
      <c r="A525" s="49">
        <v>220220013252</v>
      </c>
      <c r="B525" s="50" t="s">
        <v>172</v>
      </c>
      <c r="C525" s="57">
        <v>44650</v>
      </c>
      <c r="D525" s="49">
        <v>22022002363</v>
      </c>
      <c r="E525" s="50" t="s">
        <v>1955</v>
      </c>
      <c r="F525" s="58">
        <v>15.75</v>
      </c>
      <c r="G525" s="50" t="s">
        <v>85</v>
      </c>
      <c r="H525" s="50" t="s">
        <v>1956</v>
      </c>
      <c r="I525" s="49" t="s">
        <v>173</v>
      </c>
      <c r="J525" s="50" t="s">
        <v>109</v>
      </c>
      <c r="K525" s="50" t="s">
        <v>109</v>
      </c>
      <c r="L525" s="50" t="s">
        <v>15</v>
      </c>
      <c r="M525" s="50" t="s">
        <v>13</v>
      </c>
      <c r="N525" s="50" t="s">
        <v>14</v>
      </c>
      <c r="O525" s="48" t="s">
        <v>631</v>
      </c>
      <c r="P525" s="45" t="s">
        <v>453</v>
      </c>
      <c r="Q525" s="35" t="str">
        <f>MID(Tabla1[[#This Row],[Aplicación]],14,1)</f>
        <v>2</v>
      </c>
      <c r="R525" s="35" t="s">
        <v>441</v>
      </c>
      <c r="S525" s="35" t="str">
        <f>MID(Tabla1[[#This Row],[Aplicación]],6,2)</f>
        <v>07</v>
      </c>
      <c r="T525" s="35" t="str">
        <f>VLOOKUP(Tabla1[[#This Row],[AREA]],Hoja1!A:B,2,FALSE)</f>
        <v>07. Medio ambiente y desarrollo sostenible</v>
      </c>
      <c r="U525" s="35" t="str">
        <f>MID(Tabla1[[#This Row],[Aplicación]],9,4)</f>
        <v>1721</v>
      </c>
      <c r="V525" s="35" t="str">
        <f>VLOOKUP(Tabla1[[#This Row],[PROGRAMA]],Hoja1!A:B,2,FALSE)</f>
        <v>1721. Protección del medio ambiente</v>
      </c>
      <c r="W525" s="35" t="str">
        <f>MID(Tabla1[[#This Row],[Aplicación]],14,2)</f>
        <v>22</v>
      </c>
      <c r="X525" s="35" t="str">
        <f>MID(Tabla1[[#This Row],[Aplicación]],14,6)</f>
        <v>22112</v>
      </c>
    </row>
    <row r="526" spans="1:24" x14ac:dyDescent="0.25">
      <c r="A526" s="49">
        <v>220220003513</v>
      </c>
      <c r="B526" s="50" t="s">
        <v>9</v>
      </c>
      <c r="C526" s="57">
        <v>44606</v>
      </c>
      <c r="D526" s="49">
        <v>22022001925</v>
      </c>
      <c r="E526" s="50" t="s">
        <v>1676</v>
      </c>
      <c r="F526" s="58">
        <v>24667.89</v>
      </c>
      <c r="G526" s="50" t="s">
        <v>901</v>
      </c>
      <c r="H526" s="50" t="s">
        <v>1957</v>
      </c>
      <c r="I526" s="49" t="s">
        <v>107</v>
      </c>
      <c r="J526" s="50" t="s">
        <v>109</v>
      </c>
      <c r="K526" s="50" t="s">
        <v>109</v>
      </c>
      <c r="L526" s="50" t="s">
        <v>15</v>
      </c>
      <c r="M526" s="50" t="s">
        <v>13</v>
      </c>
      <c r="N526" s="50" t="s">
        <v>14</v>
      </c>
      <c r="O526" s="48" t="s">
        <v>620</v>
      </c>
      <c r="P526" s="45" t="s">
        <v>453</v>
      </c>
      <c r="Q526" s="35" t="str">
        <f>MID(Tabla1[[#This Row],[Aplicación]],14,1)</f>
        <v>6</v>
      </c>
      <c r="R526" s="35" t="s">
        <v>442</v>
      </c>
      <c r="S526" s="35" t="str">
        <f>MID(Tabla1[[#This Row],[Aplicación]],6,2)</f>
        <v>04</v>
      </c>
      <c r="T526" s="35" t="str">
        <f>VLOOKUP(Tabla1[[#This Row],[AREA]],Hoja1!A:B,2,FALSE)</f>
        <v>04. Planificación y recursos</v>
      </c>
      <c r="U526" s="35" t="str">
        <f>MID(Tabla1[[#This Row],[Aplicación]],9,4)</f>
        <v>9204</v>
      </c>
      <c r="V526" s="35" t="str">
        <f>VLOOKUP(Tabla1[[#This Row],[PROGRAMA]],Hoja1!A:B,2,FALSE)</f>
        <v>9204. Tecnologías de la información y comunicación</v>
      </c>
      <c r="W526" s="35" t="str">
        <f>MID(Tabla1[[#This Row],[Aplicación]],14,2)</f>
        <v>64</v>
      </c>
      <c r="X526" s="35" t="str">
        <f>MID(Tabla1[[#This Row],[Aplicación]],14,6)</f>
        <v>641</v>
      </c>
    </row>
    <row r="527" spans="1:24" x14ac:dyDescent="0.25">
      <c r="A527" s="49">
        <v>220220013250</v>
      </c>
      <c r="B527" s="50" t="s">
        <v>172</v>
      </c>
      <c r="C527" s="57">
        <v>44650</v>
      </c>
      <c r="D527" s="49">
        <v>22022002363</v>
      </c>
      <c r="E527" s="50" t="s">
        <v>1955</v>
      </c>
      <c r="F527" s="58">
        <v>13.1</v>
      </c>
      <c r="G527" s="50" t="s">
        <v>85</v>
      </c>
      <c r="H527" s="50" t="s">
        <v>1958</v>
      </c>
      <c r="I527" s="49" t="s">
        <v>173</v>
      </c>
      <c r="J527" s="50" t="s">
        <v>109</v>
      </c>
      <c r="K527" s="50" t="s">
        <v>109</v>
      </c>
      <c r="L527" s="50" t="s">
        <v>15</v>
      </c>
      <c r="M527" s="50" t="s">
        <v>13</v>
      </c>
      <c r="N527" s="50" t="s">
        <v>14</v>
      </c>
      <c r="O527" s="48" t="s">
        <v>631</v>
      </c>
      <c r="P527" s="45" t="s">
        <v>453</v>
      </c>
      <c r="Q527" s="35" t="str">
        <f>MID(Tabla1[[#This Row],[Aplicación]],14,1)</f>
        <v>2</v>
      </c>
      <c r="R527" s="35" t="s">
        <v>441</v>
      </c>
      <c r="S527" s="35" t="str">
        <f>MID(Tabla1[[#This Row],[Aplicación]],6,2)</f>
        <v>07</v>
      </c>
      <c r="T527" s="35" t="str">
        <f>VLOOKUP(Tabla1[[#This Row],[AREA]],Hoja1!A:B,2,FALSE)</f>
        <v>07. Medio ambiente y desarrollo sostenible</v>
      </c>
      <c r="U527" s="35" t="str">
        <f>MID(Tabla1[[#This Row],[Aplicación]],9,4)</f>
        <v>1721</v>
      </c>
      <c r="V527" s="35" t="str">
        <f>VLOOKUP(Tabla1[[#This Row],[PROGRAMA]],Hoja1!A:B,2,FALSE)</f>
        <v>1721. Protección del medio ambiente</v>
      </c>
      <c r="W527" s="35" t="str">
        <f>MID(Tabla1[[#This Row],[Aplicación]],14,2)</f>
        <v>22</v>
      </c>
      <c r="X527" s="35" t="str">
        <f>MID(Tabla1[[#This Row],[Aplicación]],14,6)</f>
        <v>22112</v>
      </c>
    </row>
    <row r="528" spans="1:24" x14ac:dyDescent="0.25">
      <c r="A528" s="49">
        <v>220220006753</v>
      </c>
      <c r="B528" s="50" t="s">
        <v>172</v>
      </c>
      <c r="C528" s="57">
        <v>44622</v>
      </c>
      <c r="D528" s="49">
        <v>22022001623</v>
      </c>
      <c r="E528" s="50" t="s">
        <v>1606</v>
      </c>
      <c r="F528" s="58">
        <v>12.62</v>
      </c>
      <c r="G528" s="50" t="s">
        <v>85</v>
      </c>
      <c r="H528" s="50" t="s">
        <v>1959</v>
      </c>
      <c r="I528" s="49" t="s">
        <v>173</v>
      </c>
      <c r="J528" s="50" t="s">
        <v>109</v>
      </c>
      <c r="K528" s="50" t="s">
        <v>109</v>
      </c>
      <c r="L528" s="50" t="s">
        <v>15</v>
      </c>
      <c r="M528" s="50" t="s">
        <v>13</v>
      </c>
      <c r="N528" s="50" t="s">
        <v>14</v>
      </c>
      <c r="O528" s="48" t="s">
        <v>631</v>
      </c>
      <c r="P528" s="45" t="s">
        <v>453</v>
      </c>
      <c r="Q528" s="35" t="str">
        <f>MID(Tabla1[[#This Row],[Aplicación]],14,1)</f>
        <v>2</v>
      </c>
      <c r="R528" s="35" t="s">
        <v>441</v>
      </c>
      <c r="S528" s="35" t="str">
        <f>MID(Tabla1[[#This Row],[Aplicación]],6,2)</f>
        <v>11</v>
      </c>
      <c r="T528" s="35" t="str">
        <f>VLOOKUP(Tabla1[[#This Row],[AREA]],Hoja1!A:B,2,FALSE)</f>
        <v>11. Salud pública y seguridad ciudadana</v>
      </c>
      <c r="U528" s="35" t="str">
        <f>MID(Tabla1[[#This Row],[Aplicación]],9,4)</f>
        <v>1361</v>
      </c>
      <c r="V528" s="35" t="str">
        <f>VLOOKUP(Tabla1[[#This Row],[PROGRAMA]],Hoja1!A:B,2,FALSE)</f>
        <v>1361. Prevención y extinción de incencios</v>
      </c>
      <c r="W528" s="35" t="str">
        <f>MID(Tabla1[[#This Row],[Aplicación]],14,2)</f>
        <v>22</v>
      </c>
      <c r="X528" s="35" t="str">
        <f>MID(Tabla1[[#This Row],[Aplicación]],14,6)</f>
        <v>22199</v>
      </c>
    </row>
    <row r="529" spans="1:24" x14ac:dyDescent="0.25">
      <c r="A529" s="49">
        <v>220219000884</v>
      </c>
      <c r="B529" s="50" t="s">
        <v>9</v>
      </c>
      <c r="C529" s="57">
        <v>44562</v>
      </c>
      <c r="D529" s="49">
        <v>22022000102</v>
      </c>
      <c r="E529" s="50" t="s">
        <v>1903</v>
      </c>
      <c r="F529" s="58">
        <v>3630</v>
      </c>
      <c r="G529" s="50" t="s">
        <v>1200</v>
      </c>
      <c r="H529" s="50" t="s">
        <v>1960</v>
      </c>
      <c r="I529" s="49" t="s">
        <v>107</v>
      </c>
      <c r="J529" s="50" t="s">
        <v>1201</v>
      </c>
      <c r="K529" s="50" t="s">
        <v>118</v>
      </c>
      <c r="L529" s="50" t="s">
        <v>15</v>
      </c>
      <c r="M529" s="50" t="s">
        <v>13</v>
      </c>
      <c r="N529" s="50" t="s">
        <v>14</v>
      </c>
      <c r="O529" s="48" t="s">
        <v>620</v>
      </c>
      <c r="P529" s="45" t="s">
        <v>453</v>
      </c>
      <c r="Q529" s="35" t="str">
        <f>MID(Tabla1[[#This Row],[Aplicación]],14,1)</f>
        <v>2</v>
      </c>
      <c r="R529" s="35" t="s">
        <v>441</v>
      </c>
      <c r="S529" s="35" t="str">
        <f>MID(Tabla1[[#This Row],[Aplicación]],6,2)</f>
        <v>11</v>
      </c>
      <c r="T529" s="35" t="str">
        <f>VLOOKUP(Tabla1[[#This Row],[AREA]],Hoja1!A:B,2,FALSE)</f>
        <v>11. Salud pública y seguridad ciudadana</v>
      </c>
      <c r="U529" s="35" t="str">
        <f>MID(Tabla1[[#This Row],[Aplicación]],9,4)</f>
        <v>1361</v>
      </c>
      <c r="V529" s="35" t="str">
        <f>VLOOKUP(Tabla1[[#This Row],[PROGRAMA]],Hoja1!A:B,2,FALSE)</f>
        <v>1361. Prevención y extinción de incencios</v>
      </c>
      <c r="W529" s="35" t="str">
        <f>MID(Tabla1[[#This Row],[Aplicación]],14,2)</f>
        <v>22</v>
      </c>
      <c r="X529" s="35" t="str">
        <f>MID(Tabla1[[#This Row],[Aplicación]],14,6)</f>
        <v>22104</v>
      </c>
    </row>
    <row r="530" spans="1:24" x14ac:dyDescent="0.25">
      <c r="A530" s="49">
        <v>220220001611</v>
      </c>
      <c r="B530" s="50" t="s">
        <v>9</v>
      </c>
      <c r="C530" s="57">
        <v>44587</v>
      </c>
      <c r="D530" s="49">
        <v>22022001538</v>
      </c>
      <c r="E530" s="50" t="s">
        <v>1762</v>
      </c>
      <c r="F530" s="58">
        <v>391</v>
      </c>
      <c r="G530" s="50" t="s">
        <v>1121</v>
      </c>
      <c r="H530" s="50" t="s">
        <v>1961</v>
      </c>
      <c r="I530" s="49" t="s">
        <v>107</v>
      </c>
      <c r="J530" s="50" t="s">
        <v>108</v>
      </c>
      <c r="K530" s="50" t="s">
        <v>108</v>
      </c>
      <c r="L530" s="50" t="s">
        <v>15</v>
      </c>
      <c r="M530" s="50" t="s">
        <v>10</v>
      </c>
      <c r="N530" s="50" t="s">
        <v>11</v>
      </c>
      <c r="O530" s="48" t="s">
        <v>632</v>
      </c>
      <c r="P530" s="45" t="s">
        <v>453</v>
      </c>
      <c r="Q530" s="35" t="str">
        <f>MID(Tabla1[[#This Row],[Aplicación]],14,1)</f>
        <v>2</v>
      </c>
      <c r="R530" s="35" t="s">
        <v>441</v>
      </c>
      <c r="S530" s="35" t="str">
        <f>MID(Tabla1[[#This Row],[Aplicación]],6,2)</f>
        <v>06</v>
      </c>
      <c r="T530" s="35" t="str">
        <f>VLOOKUP(Tabla1[[#This Row],[AREA]],Hoja1!A:B,2,FALSE)</f>
        <v>06. Educación, infancia, juventud e igualdad</v>
      </c>
      <c r="U530" s="35" t="str">
        <f>MID(Tabla1[[#This Row],[Aplicación]],9,4)</f>
        <v>3321</v>
      </c>
      <c r="V530" s="35" t="str">
        <f>VLOOKUP(Tabla1[[#This Row],[PROGRAMA]],Hoja1!A:B,2,FALSE)</f>
        <v>3321. Bibliotecas públicas</v>
      </c>
      <c r="W530" s="35" t="str">
        <f>MID(Tabla1[[#This Row],[Aplicación]],14,2)</f>
        <v>22</v>
      </c>
      <c r="X530" s="35" t="str">
        <f>MID(Tabla1[[#This Row],[Aplicación]],14,6)</f>
        <v>22001</v>
      </c>
    </row>
    <row r="531" spans="1:24" x14ac:dyDescent="0.25">
      <c r="A531" s="49">
        <v>220219000418</v>
      </c>
      <c r="B531" s="50" t="s">
        <v>9</v>
      </c>
      <c r="C531" s="57">
        <v>44562</v>
      </c>
      <c r="D531" s="49">
        <v>22022000554</v>
      </c>
      <c r="E531" s="50" t="s">
        <v>1657</v>
      </c>
      <c r="F531" s="58">
        <v>15910.84</v>
      </c>
      <c r="G531" s="50" t="s">
        <v>163</v>
      </c>
      <c r="H531" s="50" t="s">
        <v>1061</v>
      </c>
      <c r="I531" s="49" t="s">
        <v>107</v>
      </c>
      <c r="J531" s="50" t="s">
        <v>109</v>
      </c>
      <c r="K531" s="50" t="s">
        <v>109</v>
      </c>
      <c r="L531" s="50" t="s">
        <v>12</v>
      </c>
      <c r="M531" s="50" t="s">
        <v>13</v>
      </c>
      <c r="N531" s="50" t="s">
        <v>14</v>
      </c>
      <c r="O531" s="48" t="s">
        <v>620</v>
      </c>
      <c r="P531" s="45" t="s">
        <v>453</v>
      </c>
      <c r="Q531" s="35" t="str">
        <f>MID(Tabla1[[#This Row],[Aplicación]],14,1)</f>
        <v>2</v>
      </c>
      <c r="R531" s="35" t="s">
        <v>441</v>
      </c>
      <c r="S531" s="35" t="str">
        <f>MID(Tabla1[[#This Row],[Aplicación]],6,2)</f>
        <v>04</v>
      </c>
      <c r="T531" s="35" t="str">
        <f>VLOOKUP(Tabla1[[#This Row],[AREA]],Hoja1!A:B,2,FALSE)</f>
        <v>04. Planificación y recursos</v>
      </c>
      <c r="U531" s="35" t="str">
        <f>MID(Tabla1[[#This Row],[Aplicación]],9,4)</f>
        <v>9231</v>
      </c>
      <c r="V531" s="35" t="str">
        <f>VLOOKUP(Tabla1[[#This Row],[PROGRAMA]],Hoja1!A:B,2,FALSE)</f>
        <v>9231. Información, registro y gestión del padrón</v>
      </c>
      <c r="W531" s="35" t="str">
        <f>MID(Tabla1[[#This Row],[Aplicación]],14,2)</f>
        <v>22</v>
      </c>
      <c r="X531" s="35" t="str">
        <f>MID(Tabla1[[#This Row],[Aplicación]],14,6)</f>
        <v>22799</v>
      </c>
    </row>
    <row r="532" spans="1:24" x14ac:dyDescent="0.25">
      <c r="A532" s="49">
        <v>220219000433</v>
      </c>
      <c r="B532" s="50" t="s">
        <v>9</v>
      </c>
      <c r="C532" s="57">
        <v>44562</v>
      </c>
      <c r="D532" s="49">
        <v>22022000557</v>
      </c>
      <c r="E532" s="50" t="s">
        <v>1659</v>
      </c>
      <c r="F532" s="58">
        <v>7385.2</v>
      </c>
      <c r="G532" s="50" t="s">
        <v>163</v>
      </c>
      <c r="H532" s="50" t="s">
        <v>1962</v>
      </c>
      <c r="I532" s="49" t="s">
        <v>107</v>
      </c>
      <c r="J532" s="50" t="s">
        <v>109</v>
      </c>
      <c r="K532" s="50" t="s">
        <v>109</v>
      </c>
      <c r="L532" s="50" t="s">
        <v>12</v>
      </c>
      <c r="M532" s="50" t="s">
        <v>13</v>
      </c>
      <c r="N532" s="50" t="s">
        <v>14</v>
      </c>
      <c r="O532" s="48" t="s">
        <v>620</v>
      </c>
      <c r="P532" s="45" t="s">
        <v>453</v>
      </c>
      <c r="Q532" s="35" t="str">
        <f>MID(Tabla1[[#This Row],[Aplicación]],14,1)</f>
        <v>2</v>
      </c>
      <c r="R532" s="35" t="s">
        <v>441</v>
      </c>
      <c r="S532" s="35" t="str">
        <f>MID(Tabla1[[#This Row],[Aplicación]],6,2)</f>
        <v>05</v>
      </c>
      <c r="T532" s="35" t="str">
        <f>VLOOKUP(Tabla1[[#This Row],[AREA]],Hoja1!A:B,2,FALSE)</f>
        <v>05. Innovación, desarrollo económico, empleo y comercio</v>
      </c>
      <c r="U532" s="35" t="str">
        <f>MID(Tabla1[[#This Row],[Aplicación]],9,4)</f>
        <v>4331</v>
      </c>
      <c r="V532" s="35" t="str">
        <f>VLOOKUP(Tabla1[[#This Row],[PROGRAMA]],Hoja1!A:B,2,FALSE)</f>
        <v>4331. Desarrollo empresarial</v>
      </c>
      <c r="W532" s="35" t="str">
        <f>MID(Tabla1[[#This Row],[Aplicación]],14,2)</f>
        <v>22</v>
      </c>
      <c r="X532" s="35" t="str">
        <f>MID(Tabla1[[#This Row],[Aplicación]],14,6)</f>
        <v>22799</v>
      </c>
    </row>
    <row r="533" spans="1:24" x14ac:dyDescent="0.25">
      <c r="A533" s="49">
        <v>220219000417</v>
      </c>
      <c r="B533" s="50" t="s">
        <v>9</v>
      </c>
      <c r="C533" s="57">
        <v>44562</v>
      </c>
      <c r="D533" s="49">
        <v>22022000553</v>
      </c>
      <c r="E533" s="50" t="s">
        <v>1963</v>
      </c>
      <c r="F533" s="58">
        <v>1674.83</v>
      </c>
      <c r="G533" s="50" t="s">
        <v>163</v>
      </c>
      <c r="H533" s="50" t="s">
        <v>1964</v>
      </c>
      <c r="I533" s="49" t="s">
        <v>107</v>
      </c>
      <c r="J533" s="50" t="s">
        <v>109</v>
      </c>
      <c r="K533" s="50" t="s">
        <v>109</v>
      </c>
      <c r="L533" s="50" t="s">
        <v>12</v>
      </c>
      <c r="M533" s="50" t="s">
        <v>13</v>
      </c>
      <c r="N533" s="50" t="s">
        <v>14</v>
      </c>
      <c r="O533" s="48" t="s">
        <v>620</v>
      </c>
      <c r="P533" s="45" t="s">
        <v>453</v>
      </c>
      <c r="Q533" s="35" t="str">
        <f>MID(Tabla1[[#This Row],[Aplicación]],14,1)</f>
        <v>2</v>
      </c>
      <c r="R533" s="35" t="s">
        <v>441</v>
      </c>
      <c r="S533" s="35" t="str">
        <f>MID(Tabla1[[#This Row],[Aplicación]],6,2)</f>
        <v>09</v>
      </c>
      <c r="T533" s="35" t="str">
        <f>VLOOKUP(Tabla1[[#This Row],[AREA]],Hoja1!A:B,2,FALSE)</f>
        <v>09. Cultura y turismo</v>
      </c>
      <c r="U533" s="35" t="str">
        <f>MID(Tabla1[[#This Row],[Aplicación]],9,4)</f>
        <v>3301</v>
      </c>
      <c r="V533" s="35" t="str">
        <f>VLOOKUP(Tabla1[[#This Row],[PROGRAMA]],Hoja1!A:B,2,FALSE)</f>
        <v>3301. Dirección del área de cultura</v>
      </c>
      <c r="W533" s="35" t="str">
        <f>MID(Tabla1[[#This Row],[Aplicación]],14,2)</f>
        <v>22</v>
      </c>
      <c r="X533" s="35" t="str">
        <f>MID(Tabla1[[#This Row],[Aplicación]],14,6)</f>
        <v>22799</v>
      </c>
    </row>
    <row r="534" spans="1:24" x14ac:dyDescent="0.25">
      <c r="A534" s="49">
        <v>220220008964</v>
      </c>
      <c r="B534" s="50" t="s">
        <v>9</v>
      </c>
      <c r="C534" s="57">
        <v>44635</v>
      </c>
      <c r="D534" s="49">
        <v>22022002547</v>
      </c>
      <c r="E534" s="50" t="s">
        <v>1882</v>
      </c>
      <c r="F534" s="58">
        <v>3.36</v>
      </c>
      <c r="G534" s="50" t="s">
        <v>85</v>
      </c>
      <c r="H534" s="50" t="s">
        <v>1965</v>
      </c>
      <c r="I534" s="49" t="s">
        <v>107</v>
      </c>
      <c r="J534" s="50" t="s">
        <v>109</v>
      </c>
      <c r="K534" s="50" t="s">
        <v>109</v>
      </c>
      <c r="L534" s="50" t="s">
        <v>15</v>
      </c>
      <c r="M534" s="50" t="s">
        <v>13</v>
      </c>
      <c r="N534" s="50" t="s">
        <v>14</v>
      </c>
      <c r="O534" s="48" t="s">
        <v>631</v>
      </c>
      <c r="P534" s="45" t="s">
        <v>453</v>
      </c>
      <c r="Q534" s="35" t="str">
        <f>MID(Tabla1[[#This Row],[Aplicación]],14,1)</f>
        <v>2</v>
      </c>
      <c r="R534" s="35" t="s">
        <v>441</v>
      </c>
      <c r="S534" s="35" t="str">
        <f>MID(Tabla1[[#This Row],[Aplicación]],6,2)</f>
        <v>01</v>
      </c>
      <c r="T534" s="35" t="str">
        <f>VLOOKUP(Tabla1[[#This Row],[AREA]],Hoja1!A:B,2,FALSE)</f>
        <v>01. Alcaldía</v>
      </c>
      <c r="U534" s="35" t="str">
        <f>MID(Tabla1[[#This Row],[Aplicación]],9,4)</f>
        <v>9206</v>
      </c>
      <c r="V534" s="35" t="str">
        <f>VLOOKUP(Tabla1[[#This Row],[PROGRAMA]],Hoja1!A:B,2,FALSE)</f>
        <v>9206. Archivo municipal</v>
      </c>
      <c r="W534" s="35" t="str">
        <f>MID(Tabla1[[#This Row],[Aplicación]],14,2)</f>
        <v>22</v>
      </c>
      <c r="X534" s="35" t="str">
        <f>MID(Tabla1[[#This Row],[Aplicación]],14,6)</f>
        <v>22199</v>
      </c>
    </row>
    <row r="535" spans="1:24" x14ac:dyDescent="0.25">
      <c r="A535" s="49">
        <v>220219000930</v>
      </c>
      <c r="B535" s="50" t="s">
        <v>9</v>
      </c>
      <c r="C535" s="57">
        <v>44562</v>
      </c>
      <c r="D535" s="49">
        <v>22022000126</v>
      </c>
      <c r="E535" s="50" t="s">
        <v>1966</v>
      </c>
      <c r="F535" s="58">
        <v>16000</v>
      </c>
      <c r="G535" s="50" t="s">
        <v>38</v>
      </c>
      <c r="H535" s="50" t="s">
        <v>1967</v>
      </c>
      <c r="I535" s="49" t="s">
        <v>107</v>
      </c>
      <c r="J535" s="50" t="s">
        <v>129</v>
      </c>
      <c r="K535" s="50" t="s">
        <v>170</v>
      </c>
      <c r="L535" s="50" t="s">
        <v>15</v>
      </c>
      <c r="M535" s="50" t="s">
        <v>13</v>
      </c>
      <c r="N535" s="50" t="s">
        <v>16</v>
      </c>
      <c r="O535" s="48" t="s">
        <v>620</v>
      </c>
      <c r="P535" s="45" t="s">
        <v>453</v>
      </c>
      <c r="Q535" s="35" t="str">
        <f>MID(Tabla1[[#This Row],[Aplicación]],14,1)</f>
        <v>2</v>
      </c>
      <c r="R535" s="35" t="s">
        <v>441</v>
      </c>
      <c r="S535" s="35" t="str">
        <f>MID(Tabla1[[#This Row],[Aplicación]],6,2)</f>
        <v>11</v>
      </c>
      <c r="T535" s="35" t="str">
        <f>VLOOKUP(Tabla1[[#This Row],[AREA]],Hoja1!A:B,2,FALSE)</f>
        <v>11. Salud pública y seguridad ciudadana</v>
      </c>
      <c r="U535" s="35" t="str">
        <f>MID(Tabla1[[#This Row],[Aplicación]],9,4)</f>
        <v>3111</v>
      </c>
      <c r="V535" s="35" t="str">
        <f>VLOOKUP(Tabla1[[#This Row],[PROGRAMA]],Hoja1!A:B,2,FALSE)</f>
        <v>3111. Protección de la salubridad pública</v>
      </c>
      <c r="W535" s="35" t="str">
        <f>MID(Tabla1[[#This Row],[Aplicación]],14,2)</f>
        <v>22</v>
      </c>
      <c r="X535" s="35" t="str">
        <f>MID(Tabla1[[#This Row],[Aplicación]],14,6)</f>
        <v>22100</v>
      </c>
    </row>
    <row r="536" spans="1:24" x14ac:dyDescent="0.25">
      <c r="A536" s="49">
        <v>220219000175</v>
      </c>
      <c r="B536" s="50" t="s">
        <v>9</v>
      </c>
      <c r="C536" s="57">
        <v>44562</v>
      </c>
      <c r="D536" s="49">
        <v>22022002185</v>
      </c>
      <c r="E536" s="50" t="s">
        <v>1676</v>
      </c>
      <c r="F536" s="58">
        <v>18750</v>
      </c>
      <c r="G536" s="50" t="s">
        <v>190</v>
      </c>
      <c r="H536" s="50" t="s">
        <v>920</v>
      </c>
      <c r="I536" s="49" t="s">
        <v>107</v>
      </c>
      <c r="J536" s="50" t="s">
        <v>549</v>
      </c>
      <c r="K536" s="50" t="s">
        <v>118</v>
      </c>
      <c r="L536" s="50" t="s">
        <v>12</v>
      </c>
      <c r="M536" s="50" t="s">
        <v>13</v>
      </c>
      <c r="N536" s="50" t="s">
        <v>14</v>
      </c>
      <c r="O536" s="48" t="s">
        <v>620</v>
      </c>
      <c r="P536" s="45" t="s">
        <v>453</v>
      </c>
      <c r="Q536" s="35" t="str">
        <f>MID(Tabla1[[#This Row],[Aplicación]],14,1)</f>
        <v>6</v>
      </c>
      <c r="R536" s="35" t="s">
        <v>442</v>
      </c>
      <c r="S536" s="35" t="str">
        <f>MID(Tabla1[[#This Row],[Aplicación]],6,2)</f>
        <v>04</v>
      </c>
      <c r="T536" s="35" t="str">
        <f>VLOOKUP(Tabla1[[#This Row],[AREA]],Hoja1!A:B,2,FALSE)</f>
        <v>04. Planificación y recursos</v>
      </c>
      <c r="U536" s="35" t="str">
        <f>MID(Tabla1[[#This Row],[Aplicación]],9,4)</f>
        <v>9204</v>
      </c>
      <c r="V536" s="35" t="str">
        <f>VLOOKUP(Tabla1[[#This Row],[PROGRAMA]],Hoja1!A:B,2,FALSE)</f>
        <v>9204. Tecnologías de la información y comunicación</v>
      </c>
      <c r="W536" s="35" t="str">
        <f>MID(Tabla1[[#This Row],[Aplicación]],14,2)</f>
        <v>64</v>
      </c>
      <c r="X536" s="35" t="str">
        <f>MID(Tabla1[[#This Row],[Aplicación]],14,6)</f>
        <v>641</v>
      </c>
    </row>
    <row r="537" spans="1:24" x14ac:dyDescent="0.25">
      <c r="A537" s="49">
        <v>220220004243</v>
      </c>
      <c r="B537" s="50" t="s">
        <v>26</v>
      </c>
      <c r="C537" s="57">
        <v>44610</v>
      </c>
      <c r="D537" s="49">
        <v>22022002338</v>
      </c>
      <c r="E537" s="50" t="s">
        <v>1968</v>
      </c>
      <c r="F537" s="58">
        <v>821.25</v>
      </c>
      <c r="G537" s="50" t="s">
        <v>242</v>
      </c>
      <c r="H537" s="50" t="s">
        <v>1969</v>
      </c>
      <c r="I537" s="49" t="s">
        <v>197</v>
      </c>
      <c r="J537" s="50" t="s">
        <v>491</v>
      </c>
      <c r="K537" s="50" t="s">
        <v>108</v>
      </c>
      <c r="L537" s="50" t="s">
        <v>17</v>
      </c>
      <c r="M537" s="50" t="s">
        <v>10</v>
      </c>
      <c r="N537" s="50" t="s">
        <v>11</v>
      </c>
      <c r="O537" s="48" t="s">
        <v>632</v>
      </c>
      <c r="P537" s="45" t="s">
        <v>453</v>
      </c>
      <c r="Q537" s="35" t="str">
        <f>MID(Tabla1[[#This Row],[Aplicación]],14,1)</f>
        <v>2</v>
      </c>
      <c r="R537" s="35" t="s">
        <v>441</v>
      </c>
      <c r="S537" s="35" t="str">
        <f>MID(Tabla1[[#This Row],[Aplicación]],6,2)</f>
        <v>04</v>
      </c>
      <c r="T537" s="35" t="str">
        <f>VLOOKUP(Tabla1[[#This Row],[AREA]],Hoja1!A:B,2,FALSE)</f>
        <v>04. Planificación y recursos</v>
      </c>
      <c r="U537" s="35" t="str">
        <f>MID(Tabla1[[#This Row],[Aplicación]],9,4)</f>
        <v>9341</v>
      </c>
      <c r="V537" s="35" t="str">
        <f>VLOOKUP(Tabla1[[#This Row],[PROGRAMA]],Hoja1!A:B,2,FALSE)</f>
        <v>9341. Tesorería y recaudación</v>
      </c>
      <c r="W537" s="35" t="str">
        <f>MID(Tabla1[[#This Row],[Aplicación]],14,2)</f>
        <v>22</v>
      </c>
      <c r="X537" s="35" t="str">
        <f>MID(Tabla1[[#This Row],[Aplicación]],14,6)</f>
        <v>22000</v>
      </c>
    </row>
    <row r="538" spans="1:24" x14ac:dyDescent="0.25">
      <c r="A538" s="49">
        <v>220220009359</v>
      </c>
      <c r="B538" s="50" t="s">
        <v>9</v>
      </c>
      <c r="C538" s="57">
        <v>44636</v>
      </c>
      <c r="D538" s="49">
        <v>22022002800</v>
      </c>
      <c r="E538" s="50" t="s">
        <v>1970</v>
      </c>
      <c r="F538" s="58">
        <v>658.24</v>
      </c>
      <c r="G538" s="50" t="s">
        <v>922</v>
      </c>
      <c r="H538" s="50" t="s">
        <v>1971</v>
      </c>
      <c r="I538" s="49" t="s">
        <v>107</v>
      </c>
      <c r="J538" s="50" t="s">
        <v>109</v>
      </c>
      <c r="K538" s="50" t="s">
        <v>109</v>
      </c>
      <c r="L538" s="50" t="s">
        <v>15</v>
      </c>
      <c r="M538" s="50" t="s">
        <v>10</v>
      </c>
      <c r="N538" s="50" t="s">
        <v>11</v>
      </c>
      <c r="O538" s="48" t="s">
        <v>632</v>
      </c>
      <c r="P538" s="45" t="s">
        <v>453</v>
      </c>
      <c r="Q538" s="35" t="str">
        <f>MID(Tabla1[[#This Row],[Aplicación]],14,1)</f>
        <v>2</v>
      </c>
      <c r="R538" s="35" t="s">
        <v>441</v>
      </c>
      <c r="S538" s="35" t="str">
        <f>MID(Tabla1[[#This Row],[Aplicación]],6,2)</f>
        <v>08</v>
      </c>
      <c r="T538" s="35" t="str">
        <f>VLOOKUP(Tabla1[[#This Row],[AREA]],Hoja1!A:B,2,FALSE)</f>
        <v>08. Movilidad y espacio urbano</v>
      </c>
      <c r="U538" s="35" t="str">
        <f>MID(Tabla1[[#This Row],[Aplicación]],9,4)</f>
        <v>1532</v>
      </c>
      <c r="V538" s="35" t="str">
        <f>VLOOKUP(Tabla1[[#This Row],[PROGRAMA]],Hoja1!A:B,2,FALSE)</f>
        <v>1532. Pavimentación vias públicas y otros servicios urbanísticos</v>
      </c>
      <c r="W538" s="35" t="str">
        <f>MID(Tabla1[[#This Row],[Aplicación]],14,2)</f>
        <v>22</v>
      </c>
      <c r="X538" s="35" t="str">
        <f>MID(Tabla1[[#This Row],[Aplicación]],14,6)</f>
        <v>22699</v>
      </c>
    </row>
    <row r="539" spans="1:24" x14ac:dyDescent="0.25">
      <c r="A539" s="49">
        <v>220219000537</v>
      </c>
      <c r="B539" s="50" t="s">
        <v>9</v>
      </c>
      <c r="C539" s="57">
        <v>44562</v>
      </c>
      <c r="D539" s="49">
        <v>22022001998</v>
      </c>
      <c r="E539" s="50" t="s">
        <v>1676</v>
      </c>
      <c r="F539" s="58">
        <v>7260</v>
      </c>
      <c r="G539" s="50" t="s">
        <v>1972</v>
      </c>
      <c r="H539" s="50" t="s">
        <v>1973</v>
      </c>
      <c r="I539" s="49" t="s">
        <v>107</v>
      </c>
      <c r="J539" s="50" t="s">
        <v>597</v>
      </c>
      <c r="K539" s="50" t="s">
        <v>108</v>
      </c>
      <c r="L539" s="50" t="s">
        <v>15</v>
      </c>
      <c r="M539" s="50" t="s">
        <v>13</v>
      </c>
      <c r="N539" s="50" t="s">
        <v>16</v>
      </c>
      <c r="O539" s="48" t="s">
        <v>620</v>
      </c>
      <c r="P539" s="45" t="s">
        <v>453</v>
      </c>
      <c r="Q539" s="35" t="str">
        <f>MID(Tabla1[[#This Row],[Aplicación]],14,1)</f>
        <v>6</v>
      </c>
      <c r="R539" s="35" t="s">
        <v>442</v>
      </c>
      <c r="S539" s="35" t="str">
        <f>MID(Tabla1[[#This Row],[Aplicación]],6,2)</f>
        <v>04</v>
      </c>
      <c r="T539" s="35" t="str">
        <f>VLOOKUP(Tabla1[[#This Row],[AREA]],Hoja1!A:B,2,FALSE)</f>
        <v>04. Planificación y recursos</v>
      </c>
      <c r="U539" s="35" t="str">
        <f>MID(Tabla1[[#This Row],[Aplicación]],9,4)</f>
        <v>9204</v>
      </c>
      <c r="V539" s="35" t="str">
        <f>VLOOKUP(Tabla1[[#This Row],[PROGRAMA]],Hoja1!A:B,2,FALSE)</f>
        <v>9204. Tecnologías de la información y comunicación</v>
      </c>
      <c r="W539" s="35" t="str">
        <f>MID(Tabla1[[#This Row],[Aplicación]],14,2)</f>
        <v>64</v>
      </c>
      <c r="X539" s="35" t="str">
        <f>MID(Tabla1[[#This Row],[Aplicación]],14,6)</f>
        <v>641</v>
      </c>
    </row>
    <row r="540" spans="1:24" x14ac:dyDescent="0.25">
      <c r="A540" s="49">
        <v>220219000539</v>
      </c>
      <c r="B540" s="50" t="s">
        <v>9</v>
      </c>
      <c r="C540" s="57">
        <v>44562</v>
      </c>
      <c r="D540" s="49">
        <v>22022000083</v>
      </c>
      <c r="E540" s="50" t="s">
        <v>1408</v>
      </c>
      <c r="F540" s="58">
        <v>3977.88</v>
      </c>
      <c r="G540" s="50" t="s">
        <v>1062</v>
      </c>
      <c r="H540" s="50" t="s">
        <v>1974</v>
      </c>
      <c r="I540" s="49" t="s">
        <v>107</v>
      </c>
      <c r="J540" s="50" t="s">
        <v>108</v>
      </c>
      <c r="K540" s="50" t="s">
        <v>108</v>
      </c>
      <c r="L540" s="50" t="s">
        <v>15</v>
      </c>
      <c r="M540" s="50" t="s">
        <v>13</v>
      </c>
      <c r="N540" s="50" t="s">
        <v>16</v>
      </c>
      <c r="O540" s="48" t="s">
        <v>620</v>
      </c>
      <c r="P540" s="45" t="s">
        <v>453</v>
      </c>
      <c r="Q540" s="35" t="str">
        <f>MID(Tabla1[[#This Row],[Aplicación]],14,1)</f>
        <v>2</v>
      </c>
      <c r="R540" s="35" t="s">
        <v>441</v>
      </c>
      <c r="S540" s="35" t="str">
        <f>MID(Tabla1[[#This Row],[Aplicación]],6,2)</f>
        <v>04</v>
      </c>
      <c r="T540" s="35" t="str">
        <f>VLOOKUP(Tabla1[[#This Row],[AREA]],Hoja1!A:B,2,FALSE)</f>
        <v>04. Planificación y recursos</v>
      </c>
      <c r="U540" s="35" t="str">
        <f>MID(Tabla1[[#This Row],[Aplicación]],9,4)</f>
        <v>9204</v>
      </c>
      <c r="V540" s="35" t="str">
        <f>VLOOKUP(Tabla1[[#This Row],[PROGRAMA]],Hoja1!A:B,2,FALSE)</f>
        <v>9204. Tecnologías de la información y comunicación</v>
      </c>
      <c r="W540" s="35" t="str">
        <f>MID(Tabla1[[#This Row],[Aplicación]],14,2)</f>
        <v>21</v>
      </c>
      <c r="X540" s="35" t="str">
        <f>MID(Tabla1[[#This Row],[Aplicación]],14,6)</f>
        <v>216</v>
      </c>
    </row>
    <row r="541" spans="1:24" x14ac:dyDescent="0.25">
      <c r="A541" s="49">
        <v>220220005778</v>
      </c>
      <c r="B541" s="50" t="s">
        <v>9</v>
      </c>
      <c r="C541" s="57">
        <v>44615</v>
      </c>
      <c r="D541" s="49">
        <v>22022002340</v>
      </c>
      <c r="E541" s="50" t="s">
        <v>1975</v>
      </c>
      <c r="F541" s="58">
        <v>7260</v>
      </c>
      <c r="G541" s="50" t="s">
        <v>672</v>
      </c>
      <c r="H541" s="50" t="s">
        <v>1976</v>
      </c>
      <c r="I541" s="49" t="s">
        <v>107</v>
      </c>
      <c r="J541" s="50" t="s">
        <v>128</v>
      </c>
      <c r="K541" s="50" t="s">
        <v>128</v>
      </c>
      <c r="L541" s="50" t="s">
        <v>15</v>
      </c>
      <c r="M541" s="50" t="s">
        <v>10</v>
      </c>
      <c r="N541" s="50" t="s">
        <v>11</v>
      </c>
      <c r="O541" s="48" t="s">
        <v>632</v>
      </c>
      <c r="P541" s="45" t="s">
        <v>453</v>
      </c>
      <c r="Q541" s="35" t="str">
        <f>MID(Tabla1[[#This Row],[Aplicación]],14,1)</f>
        <v>2</v>
      </c>
      <c r="R541" s="35" t="s">
        <v>441</v>
      </c>
      <c r="S541" s="35" t="str">
        <f>MID(Tabla1[[#This Row],[Aplicación]],6,2)</f>
        <v>08</v>
      </c>
      <c r="T541" s="35" t="str">
        <f>VLOOKUP(Tabla1[[#This Row],[AREA]],Hoja1!A:B,2,FALSE)</f>
        <v>08. Movilidad y espacio urbano</v>
      </c>
      <c r="U541" s="35" t="str">
        <f>MID(Tabla1[[#This Row],[Aplicación]],9,4)</f>
        <v>1532</v>
      </c>
      <c r="V541" s="35" t="str">
        <f>VLOOKUP(Tabla1[[#This Row],[PROGRAMA]],Hoja1!A:B,2,FALSE)</f>
        <v>1532. Pavimentación vias públicas y otros servicios urbanísticos</v>
      </c>
      <c r="W541" s="35" t="str">
        <f>MID(Tabla1[[#This Row],[Aplicación]],14,2)</f>
        <v>21</v>
      </c>
      <c r="X541" s="35" t="str">
        <f>MID(Tabla1[[#This Row],[Aplicación]],14,6)</f>
        <v>210</v>
      </c>
    </row>
    <row r="542" spans="1:24" x14ac:dyDescent="0.25">
      <c r="A542" s="49">
        <v>220220010684</v>
      </c>
      <c r="B542" s="50" t="s">
        <v>9</v>
      </c>
      <c r="C542" s="57">
        <v>44642</v>
      </c>
      <c r="D542" s="49">
        <v>22022002790</v>
      </c>
      <c r="E542" s="50" t="s">
        <v>1603</v>
      </c>
      <c r="F542" s="58">
        <v>750</v>
      </c>
      <c r="G542" s="50" t="s">
        <v>258</v>
      </c>
      <c r="H542" s="50" t="s">
        <v>1977</v>
      </c>
      <c r="I542" s="49" t="s">
        <v>107</v>
      </c>
      <c r="J542" s="50" t="s">
        <v>109</v>
      </c>
      <c r="K542" s="50" t="s">
        <v>109</v>
      </c>
      <c r="L542" s="50" t="s">
        <v>12</v>
      </c>
      <c r="M542" s="50" t="s">
        <v>10</v>
      </c>
      <c r="N542" s="50" t="s">
        <v>11</v>
      </c>
      <c r="O542" s="48" t="s">
        <v>632</v>
      </c>
      <c r="P542" s="45" t="s">
        <v>453</v>
      </c>
      <c r="Q542" s="35" t="str">
        <f>MID(Tabla1[[#This Row],[Aplicación]],14,1)</f>
        <v>2</v>
      </c>
      <c r="R542" s="35" t="s">
        <v>441</v>
      </c>
      <c r="S542" s="35" t="str">
        <f>MID(Tabla1[[#This Row],[Aplicación]],6,2)</f>
        <v>06</v>
      </c>
      <c r="T542" s="35" t="str">
        <f>VLOOKUP(Tabla1[[#This Row],[AREA]],Hoja1!A:B,2,FALSE)</f>
        <v>06. Educación, infancia, juventud e igualdad</v>
      </c>
      <c r="U542" s="35" t="str">
        <f>MID(Tabla1[[#This Row],[Aplicación]],9,4)</f>
        <v>3321</v>
      </c>
      <c r="V542" s="35" t="str">
        <f>VLOOKUP(Tabla1[[#This Row],[PROGRAMA]],Hoja1!A:B,2,FALSE)</f>
        <v>3321. Bibliotecas públicas</v>
      </c>
      <c r="W542" s="35" t="str">
        <f>MID(Tabla1[[#This Row],[Aplicación]],14,2)</f>
        <v>22</v>
      </c>
      <c r="X542" s="35" t="str">
        <f>MID(Tabla1[[#This Row],[Aplicación]],14,6)</f>
        <v>22799</v>
      </c>
    </row>
    <row r="543" spans="1:24" x14ac:dyDescent="0.25">
      <c r="A543" s="49">
        <v>220209000758</v>
      </c>
      <c r="B543" s="50" t="s">
        <v>9</v>
      </c>
      <c r="C543" s="57">
        <v>44562</v>
      </c>
      <c r="D543" s="49">
        <v>22022000278</v>
      </c>
      <c r="E543" s="50" t="s">
        <v>1731</v>
      </c>
      <c r="F543" s="58">
        <v>41903.46</v>
      </c>
      <c r="G543" s="50" t="s">
        <v>499</v>
      </c>
      <c r="H543" s="50" t="s">
        <v>673</v>
      </c>
      <c r="I543" s="49" t="s">
        <v>107</v>
      </c>
      <c r="J543" s="50" t="s">
        <v>526</v>
      </c>
      <c r="K543" s="50" t="s">
        <v>170</v>
      </c>
      <c r="L543" s="50" t="s">
        <v>921</v>
      </c>
      <c r="M543" s="50" t="s">
        <v>13</v>
      </c>
      <c r="N543" s="50" t="s">
        <v>14</v>
      </c>
      <c r="O543" s="48" t="s">
        <v>620</v>
      </c>
      <c r="P543" s="45" t="s">
        <v>453</v>
      </c>
      <c r="Q543" s="35" t="str">
        <f>MID(Tabla1[[#This Row],[Aplicación]],14,1)</f>
        <v>2</v>
      </c>
      <c r="R543" s="35" t="s">
        <v>441</v>
      </c>
      <c r="S543" s="35" t="str">
        <f>MID(Tabla1[[#This Row],[Aplicación]],6,2)</f>
        <v>02</v>
      </c>
      <c r="T543" s="35" t="str">
        <f>VLOOKUP(Tabla1[[#This Row],[AREA]],Hoja1!A:B,2,FALSE)</f>
        <v>02. Planeamiento urbanístico y vivienda</v>
      </c>
      <c r="U543" s="35" t="str">
        <f>MID(Tabla1[[#This Row],[Aplicación]],9,4)</f>
        <v>9331</v>
      </c>
      <c r="V543" s="35" t="str">
        <f>VLOOKUP(Tabla1[[#This Row],[PROGRAMA]],Hoja1!A:B,2,FALSE)</f>
        <v>9331. Gestión del patrimonio</v>
      </c>
      <c r="W543" s="35" t="str">
        <f>MID(Tabla1[[#This Row],[Aplicación]],14,2)</f>
        <v>22</v>
      </c>
      <c r="X543" s="35" t="str">
        <f>MID(Tabla1[[#This Row],[Aplicación]],14,6)</f>
        <v>224</v>
      </c>
    </row>
    <row r="544" spans="1:24" x14ac:dyDescent="0.25">
      <c r="A544" s="49">
        <v>220220001610</v>
      </c>
      <c r="B544" s="50" t="s">
        <v>9</v>
      </c>
      <c r="C544" s="57">
        <v>44587</v>
      </c>
      <c r="D544" s="49">
        <v>22022001524</v>
      </c>
      <c r="E544" s="50" t="s">
        <v>1488</v>
      </c>
      <c r="F544" s="58">
        <v>3902.25</v>
      </c>
      <c r="G544" s="50" t="s">
        <v>675</v>
      </c>
      <c r="H544" s="50" t="s">
        <v>1978</v>
      </c>
      <c r="I544" s="49" t="s">
        <v>107</v>
      </c>
      <c r="J544" s="50" t="s">
        <v>558</v>
      </c>
      <c r="K544" s="50" t="s">
        <v>109</v>
      </c>
      <c r="L544" s="50" t="s">
        <v>12</v>
      </c>
      <c r="M544" s="50" t="s">
        <v>10</v>
      </c>
      <c r="N544" s="50" t="s">
        <v>11</v>
      </c>
      <c r="O544" s="48" t="s">
        <v>632</v>
      </c>
      <c r="P544" s="45" t="s">
        <v>453</v>
      </c>
      <c r="Q544" s="35" t="str">
        <f>MID(Tabla1[[#This Row],[Aplicación]],14,1)</f>
        <v>2</v>
      </c>
      <c r="R544" s="35" t="s">
        <v>441</v>
      </c>
      <c r="S544" s="35" t="str">
        <f>MID(Tabla1[[#This Row],[Aplicación]],6,2)</f>
        <v>10</v>
      </c>
      <c r="T544" s="35" t="str">
        <f>VLOOKUP(Tabla1[[#This Row],[AREA]],Hoja1!A:B,2,FALSE)</f>
        <v>10. Servicios sociales y mediación comunitaria</v>
      </c>
      <c r="U544" s="35" t="str">
        <f>MID(Tabla1[[#This Row],[Aplicación]],9,4)</f>
        <v>2312</v>
      </c>
      <c r="V544" s="35" t="str">
        <f>VLOOKUP(Tabla1[[#This Row],[PROGRAMA]],Hoja1!A:B,2,FALSE)</f>
        <v>2312. Iniciativas sociales</v>
      </c>
      <c r="W544" s="35" t="str">
        <f>MID(Tabla1[[#This Row],[Aplicación]],14,2)</f>
        <v>21</v>
      </c>
      <c r="X544" s="35" t="str">
        <f>MID(Tabla1[[#This Row],[Aplicación]],14,6)</f>
        <v>213</v>
      </c>
    </row>
    <row r="545" spans="1:24" x14ac:dyDescent="0.25">
      <c r="A545" s="49">
        <v>220220001610</v>
      </c>
      <c r="B545" s="50" t="s">
        <v>9</v>
      </c>
      <c r="C545" s="57">
        <v>44587</v>
      </c>
      <c r="D545" s="49">
        <v>22022001525</v>
      </c>
      <c r="E545" s="50" t="s">
        <v>1488</v>
      </c>
      <c r="F545" s="58">
        <v>1542.75</v>
      </c>
      <c r="G545" s="50" t="s">
        <v>675</v>
      </c>
      <c r="H545" s="50" t="s">
        <v>1978</v>
      </c>
      <c r="I545" s="49" t="s">
        <v>107</v>
      </c>
      <c r="J545" s="50" t="s">
        <v>558</v>
      </c>
      <c r="K545" s="50" t="s">
        <v>109</v>
      </c>
      <c r="L545" s="50" t="s">
        <v>12</v>
      </c>
      <c r="M545" s="50" t="s">
        <v>1898</v>
      </c>
      <c r="N545" s="50" t="s">
        <v>1979</v>
      </c>
      <c r="O545" s="48" t="s">
        <v>632</v>
      </c>
      <c r="P545" s="45" t="s">
        <v>453</v>
      </c>
      <c r="Q545" s="35" t="str">
        <f>MID(Tabla1[[#This Row],[Aplicación]],14,1)</f>
        <v>2</v>
      </c>
      <c r="R545" s="35" t="s">
        <v>441</v>
      </c>
      <c r="S545" s="35" t="str">
        <f>MID(Tabla1[[#This Row],[Aplicación]],6,2)</f>
        <v>10</v>
      </c>
      <c r="T545" s="35" t="str">
        <f>VLOOKUP(Tabla1[[#This Row],[AREA]],Hoja1!A:B,2,FALSE)</f>
        <v>10. Servicios sociales y mediación comunitaria</v>
      </c>
      <c r="U545" s="35" t="str">
        <f>MID(Tabla1[[#This Row],[Aplicación]],9,4)</f>
        <v>2312</v>
      </c>
      <c r="V545" s="35" t="str">
        <f>VLOOKUP(Tabla1[[#This Row],[PROGRAMA]],Hoja1!A:B,2,FALSE)</f>
        <v>2312. Iniciativas sociales</v>
      </c>
      <c r="W545" s="35" t="str">
        <f>MID(Tabla1[[#This Row],[Aplicación]],14,2)</f>
        <v>21</v>
      </c>
      <c r="X545" s="35" t="str">
        <f>MID(Tabla1[[#This Row],[Aplicación]],14,6)</f>
        <v>213</v>
      </c>
    </row>
    <row r="546" spans="1:24" x14ac:dyDescent="0.25">
      <c r="A546" s="49">
        <v>220220005792</v>
      </c>
      <c r="B546" s="50" t="s">
        <v>9</v>
      </c>
      <c r="C546" s="57">
        <v>44615</v>
      </c>
      <c r="D546" s="49">
        <v>22022002378</v>
      </c>
      <c r="E546" s="50" t="s">
        <v>1549</v>
      </c>
      <c r="F546" s="58">
        <v>943.8</v>
      </c>
      <c r="G546" s="50" t="s">
        <v>231</v>
      </c>
      <c r="H546" s="50" t="s">
        <v>1980</v>
      </c>
      <c r="I546" s="49" t="s">
        <v>107</v>
      </c>
      <c r="J546" s="50" t="s">
        <v>109</v>
      </c>
      <c r="K546" s="50" t="s">
        <v>109</v>
      </c>
      <c r="L546" s="50" t="s">
        <v>15</v>
      </c>
      <c r="M546" s="50" t="s">
        <v>10</v>
      </c>
      <c r="N546" s="50" t="s">
        <v>1979</v>
      </c>
      <c r="O546" s="48" t="s">
        <v>632</v>
      </c>
      <c r="P546" s="45" t="s">
        <v>453</v>
      </c>
      <c r="Q546" s="35" t="str">
        <f>MID(Tabla1[[#This Row],[Aplicación]],14,1)</f>
        <v>2</v>
      </c>
      <c r="R546" s="35" t="s">
        <v>441</v>
      </c>
      <c r="S546" s="35" t="str">
        <f>MID(Tabla1[[#This Row],[Aplicación]],6,2)</f>
        <v>08</v>
      </c>
      <c r="T546" s="35" t="str">
        <f>VLOOKUP(Tabla1[[#This Row],[AREA]],Hoja1!A:B,2,FALSE)</f>
        <v>08. Movilidad y espacio urbano</v>
      </c>
      <c r="U546" s="35" t="str">
        <f>MID(Tabla1[[#This Row],[Aplicación]],9,4)</f>
        <v>1532</v>
      </c>
      <c r="V546" s="35" t="str">
        <f>VLOOKUP(Tabla1[[#This Row],[PROGRAMA]],Hoja1!A:B,2,FALSE)</f>
        <v>1532. Pavimentación vias públicas y otros servicios urbanísticos</v>
      </c>
      <c r="W546" s="35" t="str">
        <f>MID(Tabla1[[#This Row],[Aplicación]],14,2)</f>
        <v>20</v>
      </c>
      <c r="X546" s="35" t="str">
        <f>MID(Tabla1[[#This Row],[Aplicación]],14,6)</f>
        <v>203</v>
      </c>
    </row>
    <row r="547" spans="1:24" x14ac:dyDescent="0.25">
      <c r="A547" s="49">
        <v>220219000713</v>
      </c>
      <c r="B547" s="50" t="s">
        <v>9</v>
      </c>
      <c r="C547" s="57">
        <v>44562</v>
      </c>
      <c r="D547" s="49">
        <v>22022000577</v>
      </c>
      <c r="E547" s="50" t="s">
        <v>1981</v>
      </c>
      <c r="F547" s="58">
        <v>6737.28</v>
      </c>
      <c r="G547" s="50" t="s">
        <v>1162</v>
      </c>
      <c r="H547" s="50" t="s">
        <v>1982</v>
      </c>
      <c r="I547" s="49" t="s">
        <v>107</v>
      </c>
      <c r="J547" s="50" t="s">
        <v>703</v>
      </c>
      <c r="K547" s="50" t="s">
        <v>703</v>
      </c>
      <c r="L547" s="50" t="s">
        <v>12</v>
      </c>
      <c r="M547" s="50" t="s">
        <v>13</v>
      </c>
      <c r="N547" s="50" t="s">
        <v>14</v>
      </c>
      <c r="O547" s="48" t="s">
        <v>620</v>
      </c>
      <c r="P547" s="45" t="s">
        <v>453</v>
      </c>
      <c r="Q547" s="35" t="str">
        <f>MID(Tabla1[[#This Row],[Aplicación]],14,1)</f>
        <v>2</v>
      </c>
      <c r="R547" s="35" t="s">
        <v>441</v>
      </c>
      <c r="S547" s="35" t="str">
        <f>MID(Tabla1[[#This Row],[Aplicación]],6,2)</f>
        <v>01</v>
      </c>
      <c r="T547" s="35" t="str">
        <f>VLOOKUP(Tabla1[[#This Row],[AREA]],Hoja1!A:B,2,FALSE)</f>
        <v>01. Alcaldía</v>
      </c>
      <c r="U547" s="35" t="str">
        <f>MID(Tabla1[[#This Row],[Aplicación]],9,4)</f>
        <v>9312</v>
      </c>
      <c r="V547" s="35" t="str">
        <f>VLOOKUP(Tabla1[[#This Row],[PROGRAMA]],Hoja1!A:B,2,FALSE)</f>
        <v>9312. Intervención general</v>
      </c>
      <c r="W547" s="35" t="str">
        <f>MID(Tabla1[[#This Row],[Aplicación]],14,2)</f>
        <v>22</v>
      </c>
      <c r="X547" s="35" t="str">
        <f>MID(Tabla1[[#This Row],[Aplicación]],14,6)</f>
        <v>22706</v>
      </c>
    </row>
    <row r="548" spans="1:24" x14ac:dyDescent="0.25">
      <c r="A548" s="49">
        <v>220219000712</v>
      </c>
      <c r="B548" s="50" t="s">
        <v>9</v>
      </c>
      <c r="C548" s="57">
        <v>44562</v>
      </c>
      <c r="D548" s="49">
        <v>22022000576</v>
      </c>
      <c r="E548" s="50" t="s">
        <v>1981</v>
      </c>
      <c r="F548" s="58">
        <v>6351.29</v>
      </c>
      <c r="G548" s="50" t="s">
        <v>1162</v>
      </c>
      <c r="H548" s="50" t="s">
        <v>1983</v>
      </c>
      <c r="I548" s="49" t="s">
        <v>107</v>
      </c>
      <c r="J548" s="50" t="s">
        <v>703</v>
      </c>
      <c r="K548" s="50" t="s">
        <v>703</v>
      </c>
      <c r="L548" s="50" t="s">
        <v>12</v>
      </c>
      <c r="M548" s="50" t="s">
        <v>13</v>
      </c>
      <c r="N548" s="50" t="s">
        <v>14</v>
      </c>
      <c r="O548" s="48" t="s">
        <v>620</v>
      </c>
      <c r="P548" s="45" t="s">
        <v>453</v>
      </c>
      <c r="Q548" s="35" t="str">
        <f>MID(Tabla1[[#This Row],[Aplicación]],14,1)</f>
        <v>2</v>
      </c>
      <c r="R548" s="35" t="s">
        <v>441</v>
      </c>
      <c r="S548" s="35" t="str">
        <f>MID(Tabla1[[#This Row],[Aplicación]],6,2)</f>
        <v>01</v>
      </c>
      <c r="T548" s="35" t="str">
        <f>VLOOKUP(Tabla1[[#This Row],[AREA]],Hoja1!A:B,2,FALSE)</f>
        <v>01. Alcaldía</v>
      </c>
      <c r="U548" s="35" t="str">
        <f>MID(Tabla1[[#This Row],[Aplicación]],9,4)</f>
        <v>9312</v>
      </c>
      <c r="V548" s="35" t="str">
        <f>VLOOKUP(Tabla1[[#This Row],[PROGRAMA]],Hoja1!A:B,2,FALSE)</f>
        <v>9312. Intervención general</v>
      </c>
      <c r="W548" s="35" t="str">
        <f>MID(Tabla1[[#This Row],[Aplicación]],14,2)</f>
        <v>22</v>
      </c>
      <c r="X548" s="35" t="str">
        <f>MID(Tabla1[[#This Row],[Aplicación]],14,6)</f>
        <v>22706</v>
      </c>
    </row>
    <row r="549" spans="1:24" x14ac:dyDescent="0.25">
      <c r="A549" s="49">
        <v>220200009642</v>
      </c>
      <c r="B549" s="50" t="s">
        <v>9</v>
      </c>
      <c r="C549" s="57">
        <v>44620</v>
      </c>
      <c r="D549" s="49">
        <v>22020002273</v>
      </c>
      <c r="E549" s="50" t="s">
        <v>1390</v>
      </c>
      <c r="F549" s="58">
        <v>29638.560000000001</v>
      </c>
      <c r="G549" s="50" t="s">
        <v>464</v>
      </c>
      <c r="H549" s="50" t="s">
        <v>537</v>
      </c>
      <c r="I549" s="49" t="s">
        <v>107</v>
      </c>
      <c r="J549" s="50" t="s">
        <v>109</v>
      </c>
      <c r="K549" s="50" t="s">
        <v>109</v>
      </c>
      <c r="L549" s="50" t="s">
        <v>12</v>
      </c>
      <c r="M549" s="50" t="s">
        <v>13</v>
      </c>
      <c r="N549" s="50" t="s">
        <v>14</v>
      </c>
      <c r="O549" s="48" t="s">
        <v>620</v>
      </c>
      <c r="P549" s="45" t="s">
        <v>453</v>
      </c>
      <c r="Q549" s="35" t="str">
        <f>MID(Tabla1[[#This Row],[Aplicación]],14,1)</f>
        <v>6</v>
      </c>
      <c r="R549" s="35" t="s">
        <v>442</v>
      </c>
      <c r="S549" s="35" t="str">
        <f>MID(Tabla1[[#This Row],[Aplicación]],6,2)</f>
        <v>10</v>
      </c>
      <c r="T549" s="35" t="str">
        <f>VLOOKUP(Tabla1[[#This Row],[AREA]],Hoja1!A:B,2,FALSE)</f>
        <v>10. Servicios sociales y mediación comunitaria</v>
      </c>
      <c r="U549" s="35" t="str">
        <f>MID(Tabla1[[#This Row],[Aplicación]],9,4)</f>
        <v>2312</v>
      </c>
      <c r="V549" s="35" t="str">
        <f>VLOOKUP(Tabla1[[#This Row],[PROGRAMA]],Hoja1!A:B,2,FALSE)</f>
        <v>2312. Iniciativas sociales</v>
      </c>
      <c r="W549" s="35" t="str">
        <f>MID(Tabla1[[#This Row],[Aplicación]],14,2)</f>
        <v>62</v>
      </c>
      <c r="X549" s="35" t="str">
        <f>MID(Tabla1[[#This Row],[Aplicación]],14,6)</f>
        <v>622</v>
      </c>
    </row>
    <row r="550" spans="1:24" x14ac:dyDescent="0.25">
      <c r="A550" s="49">
        <v>220220006713</v>
      </c>
      <c r="B550" s="50" t="s">
        <v>9</v>
      </c>
      <c r="C550" s="57">
        <v>44620</v>
      </c>
      <c r="D550" s="49">
        <v>22022002308</v>
      </c>
      <c r="E550" s="50" t="s">
        <v>1665</v>
      </c>
      <c r="F550" s="58">
        <v>35335.15</v>
      </c>
      <c r="G550" s="50" t="s">
        <v>930</v>
      </c>
      <c r="H550" s="50" t="s">
        <v>1984</v>
      </c>
      <c r="I550" s="49" t="s">
        <v>107</v>
      </c>
      <c r="J550" s="50" t="s">
        <v>109</v>
      </c>
      <c r="K550" s="50" t="s">
        <v>109</v>
      </c>
      <c r="L550" s="50" t="s">
        <v>25</v>
      </c>
      <c r="M550" s="50" t="s">
        <v>10</v>
      </c>
      <c r="N550" s="50" t="s">
        <v>11</v>
      </c>
      <c r="O550" s="48" t="s">
        <v>632</v>
      </c>
      <c r="P550" s="45" t="s">
        <v>453</v>
      </c>
      <c r="Q550" s="35" t="str">
        <f>MID(Tabla1[[#This Row],[Aplicación]],14,1)</f>
        <v>6</v>
      </c>
      <c r="R550" s="35" t="s">
        <v>442</v>
      </c>
      <c r="S550" s="35" t="str">
        <f>MID(Tabla1[[#This Row],[Aplicación]],6,2)</f>
        <v>02</v>
      </c>
      <c r="T550" s="35" t="str">
        <f>VLOOKUP(Tabla1[[#This Row],[AREA]],Hoja1!A:B,2,FALSE)</f>
        <v>02. Planeamiento urbanístico y vivienda</v>
      </c>
      <c r="U550" s="35" t="str">
        <f>MID(Tabla1[[#This Row],[Aplicación]],9,4)</f>
        <v>9332</v>
      </c>
      <c r="V550" s="35" t="str">
        <f>VLOOKUP(Tabla1[[#This Row],[PROGRAMA]],Hoja1!A:B,2,FALSE)</f>
        <v>9332. Mantenimiento de edificios e instalaciones municipales</v>
      </c>
      <c r="W550" s="35" t="str">
        <f>MID(Tabla1[[#This Row],[Aplicación]],14,2)</f>
        <v>63</v>
      </c>
      <c r="X550" s="35" t="str">
        <f>MID(Tabla1[[#This Row],[Aplicación]],14,6)</f>
        <v>632</v>
      </c>
    </row>
    <row r="551" spans="1:24" x14ac:dyDescent="0.25">
      <c r="A551" s="49">
        <v>220220002492</v>
      </c>
      <c r="B551" s="50" t="s">
        <v>172</v>
      </c>
      <c r="C551" s="57">
        <v>44594</v>
      </c>
      <c r="D551" s="49">
        <v>22022001628</v>
      </c>
      <c r="E551" s="50" t="s">
        <v>1742</v>
      </c>
      <c r="F551" s="58">
        <v>2114.8000000000002</v>
      </c>
      <c r="G551" s="50" t="s">
        <v>85</v>
      </c>
      <c r="H551" s="50" t="s">
        <v>1985</v>
      </c>
      <c r="I551" s="49" t="s">
        <v>173</v>
      </c>
      <c r="J551" s="50" t="s">
        <v>109</v>
      </c>
      <c r="K551" s="50" t="s">
        <v>109</v>
      </c>
      <c r="L551" s="50" t="s">
        <v>15</v>
      </c>
      <c r="M551" s="50" t="s">
        <v>13</v>
      </c>
      <c r="N551" s="50" t="s">
        <v>16</v>
      </c>
      <c r="O551" s="48" t="s">
        <v>631</v>
      </c>
      <c r="P551" s="45" t="s">
        <v>453</v>
      </c>
      <c r="Q551" s="35" t="str">
        <f>MID(Tabla1[[#This Row],[Aplicación]],14,1)</f>
        <v>2</v>
      </c>
      <c r="R551" s="35" t="s">
        <v>441</v>
      </c>
      <c r="S551" s="35" t="str">
        <f>MID(Tabla1[[#This Row],[Aplicación]],6,2)</f>
        <v>03</v>
      </c>
      <c r="T551" s="35" t="str">
        <f>VLOOKUP(Tabla1[[#This Row],[AREA]],Hoja1!A:B,2,FALSE)</f>
        <v>03. Participación ciudadana y deportes</v>
      </c>
      <c r="U551" s="35" t="str">
        <f>MID(Tabla1[[#This Row],[Aplicación]],9,4)</f>
        <v>9241</v>
      </c>
      <c r="V551" s="35" t="str">
        <f>VLOOKUP(Tabla1[[#This Row],[PROGRAMA]],Hoja1!A:B,2,FALSE)</f>
        <v>9241. Participación ciudadana</v>
      </c>
      <c r="W551" s="35" t="str">
        <f>MID(Tabla1[[#This Row],[Aplicación]],14,2)</f>
        <v>21</v>
      </c>
      <c r="X551" s="35" t="str">
        <f>MID(Tabla1[[#This Row],[Aplicación]],14,6)</f>
        <v>213</v>
      </c>
    </row>
    <row r="552" spans="1:24" x14ac:dyDescent="0.25">
      <c r="A552" s="49">
        <v>220220002607</v>
      </c>
      <c r="B552" s="50" t="s">
        <v>9</v>
      </c>
      <c r="C552" s="57">
        <v>44599</v>
      </c>
      <c r="D552" s="49">
        <v>22022001882</v>
      </c>
      <c r="E552" s="50" t="s">
        <v>1659</v>
      </c>
      <c r="F552" s="58">
        <v>1815</v>
      </c>
      <c r="G552" s="50" t="s">
        <v>1986</v>
      </c>
      <c r="H552" s="50" t="s">
        <v>1987</v>
      </c>
      <c r="I552" s="49" t="s">
        <v>107</v>
      </c>
      <c r="J552" s="50" t="s">
        <v>547</v>
      </c>
      <c r="K552" s="50" t="s">
        <v>109</v>
      </c>
      <c r="L552" s="50" t="s">
        <v>12</v>
      </c>
      <c r="M552" s="50" t="s">
        <v>10</v>
      </c>
      <c r="N552" s="50" t="s">
        <v>11</v>
      </c>
      <c r="O552" s="48" t="s">
        <v>632</v>
      </c>
      <c r="P552" s="45" t="s">
        <v>453</v>
      </c>
      <c r="Q552" s="35" t="str">
        <f>MID(Tabla1[[#This Row],[Aplicación]],14,1)</f>
        <v>2</v>
      </c>
      <c r="R552" s="35" t="s">
        <v>441</v>
      </c>
      <c r="S552" s="35" t="str">
        <f>MID(Tabla1[[#This Row],[Aplicación]],6,2)</f>
        <v>05</v>
      </c>
      <c r="T552" s="35" t="str">
        <f>VLOOKUP(Tabla1[[#This Row],[AREA]],Hoja1!A:B,2,FALSE)</f>
        <v>05. Innovación, desarrollo económico, empleo y comercio</v>
      </c>
      <c r="U552" s="35" t="str">
        <f>MID(Tabla1[[#This Row],[Aplicación]],9,4)</f>
        <v>4331</v>
      </c>
      <c r="V552" s="35" t="str">
        <f>VLOOKUP(Tabla1[[#This Row],[PROGRAMA]],Hoja1!A:B,2,FALSE)</f>
        <v>4331. Desarrollo empresarial</v>
      </c>
      <c r="W552" s="35" t="str">
        <f>MID(Tabla1[[#This Row],[Aplicación]],14,2)</f>
        <v>22</v>
      </c>
      <c r="X552" s="35" t="str">
        <f>MID(Tabla1[[#This Row],[Aplicación]],14,6)</f>
        <v>22799</v>
      </c>
    </row>
    <row r="553" spans="1:24" x14ac:dyDescent="0.25">
      <c r="A553" s="49">
        <v>220219000925</v>
      </c>
      <c r="B553" s="50" t="s">
        <v>9</v>
      </c>
      <c r="C553" s="57">
        <v>44562</v>
      </c>
      <c r="D553" s="49">
        <v>22022000121</v>
      </c>
      <c r="E553" s="50" t="s">
        <v>1988</v>
      </c>
      <c r="F553" s="58">
        <v>13500</v>
      </c>
      <c r="G553" s="50" t="s">
        <v>38</v>
      </c>
      <c r="H553" s="50" t="s">
        <v>1989</v>
      </c>
      <c r="I553" s="49" t="s">
        <v>107</v>
      </c>
      <c r="J553" s="50" t="s">
        <v>129</v>
      </c>
      <c r="K553" s="50" t="s">
        <v>170</v>
      </c>
      <c r="L553" s="50" t="s">
        <v>15</v>
      </c>
      <c r="M553" s="50" t="s">
        <v>13</v>
      </c>
      <c r="N553" s="50" t="s">
        <v>14</v>
      </c>
      <c r="O553" s="48" t="s">
        <v>620</v>
      </c>
      <c r="P553" s="45" t="s">
        <v>453</v>
      </c>
      <c r="Q553" s="35" t="str">
        <f>MID(Tabla1[[#This Row],[Aplicación]],14,1)</f>
        <v>2</v>
      </c>
      <c r="R553" s="35" t="s">
        <v>441</v>
      </c>
      <c r="S553" s="35" t="str">
        <f>MID(Tabla1[[#This Row],[Aplicación]],6,2)</f>
        <v>10</v>
      </c>
      <c r="T553" s="35" t="str">
        <f>VLOOKUP(Tabla1[[#This Row],[AREA]],Hoja1!A:B,2,FALSE)</f>
        <v>10. Servicios sociales y mediación comunitaria</v>
      </c>
      <c r="U553" s="35" t="str">
        <f>MID(Tabla1[[#This Row],[Aplicación]],9,4)</f>
        <v>2412</v>
      </c>
      <c r="V553" s="35" t="str">
        <f>VLOOKUP(Tabla1[[#This Row],[PROGRAMA]],Hoja1!A:B,2,FALSE)</f>
        <v>2412. Formación para el empleo</v>
      </c>
      <c r="W553" s="35" t="str">
        <f>MID(Tabla1[[#This Row],[Aplicación]],14,2)</f>
        <v>22</v>
      </c>
      <c r="X553" s="35" t="str">
        <f>MID(Tabla1[[#This Row],[Aplicación]],14,6)</f>
        <v>22100</v>
      </c>
    </row>
    <row r="554" spans="1:24" x14ac:dyDescent="0.25">
      <c r="A554" s="49">
        <v>220219000936</v>
      </c>
      <c r="B554" s="50" t="s">
        <v>9</v>
      </c>
      <c r="C554" s="57">
        <v>44562</v>
      </c>
      <c r="D554" s="49">
        <v>22022000132</v>
      </c>
      <c r="E554" s="50" t="s">
        <v>1990</v>
      </c>
      <c r="F554" s="58">
        <v>13500</v>
      </c>
      <c r="G554" s="50" t="s">
        <v>38</v>
      </c>
      <c r="H554" s="50" t="s">
        <v>1991</v>
      </c>
      <c r="I554" s="49" t="s">
        <v>107</v>
      </c>
      <c r="J554" s="50" t="s">
        <v>129</v>
      </c>
      <c r="K554" s="50" t="s">
        <v>170</v>
      </c>
      <c r="L554" s="50" t="s">
        <v>15</v>
      </c>
      <c r="M554" s="50" t="s">
        <v>13</v>
      </c>
      <c r="N554" s="50" t="s">
        <v>14</v>
      </c>
      <c r="O554" s="48" t="s">
        <v>620</v>
      </c>
      <c r="P554" s="45" t="s">
        <v>453</v>
      </c>
      <c r="Q554" s="35" t="str">
        <f>MID(Tabla1[[#This Row],[Aplicación]],14,1)</f>
        <v>2</v>
      </c>
      <c r="R554" s="35" t="s">
        <v>441</v>
      </c>
      <c r="S554" s="35" t="str">
        <f>MID(Tabla1[[#This Row],[Aplicación]],6,2)</f>
        <v>08</v>
      </c>
      <c r="T554" s="35" t="str">
        <f>VLOOKUP(Tabla1[[#This Row],[AREA]],Hoja1!A:B,2,FALSE)</f>
        <v>08. Movilidad y espacio urbano</v>
      </c>
      <c r="U554" s="35" t="str">
        <f>MID(Tabla1[[#This Row],[Aplicación]],9,4)</f>
        <v>1532</v>
      </c>
      <c r="V554" s="35" t="str">
        <f>VLOOKUP(Tabla1[[#This Row],[PROGRAMA]],Hoja1!A:B,2,FALSE)</f>
        <v>1532. Pavimentación vias públicas y otros servicios urbanísticos</v>
      </c>
      <c r="W554" s="35" t="str">
        <f>MID(Tabla1[[#This Row],[Aplicación]],14,2)</f>
        <v>22</v>
      </c>
      <c r="X554" s="35" t="str">
        <f>MID(Tabla1[[#This Row],[Aplicación]],14,6)</f>
        <v>22100</v>
      </c>
    </row>
    <row r="555" spans="1:24" x14ac:dyDescent="0.25">
      <c r="A555" s="49">
        <v>220220000301</v>
      </c>
      <c r="B555" s="50" t="s">
        <v>26</v>
      </c>
      <c r="C555" s="57">
        <v>44582</v>
      </c>
      <c r="D555" s="49">
        <v>22022001063</v>
      </c>
      <c r="E555" s="50" t="s">
        <v>1890</v>
      </c>
      <c r="F555" s="58">
        <v>1435.47</v>
      </c>
      <c r="G555" s="50" t="s">
        <v>85</v>
      </c>
      <c r="H555" s="50" t="s">
        <v>1992</v>
      </c>
      <c r="I555" s="49" t="s">
        <v>197</v>
      </c>
      <c r="J555" s="50" t="s">
        <v>109</v>
      </c>
      <c r="K555" s="50" t="s">
        <v>109</v>
      </c>
      <c r="L555" s="50" t="s">
        <v>15</v>
      </c>
      <c r="M555" s="50" t="s">
        <v>13</v>
      </c>
      <c r="N555" s="50" t="s">
        <v>14</v>
      </c>
      <c r="O555" s="48" t="s">
        <v>631</v>
      </c>
      <c r="P555" s="45" t="s">
        <v>453</v>
      </c>
      <c r="Q555" s="35" t="str">
        <f>MID(Tabla1[[#This Row],[Aplicación]],14,1)</f>
        <v>2</v>
      </c>
      <c r="R555" s="35" t="s">
        <v>441</v>
      </c>
      <c r="S555" s="35" t="str">
        <f>MID(Tabla1[[#This Row],[Aplicación]],6,2)</f>
        <v>02</v>
      </c>
      <c r="T555" s="35" t="str">
        <f>VLOOKUP(Tabla1[[#This Row],[AREA]],Hoja1!A:B,2,FALSE)</f>
        <v>02. Planeamiento urbanístico y vivienda</v>
      </c>
      <c r="U555" s="35" t="str">
        <f>MID(Tabla1[[#This Row],[Aplicación]],9,4)</f>
        <v>9332</v>
      </c>
      <c r="V555" s="35" t="str">
        <f>VLOOKUP(Tabla1[[#This Row],[PROGRAMA]],Hoja1!A:B,2,FALSE)</f>
        <v>9332. Mantenimiento de edificios e instalaciones municipales</v>
      </c>
      <c r="W555" s="35" t="str">
        <f>MID(Tabla1[[#This Row],[Aplicación]],14,2)</f>
        <v>21</v>
      </c>
      <c r="X555" s="35" t="str">
        <f>MID(Tabla1[[#This Row],[Aplicación]],14,6)</f>
        <v>212</v>
      </c>
    </row>
    <row r="556" spans="1:24" x14ac:dyDescent="0.25">
      <c r="A556" s="49">
        <v>220220007397</v>
      </c>
      <c r="B556" s="50" t="s">
        <v>9</v>
      </c>
      <c r="C556" s="57">
        <v>44624</v>
      </c>
      <c r="D556" s="49">
        <v>22022002582</v>
      </c>
      <c r="E556" s="50" t="s">
        <v>1635</v>
      </c>
      <c r="F556" s="58">
        <v>108.9</v>
      </c>
      <c r="G556" s="50" t="s">
        <v>684</v>
      </c>
      <c r="H556" s="50" t="s">
        <v>1993</v>
      </c>
      <c r="I556" s="49" t="s">
        <v>107</v>
      </c>
      <c r="J556" s="50" t="s">
        <v>109</v>
      </c>
      <c r="K556" s="50" t="s">
        <v>109</v>
      </c>
      <c r="L556" s="50" t="s">
        <v>12</v>
      </c>
      <c r="M556" s="50" t="s">
        <v>10</v>
      </c>
      <c r="N556" s="50" t="s">
        <v>11</v>
      </c>
      <c r="O556" s="48" t="s">
        <v>632</v>
      </c>
      <c r="P556" s="45" t="s">
        <v>453</v>
      </c>
      <c r="Q556" s="35" t="str">
        <f>MID(Tabla1[[#This Row],[Aplicación]],14,1)</f>
        <v>2</v>
      </c>
      <c r="R556" s="35" t="s">
        <v>441</v>
      </c>
      <c r="S556" s="35" t="str">
        <f>MID(Tabla1[[#This Row],[Aplicación]],6,2)</f>
        <v>03</v>
      </c>
      <c r="T556" s="35" t="str">
        <f>VLOOKUP(Tabla1[[#This Row],[AREA]],Hoja1!A:B,2,FALSE)</f>
        <v>03. Participación ciudadana y deportes</v>
      </c>
      <c r="U556" s="35" t="str">
        <f>MID(Tabla1[[#This Row],[Aplicación]],9,4)</f>
        <v>9241</v>
      </c>
      <c r="V556" s="35" t="str">
        <f>VLOOKUP(Tabla1[[#This Row],[PROGRAMA]],Hoja1!A:B,2,FALSE)</f>
        <v>9241. Participación ciudadana</v>
      </c>
      <c r="W556" s="35" t="str">
        <f>MID(Tabla1[[#This Row],[Aplicación]],14,2)</f>
        <v>21</v>
      </c>
      <c r="X556" s="35" t="str">
        <f>MID(Tabla1[[#This Row],[Aplicación]],14,6)</f>
        <v>212</v>
      </c>
    </row>
    <row r="557" spans="1:24" x14ac:dyDescent="0.25">
      <c r="A557" s="49">
        <v>220219000412</v>
      </c>
      <c r="B557" s="50" t="s">
        <v>9</v>
      </c>
      <c r="C557" s="57">
        <v>44562</v>
      </c>
      <c r="D557" s="49">
        <v>22022000548</v>
      </c>
      <c r="E557" s="50" t="s">
        <v>1712</v>
      </c>
      <c r="F557" s="58">
        <v>8955.67</v>
      </c>
      <c r="G557" s="50" t="s">
        <v>681</v>
      </c>
      <c r="H557" s="50" t="s">
        <v>1081</v>
      </c>
      <c r="I557" s="49" t="s">
        <v>107</v>
      </c>
      <c r="J557" s="50" t="s">
        <v>151</v>
      </c>
      <c r="K557" s="50" t="s">
        <v>151</v>
      </c>
      <c r="L557" s="50" t="s">
        <v>15</v>
      </c>
      <c r="M557" s="50" t="s">
        <v>13</v>
      </c>
      <c r="N557" s="50" t="s">
        <v>14</v>
      </c>
      <c r="O557" s="48" t="s">
        <v>620</v>
      </c>
      <c r="P557" s="45" t="s">
        <v>453</v>
      </c>
      <c r="Q557" s="35" t="str">
        <f>MID(Tabla1[[#This Row],[Aplicación]],14,1)</f>
        <v>2</v>
      </c>
      <c r="R557" s="35" t="s">
        <v>441</v>
      </c>
      <c r="S557" s="35" t="str">
        <f>MID(Tabla1[[#This Row],[Aplicación]],6,2)</f>
        <v>01</v>
      </c>
      <c r="T557" s="35" t="str">
        <f>VLOOKUP(Tabla1[[#This Row],[AREA]],Hoja1!A:B,2,FALSE)</f>
        <v>01. Alcaldía</v>
      </c>
      <c r="U557" s="35" t="str">
        <f>MID(Tabla1[[#This Row],[Aplicación]],9,4)</f>
        <v>9203</v>
      </c>
      <c r="V557" s="35" t="str">
        <f>VLOOKUP(Tabla1[[#This Row],[PROGRAMA]],Hoja1!A:B,2,FALSE)</f>
        <v>9203. Unidad de régimen interior</v>
      </c>
      <c r="W557" s="35" t="str">
        <f>MID(Tabla1[[#This Row],[Aplicación]],14,2)</f>
        <v>22</v>
      </c>
      <c r="X557" s="35" t="str">
        <f>MID(Tabla1[[#This Row],[Aplicación]],14,6)</f>
        <v>22000</v>
      </c>
    </row>
    <row r="558" spans="1:24" x14ac:dyDescent="0.25">
      <c r="A558" s="49">
        <v>220219000409</v>
      </c>
      <c r="B558" s="50" t="s">
        <v>9</v>
      </c>
      <c r="C558" s="57">
        <v>44562</v>
      </c>
      <c r="D558" s="49">
        <v>22022000545</v>
      </c>
      <c r="E558" s="50" t="s">
        <v>1712</v>
      </c>
      <c r="F558" s="58">
        <v>2606.48</v>
      </c>
      <c r="G558" s="50" t="s">
        <v>681</v>
      </c>
      <c r="H558" s="50" t="s">
        <v>1994</v>
      </c>
      <c r="I558" s="49" t="s">
        <v>107</v>
      </c>
      <c r="J558" s="50" t="s">
        <v>151</v>
      </c>
      <c r="K558" s="50" t="s">
        <v>151</v>
      </c>
      <c r="L558" s="50" t="s">
        <v>15</v>
      </c>
      <c r="M558" s="50" t="s">
        <v>13</v>
      </c>
      <c r="N558" s="50" t="s">
        <v>14</v>
      </c>
      <c r="O558" s="48" t="s">
        <v>620</v>
      </c>
      <c r="P558" s="45" t="s">
        <v>453</v>
      </c>
      <c r="Q558" s="35" t="str">
        <f>MID(Tabla1[[#This Row],[Aplicación]],14,1)</f>
        <v>2</v>
      </c>
      <c r="R558" s="35" t="s">
        <v>441</v>
      </c>
      <c r="S558" s="35" t="str">
        <f>MID(Tabla1[[#This Row],[Aplicación]],6,2)</f>
        <v>01</v>
      </c>
      <c r="T558" s="35" t="str">
        <f>VLOOKUP(Tabla1[[#This Row],[AREA]],Hoja1!A:B,2,FALSE)</f>
        <v>01. Alcaldía</v>
      </c>
      <c r="U558" s="35" t="str">
        <f>MID(Tabla1[[#This Row],[Aplicación]],9,4)</f>
        <v>9203</v>
      </c>
      <c r="V558" s="35" t="str">
        <f>VLOOKUP(Tabla1[[#This Row],[PROGRAMA]],Hoja1!A:B,2,FALSE)</f>
        <v>9203. Unidad de régimen interior</v>
      </c>
      <c r="W558" s="35" t="str">
        <f>MID(Tabla1[[#This Row],[Aplicación]],14,2)</f>
        <v>22</v>
      </c>
      <c r="X558" s="35" t="str">
        <f>MID(Tabla1[[#This Row],[Aplicación]],14,6)</f>
        <v>22000</v>
      </c>
    </row>
    <row r="559" spans="1:24" x14ac:dyDescent="0.25">
      <c r="A559" s="49">
        <v>220220000369</v>
      </c>
      <c r="B559" s="50" t="s">
        <v>9</v>
      </c>
      <c r="C559" s="57">
        <v>44585</v>
      </c>
      <c r="D559" s="49">
        <v>22022001533</v>
      </c>
      <c r="E559" s="50" t="s">
        <v>1995</v>
      </c>
      <c r="F559" s="58">
        <v>2707.01</v>
      </c>
      <c r="G559" s="50" t="s">
        <v>39</v>
      </c>
      <c r="H559" s="50" t="s">
        <v>1996</v>
      </c>
      <c r="I559" s="49" t="s">
        <v>107</v>
      </c>
      <c r="J559" s="50" t="s">
        <v>109</v>
      </c>
      <c r="K559" s="50" t="s">
        <v>109</v>
      </c>
      <c r="L559" s="50" t="s">
        <v>15</v>
      </c>
      <c r="M559" s="50" t="s">
        <v>10</v>
      </c>
      <c r="N559" s="50" t="s">
        <v>11</v>
      </c>
      <c r="O559" s="48" t="s">
        <v>632</v>
      </c>
      <c r="P559" s="45" t="s">
        <v>453</v>
      </c>
      <c r="Q559" s="35" t="str">
        <f>MID(Tabla1[[#This Row],[Aplicación]],14,1)</f>
        <v>2</v>
      </c>
      <c r="R559" s="35" t="s">
        <v>441</v>
      </c>
      <c r="S559" s="35" t="str">
        <f>MID(Tabla1[[#This Row],[Aplicación]],6,2)</f>
        <v>03</v>
      </c>
      <c r="T559" s="35" t="str">
        <f>VLOOKUP(Tabla1[[#This Row],[AREA]],Hoja1!A:B,2,FALSE)</f>
        <v>03. Participación ciudadana y deportes</v>
      </c>
      <c r="U559" s="35" t="str">
        <f>MID(Tabla1[[#This Row],[Aplicación]],9,4)</f>
        <v>9241</v>
      </c>
      <c r="V559" s="35" t="str">
        <f>VLOOKUP(Tabla1[[#This Row],[PROGRAMA]],Hoja1!A:B,2,FALSE)</f>
        <v>9241. Participación ciudadana</v>
      </c>
      <c r="W559" s="35" t="str">
        <f>MID(Tabla1[[#This Row],[Aplicación]],14,2)</f>
        <v>22</v>
      </c>
      <c r="X559" s="35" t="str">
        <f>MID(Tabla1[[#This Row],[Aplicación]],14,6)</f>
        <v>22104</v>
      </c>
    </row>
    <row r="560" spans="1:24" x14ac:dyDescent="0.25">
      <c r="A560" s="49">
        <v>220220003280</v>
      </c>
      <c r="B560" s="50" t="s">
        <v>9</v>
      </c>
      <c r="C560" s="57">
        <v>44602</v>
      </c>
      <c r="D560" s="49">
        <v>22022002045</v>
      </c>
      <c r="E560" s="50" t="s">
        <v>1853</v>
      </c>
      <c r="F560" s="58">
        <v>4000</v>
      </c>
      <c r="G560" s="50" t="s">
        <v>223</v>
      </c>
      <c r="H560" s="50" t="s">
        <v>1997</v>
      </c>
      <c r="I560" s="49" t="s">
        <v>107</v>
      </c>
      <c r="J560" s="50" t="s">
        <v>1009</v>
      </c>
      <c r="K560" s="50" t="s">
        <v>109</v>
      </c>
      <c r="L560" s="50" t="s">
        <v>12</v>
      </c>
      <c r="M560" s="50" t="s">
        <v>10</v>
      </c>
      <c r="N560" s="50" t="s">
        <v>11</v>
      </c>
      <c r="O560" s="48" t="s">
        <v>632</v>
      </c>
      <c r="P560" s="45" t="s">
        <v>453</v>
      </c>
      <c r="Q560" s="35" t="str">
        <f>MID(Tabla1[[#This Row],[Aplicación]],14,1)</f>
        <v>2</v>
      </c>
      <c r="R560" s="35" t="s">
        <v>441</v>
      </c>
      <c r="S560" s="35" t="str">
        <f>MID(Tabla1[[#This Row],[Aplicación]],6,2)</f>
        <v>07</v>
      </c>
      <c r="T560" s="35" t="str">
        <f>VLOOKUP(Tabla1[[#This Row],[AREA]],Hoja1!A:B,2,FALSE)</f>
        <v>07. Medio ambiente y desarrollo sostenible</v>
      </c>
      <c r="U560" s="35" t="str">
        <f>MID(Tabla1[[#This Row],[Aplicación]],9,4)</f>
        <v>1711</v>
      </c>
      <c r="V560" s="35" t="str">
        <f>VLOOKUP(Tabla1[[#This Row],[PROGRAMA]],Hoja1!A:B,2,FALSE)</f>
        <v>1711. Parques y jardines</v>
      </c>
      <c r="W560" s="35" t="str">
        <f>MID(Tabla1[[#This Row],[Aplicación]],14,2)</f>
        <v>21</v>
      </c>
      <c r="X560" s="35" t="str">
        <f>MID(Tabla1[[#This Row],[Aplicación]],14,6)</f>
        <v>213</v>
      </c>
    </row>
    <row r="561" spans="1:24" x14ac:dyDescent="0.25">
      <c r="A561" s="49">
        <v>220220009497</v>
      </c>
      <c r="B561" s="50" t="s">
        <v>172</v>
      </c>
      <c r="C561" s="57">
        <v>44636</v>
      </c>
      <c r="D561" s="49">
        <v>22022001449</v>
      </c>
      <c r="E561" s="50" t="s">
        <v>1890</v>
      </c>
      <c r="F561" s="58">
        <v>773.65</v>
      </c>
      <c r="G561" s="50" t="s">
        <v>85</v>
      </c>
      <c r="H561" s="50" t="s">
        <v>1998</v>
      </c>
      <c r="I561" s="49" t="s">
        <v>173</v>
      </c>
      <c r="J561" s="50" t="s">
        <v>109</v>
      </c>
      <c r="K561" s="50" t="s">
        <v>109</v>
      </c>
      <c r="L561" s="50" t="s">
        <v>15</v>
      </c>
      <c r="M561" s="50" t="s">
        <v>13</v>
      </c>
      <c r="N561" s="50" t="s">
        <v>14</v>
      </c>
      <c r="O561" s="48" t="s">
        <v>631</v>
      </c>
      <c r="P561" s="45" t="s">
        <v>453</v>
      </c>
      <c r="Q561" s="35" t="str">
        <f>MID(Tabla1[[#This Row],[Aplicación]],14,1)</f>
        <v>2</v>
      </c>
      <c r="R561" s="35" t="s">
        <v>441</v>
      </c>
      <c r="S561" s="35" t="str">
        <f>MID(Tabla1[[#This Row],[Aplicación]],6,2)</f>
        <v>02</v>
      </c>
      <c r="T561" s="35" t="str">
        <f>VLOOKUP(Tabla1[[#This Row],[AREA]],Hoja1!A:B,2,FALSE)</f>
        <v>02. Planeamiento urbanístico y vivienda</v>
      </c>
      <c r="U561" s="35" t="str">
        <f>MID(Tabla1[[#This Row],[Aplicación]],9,4)</f>
        <v>9332</v>
      </c>
      <c r="V561" s="35" t="str">
        <f>VLOOKUP(Tabla1[[#This Row],[PROGRAMA]],Hoja1!A:B,2,FALSE)</f>
        <v>9332. Mantenimiento de edificios e instalaciones municipales</v>
      </c>
      <c r="W561" s="35" t="str">
        <f>MID(Tabla1[[#This Row],[Aplicación]],14,2)</f>
        <v>21</v>
      </c>
      <c r="X561" s="35" t="str">
        <f>MID(Tabla1[[#This Row],[Aplicación]],14,6)</f>
        <v>212</v>
      </c>
    </row>
    <row r="562" spans="1:24" x14ac:dyDescent="0.25">
      <c r="A562" s="49">
        <v>220220001607</v>
      </c>
      <c r="B562" s="50" t="s">
        <v>9</v>
      </c>
      <c r="C562" s="57">
        <v>44587</v>
      </c>
      <c r="D562" s="49">
        <v>22022001435</v>
      </c>
      <c r="E562" s="50" t="s">
        <v>1999</v>
      </c>
      <c r="F562" s="58">
        <v>372.45</v>
      </c>
      <c r="G562" s="50" t="s">
        <v>223</v>
      </c>
      <c r="H562" s="50" t="s">
        <v>2000</v>
      </c>
      <c r="I562" s="49" t="s">
        <v>107</v>
      </c>
      <c r="J562" s="50" t="s">
        <v>1009</v>
      </c>
      <c r="K562" s="50" t="s">
        <v>109</v>
      </c>
      <c r="L562" s="50" t="s">
        <v>12</v>
      </c>
      <c r="M562" s="50" t="s">
        <v>10</v>
      </c>
      <c r="N562" s="50" t="s">
        <v>11</v>
      </c>
      <c r="O562" s="48" t="s">
        <v>632</v>
      </c>
      <c r="P562" s="45" t="s">
        <v>453</v>
      </c>
      <c r="Q562" s="35" t="str">
        <f>MID(Tabla1[[#This Row],[Aplicación]],14,1)</f>
        <v>2</v>
      </c>
      <c r="R562" s="35" t="s">
        <v>441</v>
      </c>
      <c r="S562" s="35" t="str">
        <f>MID(Tabla1[[#This Row],[Aplicación]],6,2)</f>
        <v>10</v>
      </c>
      <c r="T562" s="35" t="str">
        <f>VLOOKUP(Tabla1[[#This Row],[AREA]],Hoja1!A:B,2,FALSE)</f>
        <v>10. Servicios sociales y mediación comunitaria</v>
      </c>
      <c r="U562" s="35" t="str">
        <f>MID(Tabla1[[#This Row],[Aplicación]],9,4)</f>
        <v>2412</v>
      </c>
      <c r="V562" s="35" t="str">
        <f>VLOOKUP(Tabla1[[#This Row],[PROGRAMA]],Hoja1!A:B,2,FALSE)</f>
        <v>2412. Formación para el empleo</v>
      </c>
      <c r="W562" s="35" t="str">
        <f>MID(Tabla1[[#This Row],[Aplicación]],14,2)</f>
        <v>20</v>
      </c>
      <c r="X562" s="35" t="str">
        <f>MID(Tabla1[[#This Row],[Aplicación]],14,6)</f>
        <v>203</v>
      </c>
    </row>
    <row r="563" spans="1:24" x14ac:dyDescent="0.25">
      <c r="A563" s="49">
        <v>220220009357</v>
      </c>
      <c r="B563" s="50" t="s">
        <v>9</v>
      </c>
      <c r="C563" s="57">
        <v>44636</v>
      </c>
      <c r="D563" s="49">
        <v>22022002784</v>
      </c>
      <c r="E563" s="50" t="s">
        <v>1765</v>
      </c>
      <c r="F563" s="58">
        <v>285.56</v>
      </c>
      <c r="G563" s="50" t="s">
        <v>223</v>
      </c>
      <c r="H563" s="50" t="s">
        <v>2001</v>
      </c>
      <c r="I563" s="49" t="s">
        <v>107</v>
      </c>
      <c r="J563" s="50" t="s">
        <v>1009</v>
      </c>
      <c r="K563" s="50" t="s">
        <v>109</v>
      </c>
      <c r="L563" s="50" t="s">
        <v>12</v>
      </c>
      <c r="M563" s="50" t="s">
        <v>10</v>
      </c>
      <c r="N563" s="50" t="s">
        <v>11</v>
      </c>
      <c r="O563" s="48" t="s">
        <v>632</v>
      </c>
      <c r="P563" s="45" t="s">
        <v>453</v>
      </c>
      <c r="Q563" s="35" t="str">
        <f>MID(Tabla1[[#This Row],[Aplicación]],14,1)</f>
        <v>2</v>
      </c>
      <c r="R563" s="35" t="s">
        <v>441</v>
      </c>
      <c r="S563" s="35" t="str">
        <f>MID(Tabla1[[#This Row],[Aplicación]],6,2)</f>
        <v>11</v>
      </c>
      <c r="T563" s="35" t="str">
        <f>VLOOKUP(Tabla1[[#This Row],[AREA]],Hoja1!A:B,2,FALSE)</f>
        <v>11. Salud pública y seguridad ciudadana</v>
      </c>
      <c r="U563" s="35" t="str">
        <f>MID(Tabla1[[#This Row],[Aplicación]],9,4)</f>
        <v>1321</v>
      </c>
      <c r="V563" s="35" t="str">
        <f>VLOOKUP(Tabla1[[#This Row],[PROGRAMA]],Hoja1!A:B,2,FALSE)</f>
        <v>1321. Policía municipal</v>
      </c>
      <c r="W563" s="35" t="str">
        <f>MID(Tabla1[[#This Row],[Aplicación]],14,2)</f>
        <v>22</v>
      </c>
      <c r="X563" s="35" t="str">
        <f>MID(Tabla1[[#This Row],[Aplicación]],14,6)</f>
        <v>22699</v>
      </c>
    </row>
    <row r="564" spans="1:24" x14ac:dyDescent="0.25">
      <c r="A564" s="49">
        <v>220210063804</v>
      </c>
      <c r="B564" s="50" t="s">
        <v>9</v>
      </c>
      <c r="C564" s="57">
        <v>44631</v>
      </c>
      <c r="D564" s="49">
        <v>22021003535</v>
      </c>
      <c r="E564" s="50" t="s">
        <v>2002</v>
      </c>
      <c r="F564" s="58">
        <v>22311.19</v>
      </c>
      <c r="G564" s="50" t="s">
        <v>243</v>
      </c>
      <c r="H564" s="50" t="s">
        <v>1182</v>
      </c>
      <c r="I564" s="49" t="s">
        <v>107</v>
      </c>
      <c r="J564" s="50" t="s">
        <v>109</v>
      </c>
      <c r="K564" s="50" t="s">
        <v>109</v>
      </c>
      <c r="L564" s="50" t="s">
        <v>15</v>
      </c>
      <c r="M564" s="50" t="s">
        <v>13</v>
      </c>
      <c r="N564" s="50" t="s">
        <v>14</v>
      </c>
      <c r="O564" s="48" t="s">
        <v>620</v>
      </c>
      <c r="P564" s="45" t="s">
        <v>453</v>
      </c>
      <c r="Q564" s="35" t="str">
        <f>MID(Tabla1[[#This Row],[Aplicación]],14,1)</f>
        <v>6</v>
      </c>
      <c r="R564" s="35" t="s">
        <v>442</v>
      </c>
      <c r="S564" s="35" t="str">
        <f>MID(Tabla1[[#This Row],[Aplicación]],6,2)</f>
        <v>07</v>
      </c>
      <c r="T564" s="35" t="str">
        <f>VLOOKUP(Tabla1[[#This Row],[AREA]],Hoja1!A:B,2,FALSE)</f>
        <v>07. Medio ambiente y desarrollo sostenible</v>
      </c>
      <c r="U564" s="35" t="str">
        <f>MID(Tabla1[[#This Row],[Aplicación]],9,4)</f>
        <v>1711</v>
      </c>
      <c r="V564" s="35" t="str">
        <f>VLOOKUP(Tabla1[[#This Row],[PROGRAMA]],Hoja1!A:B,2,FALSE)</f>
        <v>1711. Parques y jardines</v>
      </c>
      <c r="W564" s="35" t="str">
        <f>MID(Tabla1[[#This Row],[Aplicación]],14,2)</f>
        <v>62</v>
      </c>
      <c r="X564" s="35" t="str">
        <f>MID(Tabla1[[#This Row],[Aplicación]],14,6)</f>
        <v>623</v>
      </c>
    </row>
    <row r="565" spans="1:24" x14ac:dyDescent="0.25">
      <c r="A565" s="49">
        <v>220220001749</v>
      </c>
      <c r="B565" s="50" t="s">
        <v>172</v>
      </c>
      <c r="C565" s="57">
        <v>44588</v>
      </c>
      <c r="D565" s="49">
        <v>22022001636</v>
      </c>
      <c r="E565" s="50" t="s">
        <v>1853</v>
      </c>
      <c r="F565" s="58">
        <v>266.32</v>
      </c>
      <c r="G565" s="50" t="s">
        <v>243</v>
      </c>
      <c r="H565" s="50" t="s">
        <v>1109</v>
      </c>
      <c r="I565" s="49" t="s">
        <v>173</v>
      </c>
      <c r="J565" s="50" t="s">
        <v>109</v>
      </c>
      <c r="K565" s="50" t="s">
        <v>109</v>
      </c>
      <c r="L565" s="50" t="s">
        <v>15</v>
      </c>
      <c r="M565" s="50" t="s">
        <v>13</v>
      </c>
      <c r="N565" s="50" t="s">
        <v>14</v>
      </c>
      <c r="O565" s="48" t="s">
        <v>631</v>
      </c>
      <c r="P565" s="45" t="s">
        <v>453</v>
      </c>
      <c r="Q565" s="35" t="str">
        <f>MID(Tabla1[[#This Row],[Aplicación]],14,1)</f>
        <v>2</v>
      </c>
      <c r="R565" s="35" t="s">
        <v>441</v>
      </c>
      <c r="S565" s="35" t="str">
        <f>MID(Tabla1[[#This Row],[Aplicación]],6,2)</f>
        <v>07</v>
      </c>
      <c r="T565" s="35" t="str">
        <f>VLOOKUP(Tabla1[[#This Row],[AREA]],Hoja1!A:B,2,FALSE)</f>
        <v>07. Medio ambiente y desarrollo sostenible</v>
      </c>
      <c r="U565" s="35" t="str">
        <f>MID(Tabla1[[#This Row],[Aplicación]],9,4)</f>
        <v>1711</v>
      </c>
      <c r="V565" s="35" t="str">
        <f>VLOOKUP(Tabla1[[#This Row],[PROGRAMA]],Hoja1!A:B,2,FALSE)</f>
        <v>1711. Parques y jardines</v>
      </c>
      <c r="W565" s="35" t="str">
        <f>MID(Tabla1[[#This Row],[Aplicación]],14,2)</f>
        <v>21</v>
      </c>
      <c r="X565" s="35" t="str">
        <f>MID(Tabla1[[#This Row],[Aplicación]],14,6)</f>
        <v>213</v>
      </c>
    </row>
    <row r="566" spans="1:24" x14ac:dyDescent="0.25">
      <c r="A566" s="49">
        <v>220220002478</v>
      </c>
      <c r="B566" s="50" t="s">
        <v>172</v>
      </c>
      <c r="C566" s="57">
        <v>44594</v>
      </c>
      <c r="D566" s="49">
        <v>22022001636</v>
      </c>
      <c r="E566" s="50" t="s">
        <v>1853</v>
      </c>
      <c r="F566" s="58">
        <v>423.05</v>
      </c>
      <c r="G566" s="50" t="s">
        <v>243</v>
      </c>
      <c r="H566" s="50" t="s">
        <v>2003</v>
      </c>
      <c r="I566" s="49" t="s">
        <v>173</v>
      </c>
      <c r="J566" s="50" t="s">
        <v>109</v>
      </c>
      <c r="K566" s="50" t="s">
        <v>109</v>
      </c>
      <c r="L566" s="50" t="s">
        <v>15</v>
      </c>
      <c r="M566" s="50" t="s">
        <v>13</v>
      </c>
      <c r="N566" s="50" t="s">
        <v>14</v>
      </c>
      <c r="O566" s="48" t="s">
        <v>631</v>
      </c>
      <c r="P566" s="45" t="s">
        <v>453</v>
      </c>
      <c r="Q566" s="35" t="str">
        <f>MID(Tabla1[[#This Row],[Aplicación]],14,1)</f>
        <v>2</v>
      </c>
      <c r="R566" s="35" t="s">
        <v>441</v>
      </c>
      <c r="S566" s="35" t="str">
        <f>MID(Tabla1[[#This Row],[Aplicación]],6,2)</f>
        <v>07</v>
      </c>
      <c r="T566" s="35" t="str">
        <f>VLOOKUP(Tabla1[[#This Row],[AREA]],Hoja1!A:B,2,FALSE)</f>
        <v>07. Medio ambiente y desarrollo sostenible</v>
      </c>
      <c r="U566" s="35" t="str">
        <f>MID(Tabla1[[#This Row],[Aplicación]],9,4)</f>
        <v>1711</v>
      </c>
      <c r="V566" s="35" t="str">
        <f>VLOOKUP(Tabla1[[#This Row],[PROGRAMA]],Hoja1!A:B,2,FALSE)</f>
        <v>1711. Parques y jardines</v>
      </c>
      <c r="W566" s="35" t="str">
        <f>MID(Tabla1[[#This Row],[Aplicación]],14,2)</f>
        <v>21</v>
      </c>
      <c r="X566" s="35" t="str">
        <f>MID(Tabla1[[#This Row],[Aplicación]],14,6)</f>
        <v>213</v>
      </c>
    </row>
    <row r="567" spans="1:24" x14ac:dyDescent="0.25">
      <c r="A567" s="49">
        <v>220220006839</v>
      </c>
      <c r="B567" s="50" t="s">
        <v>172</v>
      </c>
      <c r="C567" s="57">
        <v>44622</v>
      </c>
      <c r="D567" s="49">
        <v>22022001636</v>
      </c>
      <c r="E567" s="50" t="s">
        <v>1853</v>
      </c>
      <c r="F567" s="58">
        <v>82.35</v>
      </c>
      <c r="G567" s="50" t="s">
        <v>243</v>
      </c>
      <c r="H567" s="50" t="s">
        <v>1109</v>
      </c>
      <c r="I567" s="49" t="s">
        <v>173</v>
      </c>
      <c r="J567" s="50" t="s">
        <v>109</v>
      </c>
      <c r="K567" s="50" t="s">
        <v>109</v>
      </c>
      <c r="L567" s="50" t="s">
        <v>15</v>
      </c>
      <c r="M567" s="50" t="s">
        <v>13</v>
      </c>
      <c r="N567" s="50" t="s">
        <v>14</v>
      </c>
      <c r="O567" s="48" t="s">
        <v>631</v>
      </c>
      <c r="P567" s="45" t="s">
        <v>453</v>
      </c>
      <c r="Q567" s="35" t="str">
        <f>MID(Tabla1[[#This Row],[Aplicación]],14,1)</f>
        <v>2</v>
      </c>
      <c r="R567" s="35" t="s">
        <v>441</v>
      </c>
      <c r="S567" s="35" t="str">
        <f>MID(Tabla1[[#This Row],[Aplicación]],6,2)</f>
        <v>07</v>
      </c>
      <c r="T567" s="35" t="str">
        <f>VLOOKUP(Tabla1[[#This Row],[AREA]],Hoja1!A:B,2,FALSE)</f>
        <v>07. Medio ambiente y desarrollo sostenible</v>
      </c>
      <c r="U567" s="35" t="str">
        <f>MID(Tabla1[[#This Row],[Aplicación]],9,4)</f>
        <v>1711</v>
      </c>
      <c r="V567" s="35" t="str">
        <f>VLOOKUP(Tabla1[[#This Row],[PROGRAMA]],Hoja1!A:B,2,FALSE)</f>
        <v>1711. Parques y jardines</v>
      </c>
      <c r="W567" s="35" t="str">
        <f>MID(Tabla1[[#This Row],[Aplicación]],14,2)</f>
        <v>21</v>
      </c>
      <c r="X567" s="35" t="str">
        <f>MID(Tabla1[[#This Row],[Aplicación]],14,6)</f>
        <v>213</v>
      </c>
    </row>
    <row r="568" spans="1:24" x14ac:dyDescent="0.25">
      <c r="A568" s="49">
        <v>220220000129</v>
      </c>
      <c r="B568" s="50" t="s">
        <v>9</v>
      </c>
      <c r="C568" s="57">
        <v>44582</v>
      </c>
      <c r="D568" s="49">
        <v>22022001318</v>
      </c>
      <c r="E568" s="50" t="s">
        <v>1597</v>
      </c>
      <c r="F568" s="58">
        <v>105.88</v>
      </c>
      <c r="G568" s="50" t="s">
        <v>223</v>
      </c>
      <c r="H568" s="50" t="s">
        <v>2004</v>
      </c>
      <c r="I568" s="49" t="s">
        <v>107</v>
      </c>
      <c r="J568" s="50" t="s">
        <v>1009</v>
      </c>
      <c r="K568" s="50" t="s">
        <v>109</v>
      </c>
      <c r="L568" s="50" t="s">
        <v>12</v>
      </c>
      <c r="M568" s="50" t="s">
        <v>10</v>
      </c>
      <c r="N568" s="50" t="s">
        <v>11</v>
      </c>
      <c r="O568" s="48" t="s">
        <v>632</v>
      </c>
      <c r="P568" s="45" t="s">
        <v>453</v>
      </c>
      <c r="Q568" s="35" t="str">
        <f>MID(Tabla1[[#This Row],[Aplicación]],14,1)</f>
        <v>2</v>
      </c>
      <c r="R568" s="35" t="s">
        <v>441</v>
      </c>
      <c r="S568" s="35" t="str">
        <f>MID(Tabla1[[#This Row],[Aplicación]],6,2)</f>
        <v>11</v>
      </c>
      <c r="T568" s="35" t="str">
        <f>VLOOKUP(Tabla1[[#This Row],[AREA]],Hoja1!A:B,2,FALSE)</f>
        <v>11. Salud pública y seguridad ciudadana</v>
      </c>
      <c r="U568" s="35" t="str">
        <f>MID(Tabla1[[#This Row],[Aplicación]],9,4)</f>
        <v>1621</v>
      </c>
      <c r="V568" s="35" t="str">
        <f>VLOOKUP(Tabla1[[#This Row],[PROGRAMA]],Hoja1!A:B,2,FALSE)</f>
        <v>1621. Servicio de limpieza</v>
      </c>
      <c r="W568" s="35" t="str">
        <f>MID(Tabla1[[#This Row],[Aplicación]],14,2)</f>
        <v>20</v>
      </c>
      <c r="X568" s="35" t="str">
        <f>MID(Tabla1[[#This Row],[Aplicación]],14,6)</f>
        <v>203</v>
      </c>
    </row>
    <row r="569" spans="1:24" x14ac:dyDescent="0.25">
      <c r="A569" s="49">
        <v>220219000413</v>
      </c>
      <c r="B569" s="50" t="s">
        <v>9</v>
      </c>
      <c r="C569" s="57">
        <v>44562</v>
      </c>
      <c r="D569" s="49">
        <v>22022000549</v>
      </c>
      <c r="E569" s="50" t="s">
        <v>1712</v>
      </c>
      <c r="F569" s="58">
        <v>14645.4</v>
      </c>
      <c r="G569" s="50" t="s">
        <v>179</v>
      </c>
      <c r="H569" s="50" t="s">
        <v>1082</v>
      </c>
      <c r="I569" s="49" t="s">
        <v>107</v>
      </c>
      <c r="J569" s="50" t="s">
        <v>109</v>
      </c>
      <c r="K569" s="50" t="s">
        <v>109</v>
      </c>
      <c r="L569" s="50" t="s">
        <v>15</v>
      </c>
      <c r="M569" s="50" t="s">
        <v>13</v>
      </c>
      <c r="N569" s="50" t="s">
        <v>14</v>
      </c>
      <c r="O569" s="48" t="s">
        <v>620</v>
      </c>
      <c r="P569" s="45" t="s">
        <v>453</v>
      </c>
      <c r="Q569" s="35" t="str">
        <f>MID(Tabla1[[#This Row],[Aplicación]],14,1)</f>
        <v>2</v>
      </c>
      <c r="R569" s="35" t="s">
        <v>441</v>
      </c>
      <c r="S569" s="35" t="str">
        <f>MID(Tabla1[[#This Row],[Aplicación]],6,2)</f>
        <v>01</v>
      </c>
      <c r="T569" s="35" t="str">
        <f>VLOOKUP(Tabla1[[#This Row],[AREA]],Hoja1!A:B,2,FALSE)</f>
        <v>01. Alcaldía</v>
      </c>
      <c r="U569" s="35" t="str">
        <f>MID(Tabla1[[#This Row],[Aplicación]],9,4)</f>
        <v>9203</v>
      </c>
      <c r="V569" s="35" t="str">
        <f>VLOOKUP(Tabla1[[#This Row],[PROGRAMA]],Hoja1!A:B,2,FALSE)</f>
        <v>9203. Unidad de régimen interior</v>
      </c>
      <c r="W569" s="35" t="str">
        <f>MID(Tabla1[[#This Row],[Aplicación]],14,2)</f>
        <v>22</v>
      </c>
      <c r="X569" s="35" t="str">
        <f>MID(Tabla1[[#This Row],[Aplicación]],14,6)</f>
        <v>22000</v>
      </c>
    </row>
    <row r="570" spans="1:24" x14ac:dyDescent="0.25">
      <c r="A570" s="49">
        <v>220219000411</v>
      </c>
      <c r="B570" s="50" t="s">
        <v>9</v>
      </c>
      <c r="C570" s="57">
        <v>44562</v>
      </c>
      <c r="D570" s="49">
        <v>22022000547</v>
      </c>
      <c r="E570" s="50" t="s">
        <v>1712</v>
      </c>
      <c r="F570" s="58">
        <v>10586.51</v>
      </c>
      <c r="G570" s="50" t="s">
        <v>179</v>
      </c>
      <c r="H570" s="50" t="s">
        <v>2005</v>
      </c>
      <c r="I570" s="49" t="s">
        <v>107</v>
      </c>
      <c r="J570" s="50" t="s">
        <v>109</v>
      </c>
      <c r="K570" s="50" t="s">
        <v>109</v>
      </c>
      <c r="L570" s="50" t="s">
        <v>15</v>
      </c>
      <c r="M570" s="50" t="s">
        <v>13</v>
      </c>
      <c r="N570" s="50" t="s">
        <v>14</v>
      </c>
      <c r="O570" s="48" t="s">
        <v>620</v>
      </c>
      <c r="P570" s="45" t="s">
        <v>453</v>
      </c>
      <c r="Q570" s="35" t="str">
        <f>MID(Tabla1[[#This Row],[Aplicación]],14,1)</f>
        <v>2</v>
      </c>
      <c r="R570" s="35" t="s">
        <v>441</v>
      </c>
      <c r="S570" s="35" t="str">
        <f>MID(Tabla1[[#This Row],[Aplicación]],6,2)</f>
        <v>01</v>
      </c>
      <c r="T570" s="35" t="str">
        <f>VLOOKUP(Tabla1[[#This Row],[AREA]],Hoja1!A:B,2,FALSE)</f>
        <v>01. Alcaldía</v>
      </c>
      <c r="U570" s="35" t="str">
        <f>MID(Tabla1[[#This Row],[Aplicación]],9,4)</f>
        <v>9203</v>
      </c>
      <c r="V570" s="35" t="str">
        <f>VLOOKUP(Tabla1[[#This Row],[PROGRAMA]],Hoja1!A:B,2,FALSE)</f>
        <v>9203. Unidad de régimen interior</v>
      </c>
      <c r="W570" s="35" t="str">
        <f>MID(Tabla1[[#This Row],[Aplicación]],14,2)</f>
        <v>22</v>
      </c>
      <c r="X570" s="35" t="str">
        <f>MID(Tabla1[[#This Row],[Aplicación]],14,6)</f>
        <v>22000</v>
      </c>
    </row>
    <row r="571" spans="1:24" x14ac:dyDescent="0.25">
      <c r="A571" s="49">
        <v>220219000410</v>
      </c>
      <c r="B571" s="50" t="s">
        <v>9</v>
      </c>
      <c r="C571" s="57">
        <v>44562</v>
      </c>
      <c r="D571" s="49">
        <v>22022000546</v>
      </c>
      <c r="E571" s="50" t="s">
        <v>1712</v>
      </c>
      <c r="F571" s="58">
        <v>6452.4</v>
      </c>
      <c r="G571" s="50" t="s">
        <v>179</v>
      </c>
      <c r="H571" s="50" t="s">
        <v>1083</v>
      </c>
      <c r="I571" s="49" t="s">
        <v>107</v>
      </c>
      <c r="J571" s="50" t="s">
        <v>109</v>
      </c>
      <c r="K571" s="50" t="s">
        <v>109</v>
      </c>
      <c r="L571" s="50" t="s">
        <v>15</v>
      </c>
      <c r="M571" s="50" t="s">
        <v>13</v>
      </c>
      <c r="N571" s="50" t="s">
        <v>14</v>
      </c>
      <c r="O571" s="48" t="s">
        <v>620</v>
      </c>
      <c r="P571" s="45" t="s">
        <v>453</v>
      </c>
      <c r="Q571" s="35" t="str">
        <f>MID(Tabla1[[#This Row],[Aplicación]],14,1)</f>
        <v>2</v>
      </c>
      <c r="R571" s="35" t="s">
        <v>441</v>
      </c>
      <c r="S571" s="35" t="str">
        <f>MID(Tabla1[[#This Row],[Aplicación]],6,2)</f>
        <v>01</v>
      </c>
      <c r="T571" s="35" t="str">
        <f>VLOOKUP(Tabla1[[#This Row],[AREA]],Hoja1!A:B,2,FALSE)</f>
        <v>01. Alcaldía</v>
      </c>
      <c r="U571" s="35" t="str">
        <f>MID(Tabla1[[#This Row],[Aplicación]],9,4)</f>
        <v>9203</v>
      </c>
      <c r="V571" s="35" t="str">
        <f>VLOOKUP(Tabla1[[#This Row],[PROGRAMA]],Hoja1!A:B,2,FALSE)</f>
        <v>9203. Unidad de régimen interior</v>
      </c>
      <c r="W571" s="35" t="str">
        <f>MID(Tabla1[[#This Row],[Aplicación]],14,2)</f>
        <v>22</v>
      </c>
      <c r="X571" s="35" t="str">
        <f>MID(Tabla1[[#This Row],[Aplicación]],14,6)</f>
        <v>22000</v>
      </c>
    </row>
    <row r="572" spans="1:24" x14ac:dyDescent="0.25">
      <c r="A572" s="49">
        <v>220220005789</v>
      </c>
      <c r="B572" s="50" t="s">
        <v>9</v>
      </c>
      <c r="C572" s="57">
        <v>44615</v>
      </c>
      <c r="D572" s="49">
        <v>22022001196</v>
      </c>
      <c r="E572" s="50" t="s">
        <v>1684</v>
      </c>
      <c r="F572" s="58">
        <v>2422.42</v>
      </c>
      <c r="G572" s="50" t="s">
        <v>179</v>
      </c>
      <c r="H572" s="50" t="s">
        <v>2006</v>
      </c>
      <c r="I572" s="49" t="s">
        <v>107</v>
      </c>
      <c r="J572" s="50" t="s">
        <v>109</v>
      </c>
      <c r="K572" s="50" t="s">
        <v>109</v>
      </c>
      <c r="L572" s="50" t="s">
        <v>15</v>
      </c>
      <c r="M572" s="50" t="s">
        <v>10</v>
      </c>
      <c r="N572" s="50" t="s">
        <v>11</v>
      </c>
      <c r="O572" s="48" t="s">
        <v>632</v>
      </c>
      <c r="P572" s="45" t="s">
        <v>453</v>
      </c>
      <c r="Q572" s="35" t="str">
        <f>MID(Tabla1[[#This Row],[Aplicación]],14,1)</f>
        <v>2</v>
      </c>
      <c r="R572" s="35" t="s">
        <v>441</v>
      </c>
      <c r="S572" s="35" t="str">
        <f>MID(Tabla1[[#This Row],[Aplicación]],6,2)</f>
        <v>01</v>
      </c>
      <c r="T572" s="35" t="str">
        <f>VLOOKUP(Tabla1[[#This Row],[AREA]],Hoja1!A:B,2,FALSE)</f>
        <v>01. Alcaldía</v>
      </c>
      <c r="U572" s="35" t="str">
        <f>MID(Tabla1[[#This Row],[Aplicación]],9,4)</f>
        <v>9205</v>
      </c>
      <c r="V572" s="35" t="str">
        <f>VLOOKUP(Tabla1[[#This Row],[PROGRAMA]],Hoja1!A:B,2,FALSE)</f>
        <v>9205. Imprenta municipal</v>
      </c>
      <c r="W572" s="35" t="str">
        <f>MID(Tabla1[[#This Row],[Aplicación]],14,2)</f>
        <v>22</v>
      </c>
      <c r="X572" s="35" t="str">
        <f>MID(Tabla1[[#This Row],[Aplicación]],14,6)</f>
        <v>22199</v>
      </c>
    </row>
    <row r="573" spans="1:24" x14ac:dyDescent="0.25">
      <c r="A573" s="49">
        <v>220220006704</v>
      </c>
      <c r="B573" s="50" t="s">
        <v>9</v>
      </c>
      <c r="C573" s="57">
        <v>44617</v>
      </c>
      <c r="D573" s="49">
        <v>22022002515</v>
      </c>
      <c r="E573" s="50" t="s">
        <v>2007</v>
      </c>
      <c r="F573" s="58">
        <v>1500</v>
      </c>
      <c r="G573" s="50" t="s">
        <v>179</v>
      </c>
      <c r="H573" s="50" t="s">
        <v>2008</v>
      </c>
      <c r="I573" s="49" t="s">
        <v>107</v>
      </c>
      <c r="J573" s="50" t="s">
        <v>109</v>
      </c>
      <c r="K573" s="50" t="s">
        <v>109</v>
      </c>
      <c r="L573" s="50" t="s">
        <v>15</v>
      </c>
      <c r="M573" s="50" t="s">
        <v>10</v>
      </c>
      <c r="N573" s="50" t="s">
        <v>11</v>
      </c>
      <c r="O573" s="48" t="s">
        <v>632</v>
      </c>
      <c r="P573" s="45" t="s">
        <v>453</v>
      </c>
      <c r="Q573" s="35" t="str">
        <f>MID(Tabla1[[#This Row],[Aplicación]],14,1)</f>
        <v>2</v>
      </c>
      <c r="R573" s="35" t="s">
        <v>441</v>
      </c>
      <c r="S573" s="35" t="str">
        <f>MID(Tabla1[[#This Row],[Aplicación]],6,2)</f>
        <v>11</v>
      </c>
      <c r="T573" s="35" t="str">
        <f>VLOOKUP(Tabla1[[#This Row],[AREA]],Hoja1!A:B,2,FALSE)</f>
        <v>11. Salud pública y seguridad ciudadana</v>
      </c>
      <c r="U573" s="35" t="str">
        <f>MID(Tabla1[[#This Row],[Aplicación]],9,4)</f>
        <v>1621</v>
      </c>
      <c r="V573" s="35" t="str">
        <f>VLOOKUP(Tabla1[[#This Row],[PROGRAMA]],Hoja1!A:B,2,FALSE)</f>
        <v>1621. Servicio de limpieza</v>
      </c>
      <c r="W573" s="35" t="str">
        <f>MID(Tabla1[[#This Row],[Aplicación]],14,2)</f>
        <v>22</v>
      </c>
      <c r="X573" s="35" t="str">
        <f>MID(Tabla1[[#This Row],[Aplicación]],14,6)</f>
        <v>22199</v>
      </c>
    </row>
    <row r="574" spans="1:24" x14ac:dyDescent="0.25">
      <c r="A574" s="49">
        <v>220220010311</v>
      </c>
      <c r="B574" s="50" t="s">
        <v>9</v>
      </c>
      <c r="C574" s="57">
        <v>44641</v>
      </c>
      <c r="D574" s="49">
        <v>22022002870</v>
      </c>
      <c r="E574" s="50" t="s">
        <v>1832</v>
      </c>
      <c r="F574" s="58">
        <v>424.02</v>
      </c>
      <c r="G574" s="50" t="s">
        <v>179</v>
      </c>
      <c r="H574" s="50" t="s">
        <v>2009</v>
      </c>
      <c r="I574" s="49" t="s">
        <v>107</v>
      </c>
      <c r="J574" s="50" t="s">
        <v>109</v>
      </c>
      <c r="K574" s="50" t="s">
        <v>109</v>
      </c>
      <c r="L574" s="50" t="s">
        <v>15</v>
      </c>
      <c r="M574" s="50" t="s">
        <v>10</v>
      </c>
      <c r="N574" s="50" t="s">
        <v>11</v>
      </c>
      <c r="O574" s="48" t="s">
        <v>632</v>
      </c>
      <c r="P574" s="45" t="s">
        <v>453</v>
      </c>
      <c r="Q574" s="35" t="str">
        <f>MID(Tabla1[[#This Row],[Aplicación]],14,1)</f>
        <v>2</v>
      </c>
      <c r="R574" s="35" t="s">
        <v>441</v>
      </c>
      <c r="S574" s="35" t="str">
        <f>MID(Tabla1[[#This Row],[Aplicación]],6,2)</f>
        <v>03</v>
      </c>
      <c r="T574" s="35" t="str">
        <f>VLOOKUP(Tabla1[[#This Row],[AREA]],Hoja1!A:B,2,FALSE)</f>
        <v>03. Participación ciudadana y deportes</v>
      </c>
      <c r="U574" s="35" t="str">
        <f>MID(Tabla1[[#This Row],[Aplicación]],9,4)</f>
        <v>9241</v>
      </c>
      <c r="V574" s="35" t="str">
        <f>VLOOKUP(Tabla1[[#This Row],[PROGRAMA]],Hoja1!A:B,2,FALSE)</f>
        <v>9241. Participación ciudadana</v>
      </c>
      <c r="W574" s="35" t="str">
        <f>MID(Tabla1[[#This Row],[Aplicación]],14,2)</f>
        <v>22</v>
      </c>
      <c r="X574" s="35" t="str">
        <f>MID(Tabla1[[#This Row],[Aplicación]],14,6)</f>
        <v>22199</v>
      </c>
    </row>
    <row r="575" spans="1:24" x14ac:dyDescent="0.25">
      <c r="A575" s="49">
        <v>220219000934</v>
      </c>
      <c r="B575" s="50" t="s">
        <v>9</v>
      </c>
      <c r="C575" s="57">
        <v>44562</v>
      </c>
      <c r="D575" s="49">
        <v>22022000130</v>
      </c>
      <c r="E575" s="50" t="s">
        <v>2010</v>
      </c>
      <c r="F575" s="58">
        <v>11000</v>
      </c>
      <c r="G575" s="50" t="s">
        <v>38</v>
      </c>
      <c r="H575" s="50" t="s">
        <v>2011</v>
      </c>
      <c r="I575" s="49" t="s">
        <v>107</v>
      </c>
      <c r="J575" s="50" t="s">
        <v>129</v>
      </c>
      <c r="K575" s="50" t="s">
        <v>170</v>
      </c>
      <c r="L575" s="50" t="s">
        <v>12</v>
      </c>
      <c r="M575" s="50" t="s">
        <v>13</v>
      </c>
      <c r="N575" s="50" t="s">
        <v>14</v>
      </c>
      <c r="O575" s="48" t="s">
        <v>620</v>
      </c>
      <c r="P575" s="45" t="s">
        <v>453</v>
      </c>
      <c r="Q575" s="35" t="str">
        <f>MID(Tabla1[[#This Row],[Aplicación]],14,1)</f>
        <v>2</v>
      </c>
      <c r="R575" s="35" t="s">
        <v>441</v>
      </c>
      <c r="S575" s="35" t="str">
        <f>MID(Tabla1[[#This Row],[Aplicación]],6,2)</f>
        <v>05</v>
      </c>
      <c r="T575" s="35" t="str">
        <f>VLOOKUP(Tabla1[[#This Row],[AREA]],Hoja1!A:B,2,FALSE)</f>
        <v>05. Innovación, desarrollo económico, empleo y comercio</v>
      </c>
      <c r="U575" s="35" t="str">
        <f>MID(Tabla1[[#This Row],[Aplicación]],9,4)</f>
        <v>4314</v>
      </c>
      <c r="V575" s="35" t="str">
        <f>VLOOKUP(Tabla1[[#This Row],[PROGRAMA]],Hoja1!A:B,2,FALSE)</f>
        <v>4314. Fomento del comercio</v>
      </c>
      <c r="W575" s="35" t="str">
        <f>MID(Tabla1[[#This Row],[Aplicación]],14,2)</f>
        <v>22</v>
      </c>
      <c r="X575" s="35" t="str">
        <f>MID(Tabla1[[#This Row],[Aplicación]],14,6)</f>
        <v>22100</v>
      </c>
    </row>
    <row r="576" spans="1:24" x14ac:dyDescent="0.25">
      <c r="A576" s="49">
        <v>220220009697</v>
      </c>
      <c r="B576" s="50" t="s">
        <v>9</v>
      </c>
      <c r="C576" s="57">
        <v>44637</v>
      </c>
      <c r="D576" s="49">
        <v>22022002793</v>
      </c>
      <c r="E576" s="50" t="s">
        <v>2012</v>
      </c>
      <c r="F576" s="58">
        <v>139.15</v>
      </c>
      <c r="G576" s="50" t="s">
        <v>179</v>
      </c>
      <c r="H576" s="50" t="s">
        <v>2013</v>
      </c>
      <c r="I576" s="49" t="s">
        <v>107</v>
      </c>
      <c r="J576" s="50" t="s">
        <v>109</v>
      </c>
      <c r="K576" s="50" t="s">
        <v>109</v>
      </c>
      <c r="L576" s="50" t="s">
        <v>15</v>
      </c>
      <c r="M576" s="50" t="s">
        <v>10</v>
      </c>
      <c r="N576" s="50" t="s">
        <v>11</v>
      </c>
      <c r="O576" s="48" t="s">
        <v>632</v>
      </c>
      <c r="P576" s="45" t="s">
        <v>453</v>
      </c>
      <c r="Q576" s="35" t="str">
        <f>MID(Tabla1[[#This Row],[Aplicación]],14,1)</f>
        <v>2</v>
      </c>
      <c r="R576" s="35" t="s">
        <v>441</v>
      </c>
      <c r="S576" s="35" t="str">
        <f>MID(Tabla1[[#This Row],[Aplicación]],6,2)</f>
        <v>11</v>
      </c>
      <c r="T576" s="35" t="str">
        <f>VLOOKUP(Tabla1[[#This Row],[AREA]],Hoja1!A:B,2,FALSE)</f>
        <v>11. Salud pública y seguridad ciudadana</v>
      </c>
      <c r="U576" s="35" t="str">
        <f>MID(Tabla1[[#This Row],[Aplicación]],9,4)</f>
        <v>1321</v>
      </c>
      <c r="V576" s="35" t="str">
        <f>VLOOKUP(Tabla1[[#This Row],[PROGRAMA]],Hoja1!A:B,2,FALSE)</f>
        <v>1321. Policía municipal</v>
      </c>
      <c r="W576" s="35" t="str">
        <f>MID(Tabla1[[#This Row],[Aplicación]],14,2)</f>
        <v>22</v>
      </c>
      <c r="X576" s="35" t="str">
        <f>MID(Tabla1[[#This Row],[Aplicación]],14,6)</f>
        <v>22199</v>
      </c>
    </row>
    <row r="577" spans="1:24" x14ac:dyDescent="0.25">
      <c r="A577" s="49">
        <v>220220000075</v>
      </c>
      <c r="B577" s="50" t="s">
        <v>9</v>
      </c>
      <c r="C577" s="57">
        <v>44580</v>
      </c>
      <c r="D577" s="49">
        <v>22022000898</v>
      </c>
      <c r="E577" s="50" t="s">
        <v>1644</v>
      </c>
      <c r="F577" s="58">
        <v>3000</v>
      </c>
      <c r="G577" s="50" t="s">
        <v>64</v>
      </c>
      <c r="H577" s="50" t="s">
        <v>2014</v>
      </c>
      <c r="I577" s="49" t="s">
        <v>107</v>
      </c>
      <c r="J577" s="50" t="s">
        <v>109</v>
      </c>
      <c r="K577" s="50" t="s">
        <v>109</v>
      </c>
      <c r="L577" s="50" t="s">
        <v>12</v>
      </c>
      <c r="M577" s="50" t="s">
        <v>10</v>
      </c>
      <c r="N577" s="50" t="s">
        <v>11</v>
      </c>
      <c r="O577" s="48" t="s">
        <v>632</v>
      </c>
      <c r="P577" s="45" t="s">
        <v>453</v>
      </c>
      <c r="Q577" s="35" t="str">
        <f>MID(Tabla1[[#This Row],[Aplicación]],14,1)</f>
        <v>2</v>
      </c>
      <c r="R577" s="35" t="s">
        <v>441</v>
      </c>
      <c r="S577" s="35" t="str">
        <f>MID(Tabla1[[#This Row],[Aplicación]],6,2)</f>
        <v>11</v>
      </c>
      <c r="T577" s="35" t="str">
        <f>VLOOKUP(Tabla1[[#This Row],[AREA]],Hoja1!A:B,2,FALSE)</f>
        <v>11. Salud pública y seguridad ciudadana</v>
      </c>
      <c r="U577" s="35" t="str">
        <f>MID(Tabla1[[#This Row],[Aplicación]],9,4)</f>
        <v>1621</v>
      </c>
      <c r="V577" s="35" t="str">
        <f>VLOOKUP(Tabla1[[#This Row],[PROGRAMA]],Hoja1!A:B,2,FALSE)</f>
        <v>1621. Servicio de limpieza</v>
      </c>
      <c r="W577" s="35" t="str">
        <f>MID(Tabla1[[#This Row],[Aplicación]],14,2)</f>
        <v>21</v>
      </c>
      <c r="X577" s="35" t="str">
        <f>MID(Tabla1[[#This Row],[Aplicación]],14,6)</f>
        <v>214</v>
      </c>
    </row>
    <row r="578" spans="1:24" x14ac:dyDescent="0.25">
      <c r="A578" s="49">
        <v>220220000133</v>
      </c>
      <c r="B578" s="50" t="s">
        <v>9</v>
      </c>
      <c r="C578" s="57">
        <v>44582</v>
      </c>
      <c r="D578" s="49">
        <v>22022001465</v>
      </c>
      <c r="E578" s="50" t="s">
        <v>2015</v>
      </c>
      <c r="F578" s="58">
        <v>1886</v>
      </c>
      <c r="G578" s="50" t="s">
        <v>64</v>
      </c>
      <c r="H578" s="50" t="s">
        <v>2016</v>
      </c>
      <c r="I578" s="49" t="s">
        <v>107</v>
      </c>
      <c r="J578" s="50" t="s">
        <v>109</v>
      </c>
      <c r="K578" s="50" t="s">
        <v>109</v>
      </c>
      <c r="L578" s="50" t="s">
        <v>12</v>
      </c>
      <c r="M578" s="50" t="s">
        <v>10</v>
      </c>
      <c r="N578" s="50" t="s">
        <v>11</v>
      </c>
      <c r="O578" s="48" t="s">
        <v>632</v>
      </c>
      <c r="P578" s="45" t="s">
        <v>453</v>
      </c>
      <c r="Q578" s="35" t="str">
        <f>MID(Tabla1[[#This Row],[Aplicación]],14,1)</f>
        <v>2</v>
      </c>
      <c r="R578" s="35" t="s">
        <v>441</v>
      </c>
      <c r="S578" s="35" t="str">
        <f>MID(Tabla1[[#This Row],[Aplicación]],6,2)</f>
        <v>11</v>
      </c>
      <c r="T578" s="35" t="str">
        <f>VLOOKUP(Tabla1[[#This Row],[AREA]],Hoja1!A:B,2,FALSE)</f>
        <v>11. Salud pública y seguridad ciudadana</v>
      </c>
      <c r="U578" s="35" t="str">
        <f>MID(Tabla1[[#This Row],[Aplicación]],9,4)</f>
        <v>1631</v>
      </c>
      <c r="V578" s="35" t="str">
        <f>VLOOKUP(Tabla1[[#This Row],[PROGRAMA]],Hoja1!A:B,2,FALSE)</f>
        <v>1631. Limpieza viaria</v>
      </c>
      <c r="W578" s="35" t="str">
        <f>MID(Tabla1[[#This Row],[Aplicación]],14,2)</f>
        <v>21</v>
      </c>
      <c r="X578" s="35" t="str">
        <f>MID(Tabla1[[#This Row],[Aplicación]],14,6)</f>
        <v>213</v>
      </c>
    </row>
    <row r="579" spans="1:24" x14ac:dyDescent="0.25">
      <c r="A579" s="49">
        <v>220220003820</v>
      </c>
      <c r="B579" s="50" t="s">
        <v>172</v>
      </c>
      <c r="C579" s="57">
        <v>44608</v>
      </c>
      <c r="D579" s="49">
        <v>22022001628</v>
      </c>
      <c r="E579" s="50" t="s">
        <v>1742</v>
      </c>
      <c r="F579" s="58">
        <v>725.46</v>
      </c>
      <c r="G579" s="50" t="s">
        <v>85</v>
      </c>
      <c r="H579" s="50" t="s">
        <v>2017</v>
      </c>
      <c r="I579" s="49" t="s">
        <v>173</v>
      </c>
      <c r="J579" s="50" t="s">
        <v>109</v>
      </c>
      <c r="K579" s="50" t="s">
        <v>109</v>
      </c>
      <c r="L579" s="50" t="s">
        <v>15</v>
      </c>
      <c r="M579" s="50" t="s">
        <v>13</v>
      </c>
      <c r="N579" s="50" t="s">
        <v>16</v>
      </c>
      <c r="O579" s="48" t="s">
        <v>631</v>
      </c>
      <c r="P579" s="45" t="s">
        <v>453</v>
      </c>
      <c r="Q579" s="35" t="str">
        <f>MID(Tabla1[[#This Row],[Aplicación]],14,1)</f>
        <v>2</v>
      </c>
      <c r="R579" s="35" t="s">
        <v>441</v>
      </c>
      <c r="S579" s="35" t="str">
        <f>MID(Tabla1[[#This Row],[Aplicación]],6,2)</f>
        <v>03</v>
      </c>
      <c r="T579" s="35" t="str">
        <f>VLOOKUP(Tabla1[[#This Row],[AREA]],Hoja1!A:B,2,FALSE)</f>
        <v>03. Participación ciudadana y deportes</v>
      </c>
      <c r="U579" s="35" t="str">
        <f>MID(Tabla1[[#This Row],[Aplicación]],9,4)</f>
        <v>9241</v>
      </c>
      <c r="V579" s="35" t="str">
        <f>VLOOKUP(Tabla1[[#This Row],[PROGRAMA]],Hoja1!A:B,2,FALSE)</f>
        <v>9241. Participación ciudadana</v>
      </c>
      <c r="W579" s="35" t="str">
        <f>MID(Tabla1[[#This Row],[Aplicación]],14,2)</f>
        <v>21</v>
      </c>
      <c r="X579" s="35" t="str">
        <f>MID(Tabla1[[#This Row],[Aplicación]],14,6)</f>
        <v>213</v>
      </c>
    </row>
    <row r="580" spans="1:24" x14ac:dyDescent="0.25">
      <c r="A580" s="49">
        <v>220220004107</v>
      </c>
      <c r="B580" s="50" t="s">
        <v>172</v>
      </c>
      <c r="C580" s="57">
        <v>44610</v>
      </c>
      <c r="D580" s="49">
        <v>22022000045</v>
      </c>
      <c r="E580" s="50" t="s">
        <v>2018</v>
      </c>
      <c r="F580" s="58">
        <v>415.53</v>
      </c>
      <c r="G580" s="50" t="s">
        <v>85</v>
      </c>
      <c r="H580" s="50" t="s">
        <v>2019</v>
      </c>
      <c r="I580" s="49" t="s">
        <v>173</v>
      </c>
      <c r="J580" s="50" t="s">
        <v>109</v>
      </c>
      <c r="K580" s="50" t="s">
        <v>109</v>
      </c>
      <c r="L580" s="50" t="s">
        <v>15</v>
      </c>
      <c r="M580" s="50" t="s">
        <v>13</v>
      </c>
      <c r="N580" s="50" t="s">
        <v>14</v>
      </c>
      <c r="O580" s="48" t="s">
        <v>631</v>
      </c>
      <c r="P580" s="45" t="s">
        <v>453</v>
      </c>
      <c r="Q580" s="35" t="str">
        <f>MID(Tabla1[[#This Row],[Aplicación]],14,1)</f>
        <v>2</v>
      </c>
      <c r="R580" s="35" t="s">
        <v>441</v>
      </c>
      <c r="S580" s="35" t="str">
        <f>MID(Tabla1[[#This Row],[Aplicación]],6,2)</f>
        <v>11</v>
      </c>
      <c r="T580" s="35" t="str">
        <f>VLOOKUP(Tabla1[[#This Row],[AREA]],Hoja1!A:B,2,FALSE)</f>
        <v>11. Salud pública y seguridad ciudadana</v>
      </c>
      <c r="U580" s="35" t="str">
        <f>MID(Tabla1[[#This Row],[Aplicación]],9,4)</f>
        <v>1631</v>
      </c>
      <c r="V580" s="35" t="str">
        <f>VLOOKUP(Tabla1[[#This Row],[PROGRAMA]],Hoja1!A:B,2,FALSE)</f>
        <v>1631. Limpieza viaria</v>
      </c>
      <c r="W580" s="35" t="str">
        <f>MID(Tabla1[[#This Row],[Aplicación]],14,2)</f>
        <v>22</v>
      </c>
      <c r="X580" s="35" t="str">
        <f>MID(Tabla1[[#This Row],[Aplicación]],14,6)</f>
        <v>22199</v>
      </c>
    </row>
    <row r="581" spans="1:24" x14ac:dyDescent="0.25">
      <c r="A581" s="49">
        <v>220220009913</v>
      </c>
      <c r="B581" s="50" t="s">
        <v>172</v>
      </c>
      <c r="C581" s="57">
        <v>44638</v>
      </c>
      <c r="D581" s="49">
        <v>22022001183</v>
      </c>
      <c r="E581" s="50" t="s">
        <v>2020</v>
      </c>
      <c r="F581" s="58">
        <v>413.96</v>
      </c>
      <c r="G581" s="50" t="s">
        <v>85</v>
      </c>
      <c r="H581" s="50" t="s">
        <v>2021</v>
      </c>
      <c r="I581" s="49" t="s">
        <v>173</v>
      </c>
      <c r="J581" s="50" t="s">
        <v>109</v>
      </c>
      <c r="K581" s="50" t="s">
        <v>109</v>
      </c>
      <c r="L581" s="50" t="s">
        <v>15</v>
      </c>
      <c r="M581" s="50" t="s">
        <v>13</v>
      </c>
      <c r="N581" s="50" t="s">
        <v>14</v>
      </c>
      <c r="O581" s="48" t="s">
        <v>631</v>
      </c>
      <c r="P581" s="45" t="s">
        <v>453</v>
      </c>
      <c r="Q581" s="35" t="str">
        <f>MID(Tabla1[[#This Row],[Aplicación]],14,1)</f>
        <v>2</v>
      </c>
      <c r="R581" s="35" t="s">
        <v>441</v>
      </c>
      <c r="S581" s="35" t="str">
        <f>MID(Tabla1[[#This Row],[Aplicación]],6,2)</f>
        <v>10</v>
      </c>
      <c r="T581" s="35" t="str">
        <f>VLOOKUP(Tabla1[[#This Row],[AREA]],Hoja1!A:B,2,FALSE)</f>
        <v>10. Servicios sociales y mediación comunitaria</v>
      </c>
      <c r="U581" s="35" t="str">
        <f>MID(Tabla1[[#This Row],[Aplicación]],9,4)</f>
        <v>2312</v>
      </c>
      <c r="V581" s="35" t="str">
        <f>VLOOKUP(Tabla1[[#This Row],[PROGRAMA]],Hoja1!A:B,2,FALSE)</f>
        <v>2312. Iniciativas sociales</v>
      </c>
      <c r="W581" s="35" t="str">
        <f>MID(Tabla1[[#This Row],[Aplicación]],14,2)</f>
        <v>21</v>
      </c>
      <c r="X581" s="35" t="str">
        <f>MID(Tabla1[[#This Row],[Aplicación]],14,6)</f>
        <v>212</v>
      </c>
    </row>
    <row r="582" spans="1:24" x14ac:dyDescent="0.25">
      <c r="A582" s="49">
        <v>220220008967</v>
      </c>
      <c r="B582" s="50" t="s">
        <v>9</v>
      </c>
      <c r="C582" s="57">
        <v>44635</v>
      </c>
      <c r="D582" s="49">
        <v>22022002767</v>
      </c>
      <c r="E582" s="50" t="s">
        <v>1759</v>
      </c>
      <c r="F582" s="58">
        <v>364.31</v>
      </c>
      <c r="G582" s="50" t="s">
        <v>85</v>
      </c>
      <c r="H582" s="50" t="s">
        <v>2022</v>
      </c>
      <c r="I582" s="49" t="s">
        <v>107</v>
      </c>
      <c r="J582" s="50" t="s">
        <v>109</v>
      </c>
      <c r="K582" s="50" t="s">
        <v>109</v>
      </c>
      <c r="L582" s="50" t="s">
        <v>15</v>
      </c>
      <c r="M582" s="50" t="s">
        <v>10</v>
      </c>
      <c r="N582" s="50" t="s">
        <v>11</v>
      </c>
      <c r="O582" s="48" t="s">
        <v>632</v>
      </c>
      <c r="P582" s="45" t="s">
        <v>453</v>
      </c>
      <c r="Q582" s="35" t="str">
        <f>MID(Tabla1[[#This Row],[Aplicación]],14,1)</f>
        <v>2</v>
      </c>
      <c r="R582" s="35" t="s">
        <v>441</v>
      </c>
      <c r="S582" s="35" t="str">
        <f>MID(Tabla1[[#This Row],[Aplicación]],6,2)</f>
        <v>02</v>
      </c>
      <c r="T582" s="35" t="str">
        <f>VLOOKUP(Tabla1[[#This Row],[AREA]],Hoja1!A:B,2,FALSE)</f>
        <v>02. Planeamiento urbanístico y vivienda</v>
      </c>
      <c r="U582" s="35" t="str">
        <f>MID(Tabla1[[#This Row],[Aplicación]],9,4)</f>
        <v>9332</v>
      </c>
      <c r="V582" s="35" t="str">
        <f>VLOOKUP(Tabla1[[#This Row],[PROGRAMA]],Hoja1!A:B,2,FALSE)</f>
        <v>9332. Mantenimiento de edificios e instalaciones municipales</v>
      </c>
      <c r="W582" s="35" t="str">
        <f>MID(Tabla1[[#This Row],[Aplicación]],14,2)</f>
        <v>21</v>
      </c>
      <c r="X582" s="35" t="str">
        <f>MID(Tabla1[[#This Row],[Aplicación]],14,6)</f>
        <v>213</v>
      </c>
    </row>
    <row r="583" spans="1:24" x14ac:dyDescent="0.25">
      <c r="A583" s="49">
        <v>220220007051</v>
      </c>
      <c r="B583" s="50" t="s">
        <v>172</v>
      </c>
      <c r="C583" s="57">
        <v>44623</v>
      </c>
      <c r="D583" s="49">
        <v>22022001172</v>
      </c>
      <c r="E583" s="50" t="s">
        <v>1579</v>
      </c>
      <c r="F583" s="58">
        <v>738.06</v>
      </c>
      <c r="G583" s="50" t="s">
        <v>683</v>
      </c>
      <c r="H583" s="50" t="s">
        <v>2023</v>
      </c>
      <c r="I583" s="49" t="s">
        <v>173</v>
      </c>
      <c r="J583" s="50" t="s">
        <v>109</v>
      </c>
      <c r="K583" s="50" t="s">
        <v>109</v>
      </c>
      <c r="L583" s="50" t="s">
        <v>15</v>
      </c>
      <c r="M583" s="50" t="s">
        <v>13</v>
      </c>
      <c r="N583" s="50" t="s">
        <v>14</v>
      </c>
      <c r="O583" s="48" t="s">
        <v>631</v>
      </c>
      <c r="P583" s="45" t="s">
        <v>453</v>
      </c>
      <c r="Q583" s="35" t="str">
        <f>MID(Tabla1[[#This Row],[Aplicación]],14,1)</f>
        <v>2</v>
      </c>
      <c r="R583" s="35" t="s">
        <v>441</v>
      </c>
      <c r="S583" s="35" t="str">
        <f>MID(Tabla1[[#This Row],[Aplicación]],6,2)</f>
        <v>10</v>
      </c>
      <c r="T583" s="35" t="str">
        <f>VLOOKUP(Tabla1[[#This Row],[AREA]],Hoja1!A:B,2,FALSE)</f>
        <v>10. Servicios sociales y mediación comunitaria</v>
      </c>
      <c r="U583" s="35" t="str">
        <f>MID(Tabla1[[#This Row],[Aplicación]],9,4)</f>
        <v>2412</v>
      </c>
      <c r="V583" s="35" t="str">
        <f>VLOOKUP(Tabla1[[#This Row],[PROGRAMA]],Hoja1!A:B,2,FALSE)</f>
        <v>2412. Formación para el empleo</v>
      </c>
      <c r="W583" s="35" t="str">
        <f>MID(Tabla1[[#This Row],[Aplicación]],14,2)</f>
        <v>22</v>
      </c>
      <c r="X583" s="35" t="str">
        <f>MID(Tabla1[[#This Row],[Aplicación]],14,6)</f>
        <v>22199</v>
      </c>
    </row>
    <row r="584" spans="1:24" x14ac:dyDescent="0.25">
      <c r="A584" s="49">
        <v>220220012632</v>
      </c>
      <c r="B584" s="50" t="s">
        <v>172</v>
      </c>
      <c r="C584" s="57">
        <v>44644</v>
      </c>
      <c r="D584" s="49">
        <v>22022001172</v>
      </c>
      <c r="E584" s="50" t="s">
        <v>1579</v>
      </c>
      <c r="F584" s="58">
        <v>541.42999999999995</v>
      </c>
      <c r="G584" s="50" t="s">
        <v>683</v>
      </c>
      <c r="H584" s="50" t="s">
        <v>2024</v>
      </c>
      <c r="I584" s="49" t="s">
        <v>173</v>
      </c>
      <c r="J584" s="50" t="s">
        <v>109</v>
      </c>
      <c r="K584" s="50" t="s">
        <v>109</v>
      </c>
      <c r="L584" s="50" t="s">
        <v>15</v>
      </c>
      <c r="M584" s="50" t="s">
        <v>13</v>
      </c>
      <c r="N584" s="50" t="s">
        <v>14</v>
      </c>
      <c r="O584" s="48" t="s">
        <v>631</v>
      </c>
      <c r="P584" s="45" t="s">
        <v>453</v>
      </c>
      <c r="Q584" s="35" t="str">
        <f>MID(Tabla1[[#This Row],[Aplicación]],14,1)</f>
        <v>2</v>
      </c>
      <c r="R584" s="35" t="s">
        <v>441</v>
      </c>
      <c r="S584" s="35" t="str">
        <f>MID(Tabla1[[#This Row],[Aplicación]],6,2)</f>
        <v>10</v>
      </c>
      <c r="T584" s="35" t="str">
        <f>VLOOKUP(Tabla1[[#This Row],[AREA]],Hoja1!A:B,2,FALSE)</f>
        <v>10. Servicios sociales y mediación comunitaria</v>
      </c>
      <c r="U584" s="35" t="str">
        <f>MID(Tabla1[[#This Row],[Aplicación]],9,4)</f>
        <v>2412</v>
      </c>
      <c r="V584" s="35" t="str">
        <f>VLOOKUP(Tabla1[[#This Row],[PROGRAMA]],Hoja1!A:B,2,FALSE)</f>
        <v>2412. Formación para el empleo</v>
      </c>
      <c r="W584" s="35" t="str">
        <f>MID(Tabla1[[#This Row],[Aplicación]],14,2)</f>
        <v>22</v>
      </c>
      <c r="X584" s="35" t="str">
        <f>MID(Tabla1[[#This Row],[Aplicación]],14,6)</f>
        <v>22199</v>
      </c>
    </row>
    <row r="585" spans="1:24" x14ac:dyDescent="0.25">
      <c r="A585" s="49">
        <v>220220012628</v>
      </c>
      <c r="B585" s="50" t="s">
        <v>172</v>
      </c>
      <c r="C585" s="57">
        <v>44644</v>
      </c>
      <c r="D585" s="49">
        <v>22022001172</v>
      </c>
      <c r="E585" s="50" t="s">
        <v>1579</v>
      </c>
      <c r="F585" s="58">
        <v>110.16</v>
      </c>
      <c r="G585" s="50" t="s">
        <v>683</v>
      </c>
      <c r="H585" s="50" t="s">
        <v>2025</v>
      </c>
      <c r="I585" s="49" t="s">
        <v>173</v>
      </c>
      <c r="J585" s="50" t="s">
        <v>109</v>
      </c>
      <c r="K585" s="50" t="s">
        <v>109</v>
      </c>
      <c r="L585" s="50" t="s">
        <v>15</v>
      </c>
      <c r="M585" s="50" t="s">
        <v>13</v>
      </c>
      <c r="N585" s="50" t="s">
        <v>14</v>
      </c>
      <c r="O585" s="48" t="s">
        <v>631</v>
      </c>
      <c r="P585" s="45" t="s">
        <v>453</v>
      </c>
      <c r="Q585" s="35" t="str">
        <f>MID(Tabla1[[#This Row],[Aplicación]],14,1)</f>
        <v>2</v>
      </c>
      <c r="R585" s="35" t="s">
        <v>441</v>
      </c>
      <c r="S585" s="35" t="str">
        <f>MID(Tabla1[[#This Row],[Aplicación]],6,2)</f>
        <v>10</v>
      </c>
      <c r="T585" s="35" t="str">
        <f>VLOOKUP(Tabla1[[#This Row],[AREA]],Hoja1!A:B,2,FALSE)</f>
        <v>10. Servicios sociales y mediación comunitaria</v>
      </c>
      <c r="U585" s="35" t="str">
        <f>MID(Tabla1[[#This Row],[Aplicación]],9,4)</f>
        <v>2412</v>
      </c>
      <c r="V585" s="35" t="str">
        <f>VLOOKUP(Tabla1[[#This Row],[PROGRAMA]],Hoja1!A:B,2,FALSE)</f>
        <v>2412. Formación para el empleo</v>
      </c>
      <c r="W585" s="35" t="str">
        <f>MID(Tabla1[[#This Row],[Aplicación]],14,2)</f>
        <v>22</v>
      </c>
      <c r="X585" s="35" t="str">
        <f>MID(Tabla1[[#This Row],[Aplicación]],14,6)</f>
        <v>22199</v>
      </c>
    </row>
    <row r="586" spans="1:24" x14ac:dyDescent="0.25">
      <c r="A586" s="49">
        <v>220220002423</v>
      </c>
      <c r="B586" s="50" t="s">
        <v>172</v>
      </c>
      <c r="C586" s="57">
        <v>44594</v>
      </c>
      <c r="D586" s="49">
        <v>22022001172</v>
      </c>
      <c r="E586" s="50" t="s">
        <v>1579</v>
      </c>
      <c r="F586" s="58">
        <v>83.7</v>
      </c>
      <c r="G586" s="50" t="s">
        <v>683</v>
      </c>
      <c r="H586" s="50" t="s">
        <v>2026</v>
      </c>
      <c r="I586" s="49" t="s">
        <v>173</v>
      </c>
      <c r="J586" s="50" t="s">
        <v>109</v>
      </c>
      <c r="K586" s="50" t="s">
        <v>109</v>
      </c>
      <c r="L586" s="50" t="s">
        <v>15</v>
      </c>
      <c r="M586" s="50" t="s">
        <v>13</v>
      </c>
      <c r="N586" s="50" t="s">
        <v>14</v>
      </c>
      <c r="O586" s="48" t="s">
        <v>631</v>
      </c>
      <c r="P586" s="45" t="s">
        <v>453</v>
      </c>
      <c r="Q586" s="35" t="str">
        <f>MID(Tabla1[[#This Row],[Aplicación]],14,1)</f>
        <v>2</v>
      </c>
      <c r="R586" s="35" t="s">
        <v>441</v>
      </c>
      <c r="S586" s="35" t="str">
        <f>MID(Tabla1[[#This Row],[Aplicación]],6,2)</f>
        <v>10</v>
      </c>
      <c r="T586" s="35" t="str">
        <f>VLOOKUP(Tabla1[[#This Row],[AREA]],Hoja1!A:B,2,FALSE)</f>
        <v>10. Servicios sociales y mediación comunitaria</v>
      </c>
      <c r="U586" s="35" t="str">
        <f>MID(Tabla1[[#This Row],[Aplicación]],9,4)</f>
        <v>2412</v>
      </c>
      <c r="V586" s="35" t="str">
        <f>VLOOKUP(Tabla1[[#This Row],[PROGRAMA]],Hoja1!A:B,2,FALSE)</f>
        <v>2412. Formación para el empleo</v>
      </c>
      <c r="W586" s="35" t="str">
        <f>MID(Tabla1[[#This Row],[Aplicación]],14,2)</f>
        <v>22</v>
      </c>
      <c r="X586" s="35" t="str">
        <f>MID(Tabla1[[#This Row],[Aplicación]],14,6)</f>
        <v>22199</v>
      </c>
    </row>
    <row r="587" spans="1:24" x14ac:dyDescent="0.25">
      <c r="A587" s="49">
        <v>220220002444</v>
      </c>
      <c r="B587" s="50" t="s">
        <v>172</v>
      </c>
      <c r="C587" s="57">
        <v>44594</v>
      </c>
      <c r="D587" s="49">
        <v>22022001172</v>
      </c>
      <c r="E587" s="50" t="s">
        <v>1579</v>
      </c>
      <c r="F587" s="58">
        <v>28.92</v>
      </c>
      <c r="G587" s="50" t="s">
        <v>683</v>
      </c>
      <c r="H587" s="50" t="s">
        <v>2027</v>
      </c>
      <c r="I587" s="49" t="s">
        <v>173</v>
      </c>
      <c r="J587" s="50" t="s">
        <v>109</v>
      </c>
      <c r="K587" s="50" t="s">
        <v>109</v>
      </c>
      <c r="L587" s="50" t="s">
        <v>15</v>
      </c>
      <c r="M587" s="50" t="s">
        <v>13</v>
      </c>
      <c r="N587" s="50" t="s">
        <v>14</v>
      </c>
      <c r="O587" s="48" t="s">
        <v>631</v>
      </c>
      <c r="P587" s="45" t="s">
        <v>453</v>
      </c>
      <c r="Q587" s="35" t="str">
        <f>MID(Tabla1[[#This Row],[Aplicación]],14,1)</f>
        <v>2</v>
      </c>
      <c r="R587" s="35" t="s">
        <v>441</v>
      </c>
      <c r="S587" s="35" t="str">
        <f>MID(Tabla1[[#This Row],[Aplicación]],6,2)</f>
        <v>10</v>
      </c>
      <c r="T587" s="35" t="str">
        <f>VLOOKUP(Tabla1[[#This Row],[AREA]],Hoja1!A:B,2,FALSE)</f>
        <v>10. Servicios sociales y mediación comunitaria</v>
      </c>
      <c r="U587" s="35" t="str">
        <f>MID(Tabla1[[#This Row],[Aplicación]],9,4)</f>
        <v>2412</v>
      </c>
      <c r="V587" s="35" t="str">
        <f>VLOOKUP(Tabla1[[#This Row],[PROGRAMA]],Hoja1!A:B,2,FALSE)</f>
        <v>2412. Formación para el empleo</v>
      </c>
      <c r="W587" s="35" t="str">
        <f>MID(Tabla1[[#This Row],[Aplicación]],14,2)</f>
        <v>22</v>
      </c>
      <c r="X587" s="35" t="str">
        <f>MID(Tabla1[[#This Row],[Aplicación]],14,6)</f>
        <v>22199</v>
      </c>
    </row>
    <row r="588" spans="1:24" x14ac:dyDescent="0.25">
      <c r="A588" s="49">
        <v>220220012674</v>
      </c>
      <c r="B588" s="50" t="s">
        <v>172</v>
      </c>
      <c r="C588" s="57">
        <v>44644</v>
      </c>
      <c r="D588" s="49">
        <v>22022001455</v>
      </c>
      <c r="E588" s="50" t="s">
        <v>1471</v>
      </c>
      <c r="F588" s="58">
        <v>331.6</v>
      </c>
      <c r="G588" s="50" t="s">
        <v>85</v>
      </c>
      <c r="H588" s="50" t="s">
        <v>2028</v>
      </c>
      <c r="I588" s="49" t="s">
        <v>173</v>
      </c>
      <c r="J588" s="50" t="s">
        <v>109</v>
      </c>
      <c r="K588" s="50" t="s">
        <v>109</v>
      </c>
      <c r="L588" s="50" t="s">
        <v>15</v>
      </c>
      <c r="M588" s="50" t="s">
        <v>13</v>
      </c>
      <c r="N588" s="50" t="s">
        <v>14</v>
      </c>
      <c r="O588" s="48" t="s">
        <v>631</v>
      </c>
      <c r="P588" s="45" t="s">
        <v>453</v>
      </c>
      <c r="Q588" s="35" t="str">
        <f>MID(Tabla1[[#This Row],[Aplicación]],14,1)</f>
        <v>2</v>
      </c>
      <c r="R588" s="35" t="s">
        <v>441</v>
      </c>
      <c r="S588" s="35" t="str">
        <f>MID(Tabla1[[#This Row],[Aplicación]],6,2)</f>
        <v>11</v>
      </c>
      <c r="T588" s="35" t="str">
        <f>VLOOKUP(Tabla1[[#This Row],[AREA]],Hoja1!A:B,2,FALSE)</f>
        <v>11. Salud pública y seguridad ciudadana</v>
      </c>
      <c r="U588" s="35" t="str">
        <f>MID(Tabla1[[#This Row],[Aplicación]],9,4)</f>
        <v>1321</v>
      </c>
      <c r="V588" s="35" t="str">
        <f>VLOOKUP(Tabla1[[#This Row],[PROGRAMA]],Hoja1!A:B,2,FALSE)</f>
        <v>1321. Policía municipal</v>
      </c>
      <c r="W588" s="35" t="str">
        <f>MID(Tabla1[[#This Row],[Aplicación]],14,2)</f>
        <v>21</v>
      </c>
      <c r="X588" s="35" t="str">
        <f>MID(Tabla1[[#This Row],[Aplicación]],14,6)</f>
        <v>213</v>
      </c>
    </row>
    <row r="589" spans="1:24" x14ac:dyDescent="0.25">
      <c r="A589" s="49">
        <v>220220004198</v>
      </c>
      <c r="B589" s="50" t="s">
        <v>172</v>
      </c>
      <c r="C589" s="57">
        <v>44610</v>
      </c>
      <c r="D589" s="49">
        <v>22022000030</v>
      </c>
      <c r="E589" s="50" t="s">
        <v>2007</v>
      </c>
      <c r="F589" s="58">
        <v>299.56</v>
      </c>
      <c r="G589" s="50" t="s">
        <v>85</v>
      </c>
      <c r="H589" s="50" t="s">
        <v>2029</v>
      </c>
      <c r="I589" s="49" t="s">
        <v>173</v>
      </c>
      <c r="J589" s="50" t="s">
        <v>109</v>
      </c>
      <c r="K589" s="50" t="s">
        <v>109</v>
      </c>
      <c r="L589" s="50" t="s">
        <v>15</v>
      </c>
      <c r="M589" s="50" t="s">
        <v>13</v>
      </c>
      <c r="N589" s="50" t="s">
        <v>14</v>
      </c>
      <c r="O589" s="48" t="s">
        <v>631</v>
      </c>
      <c r="P589" s="45" t="s">
        <v>453</v>
      </c>
      <c r="Q589" s="35" t="str">
        <f>MID(Tabla1[[#This Row],[Aplicación]],14,1)</f>
        <v>2</v>
      </c>
      <c r="R589" s="35" t="s">
        <v>441</v>
      </c>
      <c r="S589" s="35" t="str">
        <f>MID(Tabla1[[#This Row],[Aplicación]],6,2)</f>
        <v>11</v>
      </c>
      <c r="T589" s="35" t="str">
        <f>VLOOKUP(Tabla1[[#This Row],[AREA]],Hoja1!A:B,2,FALSE)</f>
        <v>11. Salud pública y seguridad ciudadana</v>
      </c>
      <c r="U589" s="35" t="str">
        <f>MID(Tabla1[[#This Row],[Aplicación]],9,4)</f>
        <v>1621</v>
      </c>
      <c r="V589" s="35" t="str">
        <f>VLOOKUP(Tabla1[[#This Row],[PROGRAMA]],Hoja1!A:B,2,FALSE)</f>
        <v>1621. Servicio de limpieza</v>
      </c>
      <c r="W589" s="35" t="str">
        <f>MID(Tabla1[[#This Row],[Aplicación]],14,2)</f>
        <v>22</v>
      </c>
      <c r="X589" s="35" t="str">
        <f>MID(Tabla1[[#This Row],[Aplicación]],14,6)</f>
        <v>22199</v>
      </c>
    </row>
    <row r="590" spans="1:24" x14ac:dyDescent="0.25">
      <c r="A590" s="49">
        <v>220220005773</v>
      </c>
      <c r="B590" s="50" t="s">
        <v>9</v>
      </c>
      <c r="C590" s="57">
        <v>44615</v>
      </c>
      <c r="D590" s="49">
        <v>22022002317</v>
      </c>
      <c r="E590" s="50" t="s">
        <v>1659</v>
      </c>
      <c r="F590" s="58">
        <v>2609.73</v>
      </c>
      <c r="G590" s="50" t="s">
        <v>502</v>
      </c>
      <c r="H590" s="50" t="s">
        <v>2030</v>
      </c>
      <c r="I590" s="49" t="s">
        <v>107</v>
      </c>
      <c r="J590" s="50" t="s">
        <v>544</v>
      </c>
      <c r="K590" s="50" t="s">
        <v>109</v>
      </c>
      <c r="L590" s="50" t="s">
        <v>12</v>
      </c>
      <c r="M590" s="50" t="s">
        <v>10</v>
      </c>
      <c r="N590" s="50" t="s">
        <v>11</v>
      </c>
      <c r="O590" s="48" t="s">
        <v>632</v>
      </c>
      <c r="P590" s="45" t="s">
        <v>453</v>
      </c>
      <c r="Q590" s="35" t="str">
        <f>MID(Tabla1[[#This Row],[Aplicación]],14,1)</f>
        <v>2</v>
      </c>
      <c r="R590" s="35" t="s">
        <v>441</v>
      </c>
      <c r="S590" s="35" t="str">
        <f>MID(Tabla1[[#This Row],[Aplicación]],6,2)</f>
        <v>05</v>
      </c>
      <c r="T590" s="35" t="str">
        <f>VLOOKUP(Tabla1[[#This Row],[AREA]],Hoja1!A:B,2,FALSE)</f>
        <v>05. Innovación, desarrollo económico, empleo y comercio</v>
      </c>
      <c r="U590" s="35" t="str">
        <f>MID(Tabla1[[#This Row],[Aplicación]],9,4)</f>
        <v>4331</v>
      </c>
      <c r="V590" s="35" t="str">
        <f>VLOOKUP(Tabla1[[#This Row],[PROGRAMA]],Hoja1!A:B,2,FALSE)</f>
        <v>4331. Desarrollo empresarial</v>
      </c>
      <c r="W590" s="35" t="str">
        <f>MID(Tabla1[[#This Row],[Aplicación]],14,2)</f>
        <v>22</v>
      </c>
      <c r="X590" s="35" t="str">
        <f>MID(Tabla1[[#This Row],[Aplicación]],14,6)</f>
        <v>22799</v>
      </c>
    </row>
    <row r="591" spans="1:24" x14ac:dyDescent="0.25">
      <c r="A591" s="49">
        <v>220220008284</v>
      </c>
      <c r="B591" s="50" t="s">
        <v>9</v>
      </c>
      <c r="C591" s="57">
        <v>44630</v>
      </c>
      <c r="D591" s="49">
        <v>22022002707</v>
      </c>
      <c r="E591" s="50" t="s">
        <v>1471</v>
      </c>
      <c r="F591" s="58">
        <v>529.53</v>
      </c>
      <c r="G591" s="50" t="s">
        <v>473</v>
      </c>
      <c r="H591" s="50" t="s">
        <v>2031</v>
      </c>
      <c r="I591" s="49" t="s">
        <v>107</v>
      </c>
      <c r="J591" s="50" t="s">
        <v>597</v>
      </c>
      <c r="K591" s="50" t="s">
        <v>108</v>
      </c>
      <c r="L591" s="50" t="s">
        <v>12</v>
      </c>
      <c r="M591" s="50" t="s">
        <v>10</v>
      </c>
      <c r="N591" s="50" t="s">
        <v>11</v>
      </c>
      <c r="O591" s="48" t="s">
        <v>632</v>
      </c>
      <c r="P591" s="45" t="s">
        <v>453</v>
      </c>
      <c r="Q591" s="35" t="str">
        <f>MID(Tabla1[[#This Row],[Aplicación]],14,1)</f>
        <v>2</v>
      </c>
      <c r="R591" s="35" t="s">
        <v>441</v>
      </c>
      <c r="S591" s="35" t="str">
        <f>MID(Tabla1[[#This Row],[Aplicación]],6,2)</f>
        <v>11</v>
      </c>
      <c r="T591" s="35" t="str">
        <f>VLOOKUP(Tabla1[[#This Row],[AREA]],Hoja1!A:B,2,FALSE)</f>
        <v>11. Salud pública y seguridad ciudadana</v>
      </c>
      <c r="U591" s="35" t="str">
        <f>MID(Tabla1[[#This Row],[Aplicación]],9,4)</f>
        <v>1321</v>
      </c>
      <c r="V591" s="35" t="str">
        <f>VLOOKUP(Tabla1[[#This Row],[PROGRAMA]],Hoja1!A:B,2,FALSE)</f>
        <v>1321. Policía municipal</v>
      </c>
      <c r="W591" s="35" t="str">
        <f>MID(Tabla1[[#This Row],[Aplicación]],14,2)</f>
        <v>21</v>
      </c>
      <c r="X591" s="35" t="str">
        <f>MID(Tabla1[[#This Row],[Aplicación]],14,6)</f>
        <v>213</v>
      </c>
    </row>
    <row r="592" spans="1:24" x14ac:dyDescent="0.25">
      <c r="A592" s="49">
        <v>220220012361</v>
      </c>
      <c r="B592" s="50" t="s">
        <v>9</v>
      </c>
      <c r="C592" s="57">
        <v>44643</v>
      </c>
      <c r="D592" s="49">
        <v>22022002972</v>
      </c>
      <c r="E592" s="50" t="s">
        <v>1832</v>
      </c>
      <c r="F592" s="58">
        <v>3539.25</v>
      </c>
      <c r="G592" s="50" t="s">
        <v>933</v>
      </c>
      <c r="H592" s="50" t="s">
        <v>2032</v>
      </c>
      <c r="I592" s="49" t="s">
        <v>107</v>
      </c>
      <c r="J592" s="50" t="s">
        <v>151</v>
      </c>
      <c r="K592" s="50" t="s">
        <v>151</v>
      </c>
      <c r="L592" s="50" t="s">
        <v>15</v>
      </c>
      <c r="M592" s="50" t="s">
        <v>10</v>
      </c>
      <c r="N592" s="50" t="s">
        <v>11</v>
      </c>
      <c r="O592" s="48" t="s">
        <v>632</v>
      </c>
      <c r="P592" s="45" t="s">
        <v>453</v>
      </c>
      <c r="Q592" s="35" t="str">
        <f>MID(Tabla1[[#This Row],[Aplicación]],14,1)</f>
        <v>2</v>
      </c>
      <c r="R592" s="35" t="s">
        <v>441</v>
      </c>
      <c r="S592" s="35" t="str">
        <f>MID(Tabla1[[#This Row],[Aplicación]],6,2)</f>
        <v>03</v>
      </c>
      <c r="T592" s="35" t="str">
        <f>VLOOKUP(Tabla1[[#This Row],[AREA]],Hoja1!A:B,2,FALSE)</f>
        <v>03. Participación ciudadana y deportes</v>
      </c>
      <c r="U592" s="35" t="str">
        <f>MID(Tabla1[[#This Row],[Aplicación]],9,4)</f>
        <v>9241</v>
      </c>
      <c r="V592" s="35" t="str">
        <f>VLOOKUP(Tabla1[[#This Row],[PROGRAMA]],Hoja1!A:B,2,FALSE)</f>
        <v>9241. Participación ciudadana</v>
      </c>
      <c r="W592" s="35" t="str">
        <f>MID(Tabla1[[#This Row],[Aplicación]],14,2)</f>
        <v>22</v>
      </c>
      <c r="X592" s="35" t="str">
        <f>MID(Tabla1[[#This Row],[Aplicación]],14,6)</f>
        <v>22199</v>
      </c>
    </row>
    <row r="593" spans="1:24" x14ac:dyDescent="0.25">
      <c r="A593" s="49">
        <v>220220008691</v>
      </c>
      <c r="B593" s="50" t="s">
        <v>172</v>
      </c>
      <c r="C593" s="57">
        <v>44634</v>
      </c>
      <c r="D593" s="49">
        <v>22022001456</v>
      </c>
      <c r="E593" s="50" t="s">
        <v>2012</v>
      </c>
      <c r="F593" s="58">
        <v>332.31</v>
      </c>
      <c r="G593" s="50" t="s">
        <v>689</v>
      </c>
      <c r="H593" s="50" t="s">
        <v>2033</v>
      </c>
      <c r="I593" s="49" t="s">
        <v>173</v>
      </c>
      <c r="J593" s="50" t="s">
        <v>109</v>
      </c>
      <c r="K593" s="50" t="s">
        <v>109</v>
      </c>
      <c r="L593" s="50" t="s">
        <v>15</v>
      </c>
      <c r="M593" s="50" t="s">
        <v>13</v>
      </c>
      <c r="N593" s="50" t="s">
        <v>14</v>
      </c>
      <c r="O593" s="48" t="s">
        <v>631</v>
      </c>
      <c r="P593" s="45" t="s">
        <v>453</v>
      </c>
      <c r="Q593" s="35" t="str">
        <f>MID(Tabla1[[#This Row],[Aplicación]],14,1)</f>
        <v>2</v>
      </c>
      <c r="R593" s="35" t="s">
        <v>441</v>
      </c>
      <c r="S593" s="35" t="str">
        <f>MID(Tabla1[[#This Row],[Aplicación]],6,2)</f>
        <v>11</v>
      </c>
      <c r="T593" s="35" t="str">
        <f>VLOOKUP(Tabla1[[#This Row],[AREA]],Hoja1!A:B,2,FALSE)</f>
        <v>11. Salud pública y seguridad ciudadana</v>
      </c>
      <c r="U593" s="35" t="str">
        <f>MID(Tabla1[[#This Row],[Aplicación]],9,4)</f>
        <v>1321</v>
      </c>
      <c r="V593" s="35" t="str">
        <f>VLOOKUP(Tabla1[[#This Row],[PROGRAMA]],Hoja1!A:B,2,FALSE)</f>
        <v>1321. Policía municipal</v>
      </c>
      <c r="W593" s="35" t="str">
        <f>MID(Tabla1[[#This Row],[Aplicación]],14,2)</f>
        <v>22</v>
      </c>
      <c r="X593" s="35" t="str">
        <f>MID(Tabla1[[#This Row],[Aplicación]],14,6)</f>
        <v>22199</v>
      </c>
    </row>
    <row r="594" spans="1:24" x14ac:dyDescent="0.25">
      <c r="A594" s="49">
        <v>220220001771</v>
      </c>
      <c r="B594" s="50" t="s">
        <v>172</v>
      </c>
      <c r="C594" s="57">
        <v>44588</v>
      </c>
      <c r="D594" s="49">
        <v>22022001641</v>
      </c>
      <c r="E594" s="50" t="s">
        <v>2034</v>
      </c>
      <c r="F594" s="58">
        <v>309.05</v>
      </c>
      <c r="G594" s="50" t="s">
        <v>689</v>
      </c>
      <c r="H594" s="50" t="s">
        <v>2035</v>
      </c>
      <c r="I594" s="49" t="s">
        <v>173</v>
      </c>
      <c r="J594" s="50" t="s">
        <v>109</v>
      </c>
      <c r="K594" s="50" t="s">
        <v>109</v>
      </c>
      <c r="L594" s="50" t="s">
        <v>15</v>
      </c>
      <c r="M594" s="50" t="s">
        <v>13</v>
      </c>
      <c r="N594" s="50" t="s">
        <v>14</v>
      </c>
      <c r="O594" s="48" t="s">
        <v>631</v>
      </c>
      <c r="P594" s="45" t="s">
        <v>453</v>
      </c>
      <c r="Q594" s="35" t="str">
        <f>MID(Tabla1[[#This Row],[Aplicación]],14,1)</f>
        <v>2</v>
      </c>
      <c r="R594" s="35" t="s">
        <v>441</v>
      </c>
      <c r="S594" s="35" t="str">
        <f>MID(Tabla1[[#This Row],[Aplicación]],6,2)</f>
        <v>06</v>
      </c>
      <c r="T594" s="35" t="str">
        <f>VLOOKUP(Tabla1[[#This Row],[AREA]],Hoja1!A:B,2,FALSE)</f>
        <v>06. Educación, infancia, juventud e igualdad</v>
      </c>
      <c r="U594" s="35" t="str">
        <f>MID(Tabla1[[#This Row],[Aplicación]],9,4)</f>
        <v>3232</v>
      </c>
      <c r="V594" s="35" t="str">
        <f>VLOOKUP(Tabla1[[#This Row],[PROGRAMA]],Hoja1!A:B,2,FALSE)</f>
        <v>3232. Conservación y mantenimiento centros educación infantil y primaria</v>
      </c>
      <c r="W594" s="35" t="str">
        <f>MID(Tabla1[[#This Row],[Aplicación]],14,2)</f>
        <v>21</v>
      </c>
      <c r="X594" s="35" t="str">
        <f>MID(Tabla1[[#This Row],[Aplicación]],14,6)</f>
        <v>212</v>
      </c>
    </row>
    <row r="595" spans="1:24" x14ac:dyDescent="0.25">
      <c r="A595" s="49">
        <v>220220008784</v>
      </c>
      <c r="B595" s="50" t="s">
        <v>172</v>
      </c>
      <c r="C595" s="57">
        <v>44634</v>
      </c>
      <c r="D595" s="49">
        <v>22022001650</v>
      </c>
      <c r="E595" s="50" t="s">
        <v>2036</v>
      </c>
      <c r="F595" s="58">
        <v>300.54000000000002</v>
      </c>
      <c r="G595" s="50" t="s">
        <v>689</v>
      </c>
      <c r="H595" s="50" t="s">
        <v>2037</v>
      </c>
      <c r="I595" s="49" t="s">
        <v>173</v>
      </c>
      <c r="J595" s="50" t="s">
        <v>109</v>
      </c>
      <c r="K595" s="50" t="s">
        <v>109</v>
      </c>
      <c r="L595" s="50" t="s">
        <v>15</v>
      </c>
      <c r="M595" s="50" t="s">
        <v>13</v>
      </c>
      <c r="N595" s="50" t="s">
        <v>14</v>
      </c>
      <c r="O595" s="48" t="s">
        <v>631</v>
      </c>
      <c r="P595" s="45" t="s">
        <v>453</v>
      </c>
      <c r="Q595" s="35" t="str">
        <f>MID(Tabla1[[#This Row],[Aplicación]],14,1)</f>
        <v>2</v>
      </c>
      <c r="R595" s="35" t="s">
        <v>441</v>
      </c>
      <c r="S595" s="35" t="str">
        <f>MID(Tabla1[[#This Row],[Aplicación]],6,2)</f>
        <v>11</v>
      </c>
      <c r="T595" s="35" t="str">
        <f>VLOOKUP(Tabla1[[#This Row],[AREA]],Hoja1!A:B,2,FALSE)</f>
        <v>11. Salud pública y seguridad ciudadana</v>
      </c>
      <c r="U595" s="35" t="str">
        <f>MID(Tabla1[[#This Row],[Aplicación]],9,4)</f>
        <v>3111</v>
      </c>
      <c r="V595" s="35" t="str">
        <f>VLOOKUP(Tabla1[[#This Row],[PROGRAMA]],Hoja1!A:B,2,FALSE)</f>
        <v>3111. Protección de la salubridad pública</v>
      </c>
      <c r="W595" s="35" t="str">
        <f>MID(Tabla1[[#This Row],[Aplicación]],14,2)</f>
        <v>22</v>
      </c>
      <c r="X595" s="35" t="str">
        <f>MID(Tabla1[[#This Row],[Aplicación]],14,6)</f>
        <v>22199</v>
      </c>
    </row>
    <row r="596" spans="1:24" x14ac:dyDescent="0.25">
      <c r="A596" s="49">
        <v>220220005534</v>
      </c>
      <c r="B596" s="50" t="s">
        <v>172</v>
      </c>
      <c r="C596" s="57">
        <v>44614</v>
      </c>
      <c r="D596" s="49">
        <v>22022001178</v>
      </c>
      <c r="E596" s="50" t="s">
        <v>1653</v>
      </c>
      <c r="F596" s="58">
        <v>200.52</v>
      </c>
      <c r="G596" s="50" t="s">
        <v>689</v>
      </c>
      <c r="H596" s="50" t="s">
        <v>2038</v>
      </c>
      <c r="I596" s="49" t="s">
        <v>173</v>
      </c>
      <c r="J596" s="50" t="s">
        <v>109</v>
      </c>
      <c r="K596" s="50" t="s">
        <v>109</v>
      </c>
      <c r="L596" s="50" t="s">
        <v>15</v>
      </c>
      <c r="M596" s="50" t="s">
        <v>13</v>
      </c>
      <c r="N596" s="50" t="s">
        <v>14</v>
      </c>
      <c r="O596" s="48" t="s">
        <v>631</v>
      </c>
      <c r="P596" s="45" t="s">
        <v>453</v>
      </c>
      <c r="Q596" s="35" t="str">
        <f>MID(Tabla1[[#This Row],[Aplicación]],14,1)</f>
        <v>2</v>
      </c>
      <c r="R596" s="35" t="s">
        <v>441</v>
      </c>
      <c r="S596" s="35" t="str">
        <f>MID(Tabla1[[#This Row],[Aplicación]],6,2)</f>
        <v>10</v>
      </c>
      <c r="T596" s="35" t="str">
        <f>VLOOKUP(Tabla1[[#This Row],[AREA]],Hoja1!A:B,2,FALSE)</f>
        <v>10. Servicios sociales y mediación comunitaria</v>
      </c>
      <c r="U596" s="35" t="str">
        <f>MID(Tabla1[[#This Row],[Aplicación]],9,4)</f>
        <v>2311</v>
      </c>
      <c r="V596" s="35" t="str">
        <f>VLOOKUP(Tabla1[[#This Row],[PROGRAMA]],Hoja1!A:B,2,FALSE)</f>
        <v>2311. Intervención social</v>
      </c>
      <c r="W596" s="35" t="str">
        <f>MID(Tabla1[[#This Row],[Aplicación]],14,2)</f>
        <v>21</v>
      </c>
      <c r="X596" s="35" t="str">
        <f>MID(Tabla1[[#This Row],[Aplicación]],14,6)</f>
        <v>212</v>
      </c>
    </row>
    <row r="597" spans="1:24" x14ac:dyDescent="0.25">
      <c r="A597" s="49">
        <v>220220008580</v>
      </c>
      <c r="B597" s="50" t="s">
        <v>172</v>
      </c>
      <c r="C597" s="57">
        <v>44631</v>
      </c>
      <c r="D597" s="49">
        <v>22022001641</v>
      </c>
      <c r="E597" s="50" t="s">
        <v>2034</v>
      </c>
      <c r="F597" s="58">
        <v>136.97</v>
      </c>
      <c r="G597" s="50" t="s">
        <v>689</v>
      </c>
      <c r="H597" s="50" t="s">
        <v>2039</v>
      </c>
      <c r="I597" s="49" t="s">
        <v>173</v>
      </c>
      <c r="J597" s="50" t="s">
        <v>109</v>
      </c>
      <c r="K597" s="50" t="s">
        <v>109</v>
      </c>
      <c r="L597" s="50" t="s">
        <v>15</v>
      </c>
      <c r="M597" s="50" t="s">
        <v>13</v>
      </c>
      <c r="N597" s="50" t="s">
        <v>14</v>
      </c>
      <c r="O597" s="48" t="s">
        <v>631</v>
      </c>
      <c r="P597" s="45" t="s">
        <v>453</v>
      </c>
      <c r="Q597" s="35" t="str">
        <f>MID(Tabla1[[#This Row],[Aplicación]],14,1)</f>
        <v>2</v>
      </c>
      <c r="R597" s="35" t="s">
        <v>441</v>
      </c>
      <c r="S597" s="35" t="str">
        <f>MID(Tabla1[[#This Row],[Aplicación]],6,2)</f>
        <v>06</v>
      </c>
      <c r="T597" s="35" t="str">
        <f>VLOOKUP(Tabla1[[#This Row],[AREA]],Hoja1!A:B,2,FALSE)</f>
        <v>06. Educación, infancia, juventud e igualdad</v>
      </c>
      <c r="U597" s="35" t="str">
        <f>MID(Tabla1[[#This Row],[Aplicación]],9,4)</f>
        <v>3232</v>
      </c>
      <c r="V597" s="35" t="str">
        <f>VLOOKUP(Tabla1[[#This Row],[PROGRAMA]],Hoja1!A:B,2,FALSE)</f>
        <v>3232. Conservación y mantenimiento centros educación infantil y primaria</v>
      </c>
      <c r="W597" s="35" t="str">
        <f>MID(Tabla1[[#This Row],[Aplicación]],14,2)</f>
        <v>21</v>
      </c>
      <c r="X597" s="35" t="str">
        <f>MID(Tabla1[[#This Row],[Aplicación]],14,6)</f>
        <v>212</v>
      </c>
    </row>
    <row r="598" spans="1:24" x14ac:dyDescent="0.25">
      <c r="A598" s="49">
        <v>220220003573</v>
      </c>
      <c r="B598" s="50" t="s">
        <v>172</v>
      </c>
      <c r="C598" s="57">
        <v>44607</v>
      </c>
      <c r="D598" s="49">
        <v>22022001641</v>
      </c>
      <c r="E598" s="50" t="s">
        <v>2034</v>
      </c>
      <c r="F598" s="58">
        <v>67.03</v>
      </c>
      <c r="G598" s="50" t="s">
        <v>689</v>
      </c>
      <c r="H598" s="50" t="s">
        <v>2040</v>
      </c>
      <c r="I598" s="49" t="s">
        <v>173</v>
      </c>
      <c r="J598" s="50" t="s">
        <v>109</v>
      </c>
      <c r="K598" s="50" t="s">
        <v>109</v>
      </c>
      <c r="L598" s="50" t="s">
        <v>15</v>
      </c>
      <c r="M598" s="50" t="s">
        <v>13</v>
      </c>
      <c r="N598" s="50" t="s">
        <v>14</v>
      </c>
      <c r="O598" s="48" t="s">
        <v>631</v>
      </c>
      <c r="P598" s="45" t="s">
        <v>453</v>
      </c>
      <c r="Q598" s="35" t="str">
        <f>MID(Tabla1[[#This Row],[Aplicación]],14,1)</f>
        <v>2</v>
      </c>
      <c r="R598" s="35" t="s">
        <v>441</v>
      </c>
      <c r="S598" s="35" t="str">
        <f>MID(Tabla1[[#This Row],[Aplicación]],6,2)</f>
        <v>06</v>
      </c>
      <c r="T598" s="35" t="str">
        <f>VLOOKUP(Tabla1[[#This Row],[AREA]],Hoja1!A:B,2,FALSE)</f>
        <v>06. Educación, infancia, juventud e igualdad</v>
      </c>
      <c r="U598" s="35" t="str">
        <f>MID(Tabla1[[#This Row],[Aplicación]],9,4)</f>
        <v>3232</v>
      </c>
      <c r="V598" s="35" t="str">
        <f>VLOOKUP(Tabla1[[#This Row],[PROGRAMA]],Hoja1!A:B,2,FALSE)</f>
        <v>3232. Conservación y mantenimiento centros educación infantil y primaria</v>
      </c>
      <c r="W598" s="35" t="str">
        <f>MID(Tabla1[[#This Row],[Aplicación]],14,2)</f>
        <v>21</v>
      </c>
      <c r="X598" s="35" t="str">
        <f>MID(Tabla1[[#This Row],[Aplicación]],14,6)</f>
        <v>212</v>
      </c>
    </row>
    <row r="599" spans="1:24" x14ac:dyDescent="0.25">
      <c r="A599" s="49">
        <v>220220008705</v>
      </c>
      <c r="B599" s="50" t="s">
        <v>172</v>
      </c>
      <c r="C599" s="57">
        <v>44634</v>
      </c>
      <c r="D599" s="49">
        <v>22022000045</v>
      </c>
      <c r="E599" s="50" t="s">
        <v>2018</v>
      </c>
      <c r="F599" s="58">
        <v>50.8</v>
      </c>
      <c r="G599" s="50" t="s">
        <v>689</v>
      </c>
      <c r="H599" s="50" t="s">
        <v>2041</v>
      </c>
      <c r="I599" s="49" t="s">
        <v>173</v>
      </c>
      <c r="J599" s="50" t="s">
        <v>109</v>
      </c>
      <c r="K599" s="50" t="s">
        <v>109</v>
      </c>
      <c r="L599" s="50" t="s">
        <v>15</v>
      </c>
      <c r="M599" s="50" t="s">
        <v>13</v>
      </c>
      <c r="N599" s="50" t="s">
        <v>14</v>
      </c>
      <c r="O599" s="48" t="s">
        <v>631</v>
      </c>
      <c r="P599" s="45" t="s">
        <v>453</v>
      </c>
      <c r="Q599" s="35" t="str">
        <f>MID(Tabla1[[#This Row],[Aplicación]],14,1)</f>
        <v>2</v>
      </c>
      <c r="R599" s="35" t="s">
        <v>441</v>
      </c>
      <c r="S599" s="35" t="str">
        <f>MID(Tabla1[[#This Row],[Aplicación]],6,2)</f>
        <v>11</v>
      </c>
      <c r="T599" s="35" t="str">
        <f>VLOOKUP(Tabla1[[#This Row],[AREA]],Hoja1!A:B,2,FALSE)</f>
        <v>11. Salud pública y seguridad ciudadana</v>
      </c>
      <c r="U599" s="35" t="str">
        <f>MID(Tabla1[[#This Row],[Aplicación]],9,4)</f>
        <v>1631</v>
      </c>
      <c r="V599" s="35" t="str">
        <f>VLOOKUP(Tabla1[[#This Row],[PROGRAMA]],Hoja1!A:B,2,FALSE)</f>
        <v>1631. Limpieza viaria</v>
      </c>
      <c r="W599" s="35" t="str">
        <f>MID(Tabla1[[#This Row],[Aplicación]],14,2)</f>
        <v>22</v>
      </c>
      <c r="X599" s="35" t="str">
        <f>MID(Tabla1[[#This Row],[Aplicación]],14,6)</f>
        <v>22199</v>
      </c>
    </row>
    <row r="600" spans="1:24" x14ac:dyDescent="0.25">
      <c r="A600" s="49">
        <v>220220008609</v>
      </c>
      <c r="B600" s="50" t="s">
        <v>172</v>
      </c>
      <c r="C600" s="57">
        <v>44631</v>
      </c>
      <c r="D600" s="49">
        <v>22022001640</v>
      </c>
      <c r="E600" s="50" t="s">
        <v>1719</v>
      </c>
      <c r="F600" s="58">
        <v>47.49</v>
      </c>
      <c r="G600" s="50" t="s">
        <v>689</v>
      </c>
      <c r="H600" s="50" t="s">
        <v>2042</v>
      </c>
      <c r="I600" s="49" t="s">
        <v>173</v>
      </c>
      <c r="J600" s="50" t="s">
        <v>109</v>
      </c>
      <c r="K600" s="50" t="s">
        <v>109</v>
      </c>
      <c r="L600" s="50" t="s">
        <v>15</v>
      </c>
      <c r="M600" s="50" t="s">
        <v>13</v>
      </c>
      <c r="N600" s="50" t="s">
        <v>16</v>
      </c>
      <c r="O600" s="48" t="s">
        <v>631</v>
      </c>
      <c r="P600" s="45" t="s">
        <v>453</v>
      </c>
      <c r="Q600" s="35" t="str">
        <f>MID(Tabla1[[#This Row],[Aplicación]],14,1)</f>
        <v>2</v>
      </c>
      <c r="R600" s="35" t="s">
        <v>441</v>
      </c>
      <c r="S600" s="35" t="str">
        <f>MID(Tabla1[[#This Row],[Aplicación]],6,2)</f>
        <v>06</v>
      </c>
      <c r="T600" s="35" t="str">
        <f>VLOOKUP(Tabla1[[#This Row],[AREA]],Hoja1!A:B,2,FALSE)</f>
        <v>06. Educación, infancia, juventud e igualdad</v>
      </c>
      <c r="U600" s="35" t="str">
        <f>MID(Tabla1[[#This Row],[Aplicación]],9,4)</f>
        <v>3231</v>
      </c>
      <c r="V600" s="35" t="str">
        <f>VLOOKUP(Tabla1[[#This Row],[PROGRAMA]],Hoja1!A:B,2,FALSE)</f>
        <v>3231. Escuelas infantiles</v>
      </c>
      <c r="W600" s="35" t="str">
        <f>MID(Tabla1[[#This Row],[Aplicación]],14,2)</f>
        <v>21</v>
      </c>
      <c r="X600" s="35" t="str">
        <f>MID(Tabla1[[#This Row],[Aplicación]],14,6)</f>
        <v>212</v>
      </c>
    </row>
    <row r="601" spans="1:24" x14ac:dyDescent="0.25">
      <c r="A601" s="49">
        <v>220220009681</v>
      </c>
      <c r="B601" s="50" t="s">
        <v>172</v>
      </c>
      <c r="C601" s="57">
        <v>44636</v>
      </c>
      <c r="D601" s="49">
        <v>22022001449</v>
      </c>
      <c r="E601" s="50" t="s">
        <v>1890</v>
      </c>
      <c r="F601" s="58">
        <v>40.86</v>
      </c>
      <c r="G601" s="50" t="s">
        <v>689</v>
      </c>
      <c r="H601" s="50" t="s">
        <v>2043</v>
      </c>
      <c r="I601" s="49" t="s">
        <v>173</v>
      </c>
      <c r="J601" s="50" t="s">
        <v>109</v>
      </c>
      <c r="K601" s="50" t="s">
        <v>109</v>
      </c>
      <c r="L601" s="50" t="s">
        <v>15</v>
      </c>
      <c r="M601" s="50" t="s">
        <v>13</v>
      </c>
      <c r="N601" s="50" t="s">
        <v>14</v>
      </c>
      <c r="O601" s="48" t="s">
        <v>631</v>
      </c>
      <c r="P601" s="45" t="s">
        <v>453</v>
      </c>
      <c r="Q601" s="35" t="str">
        <f>MID(Tabla1[[#This Row],[Aplicación]],14,1)</f>
        <v>2</v>
      </c>
      <c r="R601" s="35" t="s">
        <v>441</v>
      </c>
      <c r="S601" s="35" t="str">
        <f>MID(Tabla1[[#This Row],[Aplicación]],6,2)</f>
        <v>02</v>
      </c>
      <c r="T601" s="35" t="str">
        <f>VLOOKUP(Tabla1[[#This Row],[AREA]],Hoja1!A:B,2,FALSE)</f>
        <v>02. Planeamiento urbanístico y vivienda</v>
      </c>
      <c r="U601" s="35" t="str">
        <f>MID(Tabla1[[#This Row],[Aplicación]],9,4)</f>
        <v>9332</v>
      </c>
      <c r="V601" s="35" t="str">
        <f>VLOOKUP(Tabla1[[#This Row],[PROGRAMA]],Hoja1!A:B,2,FALSE)</f>
        <v>9332. Mantenimiento de edificios e instalaciones municipales</v>
      </c>
      <c r="W601" s="35" t="str">
        <f>MID(Tabla1[[#This Row],[Aplicación]],14,2)</f>
        <v>21</v>
      </c>
      <c r="X601" s="35" t="str">
        <f>MID(Tabla1[[#This Row],[Aplicación]],14,6)</f>
        <v>212</v>
      </c>
    </row>
    <row r="602" spans="1:24" x14ac:dyDescent="0.25">
      <c r="A602" s="49">
        <v>220219000911</v>
      </c>
      <c r="B602" s="50" t="s">
        <v>9</v>
      </c>
      <c r="C602" s="57">
        <v>44562</v>
      </c>
      <c r="D602" s="49">
        <v>22022000107</v>
      </c>
      <c r="E602" s="50" t="s">
        <v>1783</v>
      </c>
      <c r="F602" s="58">
        <v>8800</v>
      </c>
      <c r="G602" s="50" t="s">
        <v>38</v>
      </c>
      <c r="H602" s="50" t="s">
        <v>2044</v>
      </c>
      <c r="I602" s="49" t="s">
        <v>107</v>
      </c>
      <c r="J602" s="50" t="s">
        <v>129</v>
      </c>
      <c r="K602" s="50" t="s">
        <v>170</v>
      </c>
      <c r="L602" s="50" t="s">
        <v>15</v>
      </c>
      <c r="M602" s="50" t="s">
        <v>13</v>
      </c>
      <c r="N602" s="50" t="s">
        <v>14</v>
      </c>
      <c r="O602" s="48" t="s">
        <v>620</v>
      </c>
      <c r="P602" s="45" t="s">
        <v>453</v>
      </c>
      <c r="Q602" s="35" t="str">
        <f>MID(Tabla1[[#This Row],[Aplicación]],14,1)</f>
        <v>2</v>
      </c>
      <c r="R602" s="35" t="s">
        <v>441</v>
      </c>
      <c r="S602" s="35" t="str">
        <f>MID(Tabla1[[#This Row],[Aplicación]],6,2)</f>
        <v>10</v>
      </c>
      <c r="T602" s="35" t="str">
        <f>VLOOKUP(Tabla1[[#This Row],[AREA]],Hoja1!A:B,2,FALSE)</f>
        <v>10. Servicios sociales y mediación comunitaria</v>
      </c>
      <c r="U602" s="35" t="str">
        <f>MID(Tabla1[[#This Row],[Aplicación]],9,4)</f>
        <v>2311</v>
      </c>
      <c r="V602" s="35" t="str">
        <f>VLOOKUP(Tabla1[[#This Row],[PROGRAMA]],Hoja1!A:B,2,FALSE)</f>
        <v>2311. Intervención social</v>
      </c>
      <c r="W602" s="35" t="str">
        <f>MID(Tabla1[[#This Row],[Aplicación]],14,2)</f>
        <v>22</v>
      </c>
      <c r="X602" s="35" t="str">
        <f>MID(Tabla1[[#This Row],[Aplicación]],14,6)</f>
        <v>22100</v>
      </c>
    </row>
    <row r="603" spans="1:24" x14ac:dyDescent="0.25">
      <c r="A603" s="49">
        <v>220220002418</v>
      </c>
      <c r="B603" s="50" t="s">
        <v>172</v>
      </c>
      <c r="C603" s="57">
        <v>44594</v>
      </c>
      <c r="D603" s="49">
        <v>22022001169</v>
      </c>
      <c r="E603" s="50" t="s">
        <v>2045</v>
      </c>
      <c r="F603" s="58">
        <v>33.590000000000003</v>
      </c>
      <c r="G603" s="50" t="s">
        <v>689</v>
      </c>
      <c r="H603" s="50" t="s">
        <v>2046</v>
      </c>
      <c r="I603" s="49" t="s">
        <v>173</v>
      </c>
      <c r="J603" s="50" t="s">
        <v>109</v>
      </c>
      <c r="K603" s="50" t="s">
        <v>109</v>
      </c>
      <c r="L603" s="50" t="s">
        <v>15</v>
      </c>
      <c r="M603" s="50" t="s">
        <v>13</v>
      </c>
      <c r="N603" s="50" t="s">
        <v>14</v>
      </c>
      <c r="O603" s="48" t="s">
        <v>631</v>
      </c>
      <c r="P603" s="45" t="s">
        <v>453</v>
      </c>
      <c r="Q603" s="35" t="str">
        <f>MID(Tabla1[[#This Row],[Aplicación]],14,1)</f>
        <v>2</v>
      </c>
      <c r="R603" s="35" t="s">
        <v>441</v>
      </c>
      <c r="S603" s="35" t="str">
        <f>MID(Tabla1[[#This Row],[Aplicación]],6,2)</f>
        <v>10</v>
      </c>
      <c r="T603" s="35" t="str">
        <f>VLOOKUP(Tabla1[[#This Row],[AREA]],Hoja1!A:B,2,FALSE)</f>
        <v>10. Servicios sociales y mediación comunitaria</v>
      </c>
      <c r="U603" s="35" t="str">
        <f>MID(Tabla1[[#This Row],[Aplicación]],9,4)</f>
        <v>2412</v>
      </c>
      <c r="V603" s="35" t="str">
        <f>VLOOKUP(Tabla1[[#This Row],[PROGRAMA]],Hoja1!A:B,2,FALSE)</f>
        <v>2412. Formación para el empleo</v>
      </c>
      <c r="W603" s="35" t="str">
        <f>MID(Tabla1[[#This Row],[Aplicación]],14,2)</f>
        <v>21</v>
      </c>
      <c r="X603" s="35" t="str">
        <f>MID(Tabla1[[#This Row],[Aplicación]],14,6)</f>
        <v>212</v>
      </c>
    </row>
    <row r="604" spans="1:24" x14ac:dyDescent="0.25">
      <c r="A604" s="49">
        <v>220220012540</v>
      </c>
      <c r="B604" s="50" t="s">
        <v>172</v>
      </c>
      <c r="C604" s="57">
        <v>44644</v>
      </c>
      <c r="D604" s="49">
        <v>22022001626</v>
      </c>
      <c r="E604" s="50" t="s">
        <v>1635</v>
      </c>
      <c r="F604" s="58">
        <v>28.28</v>
      </c>
      <c r="G604" s="50" t="s">
        <v>689</v>
      </c>
      <c r="H604" s="50" t="s">
        <v>2047</v>
      </c>
      <c r="I604" s="49" t="s">
        <v>173</v>
      </c>
      <c r="J604" s="50" t="s">
        <v>109</v>
      </c>
      <c r="K604" s="50" t="s">
        <v>109</v>
      </c>
      <c r="L604" s="50" t="s">
        <v>15</v>
      </c>
      <c r="M604" s="50" t="s">
        <v>13</v>
      </c>
      <c r="N604" s="50" t="s">
        <v>16</v>
      </c>
      <c r="O604" s="48" t="s">
        <v>631</v>
      </c>
      <c r="P604" s="45" t="s">
        <v>453</v>
      </c>
      <c r="Q604" s="35" t="str">
        <f>MID(Tabla1[[#This Row],[Aplicación]],14,1)</f>
        <v>2</v>
      </c>
      <c r="R604" s="35" t="s">
        <v>441</v>
      </c>
      <c r="S604" s="35" t="str">
        <f>MID(Tabla1[[#This Row],[Aplicación]],6,2)</f>
        <v>03</v>
      </c>
      <c r="T604" s="35" t="str">
        <f>VLOOKUP(Tabla1[[#This Row],[AREA]],Hoja1!A:B,2,FALSE)</f>
        <v>03. Participación ciudadana y deportes</v>
      </c>
      <c r="U604" s="35" t="str">
        <f>MID(Tabla1[[#This Row],[Aplicación]],9,4)</f>
        <v>9241</v>
      </c>
      <c r="V604" s="35" t="str">
        <f>VLOOKUP(Tabla1[[#This Row],[PROGRAMA]],Hoja1!A:B,2,FALSE)</f>
        <v>9241. Participación ciudadana</v>
      </c>
      <c r="W604" s="35" t="str">
        <f>MID(Tabla1[[#This Row],[Aplicación]],14,2)</f>
        <v>21</v>
      </c>
      <c r="X604" s="35" t="str">
        <f>MID(Tabla1[[#This Row],[Aplicación]],14,6)</f>
        <v>212</v>
      </c>
    </row>
    <row r="605" spans="1:24" x14ac:dyDescent="0.25">
      <c r="A605" s="49">
        <v>220220009509</v>
      </c>
      <c r="B605" s="50" t="s">
        <v>172</v>
      </c>
      <c r="C605" s="57">
        <v>44636</v>
      </c>
      <c r="D605" s="49">
        <v>22022001449</v>
      </c>
      <c r="E605" s="50" t="s">
        <v>1890</v>
      </c>
      <c r="F605" s="58">
        <v>24.38</v>
      </c>
      <c r="G605" s="50" t="s">
        <v>689</v>
      </c>
      <c r="H605" s="50" t="s">
        <v>2048</v>
      </c>
      <c r="I605" s="49" t="s">
        <v>173</v>
      </c>
      <c r="J605" s="50" t="s">
        <v>109</v>
      </c>
      <c r="K605" s="50" t="s">
        <v>109</v>
      </c>
      <c r="L605" s="50" t="s">
        <v>15</v>
      </c>
      <c r="M605" s="50" t="s">
        <v>13</v>
      </c>
      <c r="N605" s="50" t="s">
        <v>14</v>
      </c>
      <c r="O605" s="48" t="s">
        <v>631</v>
      </c>
      <c r="P605" s="45" t="s">
        <v>453</v>
      </c>
      <c r="Q605" s="35" t="str">
        <f>MID(Tabla1[[#This Row],[Aplicación]],14,1)</f>
        <v>2</v>
      </c>
      <c r="R605" s="35" t="s">
        <v>441</v>
      </c>
      <c r="S605" s="35" t="str">
        <f>MID(Tabla1[[#This Row],[Aplicación]],6,2)</f>
        <v>02</v>
      </c>
      <c r="T605" s="35" t="str">
        <f>VLOOKUP(Tabla1[[#This Row],[AREA]],Hoja1!A:B,2,FALSE)</f>
        <v>02. Planeamiento urbanístico y vivienda</v>
      </c>
      <c r="U605" s="35" t="str">
        <f>MID(Tabla1[[#This Row],[Aplicación]],9,4)</f>
        <v>9332</v>
      </c>
      <c r="V605" s="35" t="str">
        <f>VLOOKUP(Tabla1[[#This Row],[PROGRAMA]],Hoja1!A:B,2,FALSE)</f>
        <v>9332. Mantenimiento de edificios e instalaciones municipales</v>
      </c>
      <c r="W605" s="35" t="str">
        <f>MID(Tabla1[[#This Row],[Aplicación]],14,2)</f>
        <v>21</v>
      </c>
      <c r="X605" s="35" t="str">
        <f>MID(Tabla1[[#This Row],[Aplicación]],14,6)</f>
        <v>212</v>
      </c>
    </row>
    <row r="606" spans="1:24" x14ac:dyDescent="0.25">
      <c r="A606" s="49">
        <v>220220002410</v>
      </c>
      <c r="B606" s="50" t="s">
        <v>172</v>
      </c>
      <c r="C606" s="57">
        <v>44594</v>
      </c>
      <c r="D606" s="49">
        <v>22022001178</v>
      </c>
      <c r="E606" s="50" t="s">
        <v>1653</v>
      </c>
      <c r="F606" s="58">
        <v>16.649999999999999</v>
      </c>
      <c r="G606" s="50" t="s">
        <v>689</v>
      </c>
      <c r="H606" s="50" t="s">
        <v>2049</v>
      </c>
      <c r="I606" s="49" t="s">
        <v>173</v>
      </c>
      <c r="J606" s="50" t="s">
        <v>109</v>
      </c>
      <c r="K606" s="50" t="s">
        <v>109</v>
      </c>
      <c r="L606" s="50" t="s">
        <v>15</v>
      </c>
      <c r="M606" s="50" t="s">
        <v>13</v>
      </c>
      <c r="N606" s="50" t="s">
        <v>14</v>
      </c>
      <c r="O606" s="48" t="s">
        <v>631</v>
      </c>
      <c r="P606" s="45" t="s">
        <v>453</v>
      </c>
      <c r="Q606" s="35" t="str">
        <f>MID(Tabla1[[#This Row],[Aplicación]],14,1)</f>
        <v>2</v>
      </c>
      <c r="R606" s="35" t="s">
        <v>441</v>
      </c>
      <c r="S606" s="35" t="str">
        <f>MID(Tabla1[[#This Row],[Aplicación]],6,2)</f>
        <v>10</v>
      </c>
      <c r="T606" s="35" t="str">
        <f>VLOOKUP(Tabla1[[#This Row],[AREA]],Hoja1!A:B,2,FALSE)</f>
        <v>10. Servicios sociales y mediación comunitaria</v>
      </c>
      <c r="U606" s="35" t="str">
        <f>MID(Tabla1[[#This Row],[Aplicación]],9,4)</f>
        <v>2311</v>
      </c>
      <c r="V606" s="35" t="str">
        <f>VLOOKUP(Tabla1[[#This Row],[PROGRAMA]],Hoja1!A:B,2,FALSE)</f>
        <v>2311. Intervención social</v>
      </c>
      <c r="W606" s="35" t="str">
        <f>MID(Tabla1[[#This Row],[Aplicación]],14,2)</f>
        <v>21</v>
      </c>
      <c r="X606" s="35" t="str">
        <f>MID(Tabla1[[#This Row],[Aplicación]],14,6)</f>
        <v>212</v>
      </c>
    </row>
    <row r="607" spans="1:24" x14ac:dyDescent="0.25">
      <c r="A607" s="49">
        <v>220220005796</v>
      </c>
      <c r="B607" s="50" t="s">
        <v>9</v>
      </c>
      <c r="C607" s="57">
        <v>44615</v>
      </c>
      <c r="D607" s="49">
        <v>22022002385</v>
      </c>
      <c r="E607" s="50" t="s">
        <v>1704</v>
      </c>
      <c r="F607" s="58">
        <v>2582.14</v>
      </c>
      <c r="G607" s="50" t="s">
        <v>256</v>
      </c>
      <c r="H607" s="50" t="s">
        <v>2050</v>
      </c>
      <c r="I607" s="49" t="s">
        <v>107</v>
      </c>
      <c r="J607" s="50" t="s">
        <v>108</v>
      </c>
      <c r="K607" s="50" t="s">
        <v>108</v>
      </c>
      <c r="L607" s="50" t="s">
        <v>12</v>
      </c>
      <c r="M607" s="50" t="s">
        <v>10</v>
      </c>
      <c r="N607" s="50" t="s">
        <v>11</v>
      </c>
      <c r="O607" s="48" t="s">
        <v>632</v>
      </c>
      <c r="P607" s="45" t="s">
        <v>453</v>
      </c>
      <c r="Q607" s="35" t="str">
        <f>MID(Tabla1[[#This Row],[Aplicación]],14,1)</f>
        <v>2</v>
      </c>
      <c r="R607" s="35" t="s">
        <v>441</v>
      </c>
      <c r="S607" s="35" t="str">
        <f>MID(Tabla1[[#This Row],[Aplicación]],6,2)</f>
        <v>11</v>
      </c>
      <c r="T607" s="35" t="str">
        <f>VLOOKUP(Tabla1[[#This Row],[AREA]],Hoja1!A:B,2,FALSE)</f>
        <v>11. Salud pública y seguridad ciudadana</v>
      </c>
      <c r="U607" s="35" t="str">
        <f>MID(Tabla1[[#This Row],[Aplicación]],9,4)</f>
        <v>1321</v>
      </c>
      <c r="V607" s="35" t="str">
        <f>VLOOKUP(Tabla1[[#This Row],[PROGRAMA]],Hoja1!A:B,2,FALSE)</f>
        <v>1321. Policía municipal</v>
      </c>
      <c r="W607" s="35" t="str">
        <f>MID(Tabla1[[#This Row],[Aplicación]],14,2)</f>
        <v>22</v>
      </c>
      <c r="X607" s="35" t="str">
        <f>MID(Tabla1[[#This Row],[Aplicación]],14,6)</f>
        <v>22706</v>
      </c>
    </row>
    <row r="608" spans="1:24" x14ac:dyDescent="0.25">
      <c r="A608" s="49">
        <v>220220002500</v>
      </c>
      <c r="B608" s="50" t="s">
        <v>172</v>
      </c>
      <c r="C608" s="57">
        <v>44594</v>
      </c>
      <c r="D608" s="49">
        <v>22022001628</v>
      </c>
      <c r="E608" s="50" t="s">
        <v>1742</v>
      </c>
      <c r="F608" s="58">
        <v>238.39</v>
      </c>
      <c r="G608" s="50" t="s">
        <v>85</v>
      </c>
      <c r="H608" s="50" t="s">
        <v>2051</v>
      </c>
      <c r="I608" s="49" t="s">
        <v>173</v>
      </c>
      <c r="J608" s="50" t="s">
        <v>109</v>
      </c>
      <c r="K608" s="50" t="s">
        <v>109</v>
      </c>
      <c r="L608" s="50" t="s">
        <v>15</v>
      </c>
      <c r="M608" s="50" t="s">
        <v>13</v>
      </c>
      <c r="N608" s="50" t="s">
        <v>16</v>
      </c>
      <c r="O608" s="48" t="s">
        <v>631</v>
      </c>
      <c r="P608" s="45" t="s">
        <v>453</v>
      </c>
      <c r="Q608" s="35" t="str">
        <f>MID(Tabla1[[#This Row],[Aplicación]],14,1)</f>
        <v>2</v>
      </c>
      <c r="R608" s="35" t="s">
        <v>441</v>
      </c>
      <c r="S608" s="35" t="str">
        <f>MID(Tabla1[[#This Row],[Aplicación]],6,2)</f>
        <v>03</v>
      </c>
      <c r="T608" s="35" t="str">
        <f>VLOOKUP(Tabla1[[#This Row],[AREA]],Hoja1!A:B,2,FALSE)</f>
        <v>03. Participación ciudadana y deportes</v>
      </c>
      <c r="U608" s="35" t="str">
        <f>MID(Tabla1[[#This Row],[Aplicación]],9,4)</f>
        <v>9241</v>
      </c>
      <c r="V608" s="35" t="str">
        <f>VLOOKUP(Tabla1[[#This Row],[PROGRAMA]],Hoja1!A:B,2,FALSE)</f>
        <v>9241. Participación ciudadana</v>
      </c>
      <c r="W608" s="35" t="str">
        <f>MID(Tabla1[[#This Row],[Aplicación]],14,2)</f>
        <v>21</v>
      </c>
      <c r="X608" s="35" t="str">
        <f>MID(Tabla1[[#This Row],[Aplicación]],14,6)</f>
        <v>213</v>
      </c>
    </row>
    <row r="609" spans="1:24" x14ac:dyDescent="0.25">
      <c r="A609" s="49">
        <v>220220012364</v>
      </c>
      <c r="B609" s="50" t="s">
        <v>9</v>
      </c>
      <c r="C609" s="57">
        <v>44643</v>
      </c>
      <c r="D609" s="49">
        <v>22022002984</v>
      </c>
      <c r="E609" s="50" t="s">
        <v>2012</v>
      </c>
      <c r="F609" s="58">
        <v>1573</v>
      </c>
      <c r="G609" s="50" t="s">
        <v>1095</v>
      </c>
      <c r="H609" s="50" t="s">
        <v>2052</v>
      </c>
      <c r="I609" s="49" t="s">
        <v>107</v>
      </c>
      <c r="J609" s="50" t="s">
        <v>109</v>
      </c>
      <c r="K609" s="50" t="s">
        <v>109</v>
      </c>
      <c r="L609" s="50" t="s">
        <v>15</v>
      </c>
      <c r="M609" s="50" t="s">
        <v>10</v>
      </c>
      <c r="N609" s="50" t="s">
        <v>11</v>
      </c>
      <c r="O609" s="48" t="s">
        <v>632</v>
      </c>
      <c r="P609" s="45" t="s">
        <v>453</v>
      </c>
      <c r="Q609" s="35" t="str">
        <f>MID(Tabla1[[#This Row],[Aplicación]],14,1)</f>
        <v>2</v>
      </c>
      <c r="R609" s="35" t="s">
        <v>441</v>
      </c>
      <c r="S609" s="35" t="str">
        <f>MID(Tabla1[[#This Row],[Aplicación]],6,2)</f>
        <v>11</v>
      </c>
      <c r="T609" s="35" t="str">
        <f>VLOOKUP(Tabla1[[#This Row],[AREA]],Hoja1!A:B,2,FALSE)</f>
        <v>11. Salud pública y seguridad ciudadana</v>
      </c>
      <c r="U609" s="35" t="str">
        <f>MID(Tabla1[[#This Row],[Aplicación]],9,4)</f>
        <v>1321</v>
      </c>
      <c r="V609" s="35" t="str">
        <f>VLOOKUP(Tabla1[[#This Row],[PROGRAMA]],Hoja1!A:B,2,FALSE)</f>
        <v>1321. Policía municipal</v>
      </c>
      <c r="W609" s="35" t="str">
        <f>MID(Tabla1[[#This Row],[Aplicación]],14,2)</f>
        <v>22</v>
      </c>
      <c r="X609" s="35" t="str">
        <f>MID(Tabla1[[#This Row],[Aplicación]],14,6)</f>
        <v>22199</v>
      </c>
    </row>
    <row r="610" spans="1:24" x14ac:dyDescent="0.25">
      <c r="A610" s="49">
        <v>220220003843</v>
      </c>
      <c r="B610" s="50" t="s">
        <v>9</v>
      </c>
      <c r="C610" s="57">
        <v>44608</v>
      </c>
      <c r="D610" s="49">
        <v>22022002258</v>
      </c>
      <c r="E610" s="50" t="s">
        <v>1629</v>
      </c>
      <c r="F610" s="58">
        <v>1650</v>
      </c>
      <c r="G610" s="50" t="s">
        <v>685</v>
      </c>
      <c r="H610" s="50" t="s">
        <v>2053</v>
      </c>
      <c r="I610" s="49" t="s">
        <v>107</v>
      </c>
      <c r="J610" s="50" t="s">
        <v>109</v>
      </c>
      <c r="K610" s="50" t="s">
        <v>109</v>
      </c>
      <c r="L610" s="50" t="s">
        <v>12</v>
      </c>
      <c r="M610" s="50" t="s">
        <v>10</v>
      </c>
      <c r="N610" s="50" t="s">
        <v>11</v>
      </c>
      <c r="O610" s="48" t="s">
        <v>632</v>
      </c>
      <c r="P610" s="45" t="s">
        <v>453</v>
      </c>
      <c r="Q610" s="35" t="str">
        <f>MID(Tabla1[[#This Row],[Aplicación]],14,1)</f>
        <v>2</v>
      </c>
      <c r="R610" s="35" t="s">
        <v>441</v>
      </c>
      <c r="S610" s="35" t="str">
        <f>MID(Tabla1[[#This Row],[Aplicación]],6,2)</f>
        <v>06</v>
      </c>
      <c r="T610" s="35" t="str">
        <f>VLOOKUP(Tabla1[[#This Row],[AREA]],Hoja1!A:B,2,FALSE)</f>
        <v>06. Educación, infancia, juventud e igualdad</v>
      </c>
      <c r="U610" s="35" t="str">
        <f>MID(Tabla1[[#This Row],[Aplicación]],9,4)</f>
        <v>2315</v>
      </c>
      <c r="V610" s="35" t="str">
        <f>VLOOKUP(Tabla1[[#This Row],[PROGRAMA]],Hoja1!A:B,2,FALSE)</f>
        <v>2315. Políticas de Igualdad e infancia</v>
      </c>
      <c r="W610" s="35" t="str">
        <f>MID(Tabla1[[#This Row],[Aplicación]],14,2)</f>
        <v>22</v>
      </c>
      <c r="X610" s="35" t="str">
        <f>MID(Tabla1[[#This Row],[Aplicación]],14,6)</f>
        <v>22611</v>
      </c>
    </row>
    <row r="611" spans="1:24" x14ac:dyDescent="0.25">
      <c r="A611" s="49">
        <v>220219001257</v>
      </c>
      <c r="B611" s="50" t="s">
        <v>9</v>
      </c>
      <c r="C611" s="57">
        <v>44562</v>
      </c>
      <c r="D611" s="49">
        <v>22022001690</v>
      </c>
      <c r="E611" s="50" t="s">
        <v>1436</v>
      </c>
      <c r="F611" s="58">
        <v>484</v>
      </c>
      <c r="G611" s="50" t="s">
        <v>685</v>
      </c>
      <c r="H611" s="50" t="s">
        <v>2054</v>
      </c>
      <c r="I611" s="49" t="s">
        <v>107</v>
      </c>
      <c r="J611" s="50" t="s">
        <v>109</v>
      </c>
      <c r="K611" s="50" t="s">
        <v>109</v>
      </c>
      <c r="L611" s="50" t="s">
        <v>12</v>
      </c>
      <c r="M611" s="50" t="s">
        <v>10</v>
      </c>
      <c r="N611" s="50" t="s">
        <v>11</v>
      </c>
      <c r="O611" s="48" t="s">
        <v>632</v>
      </c>
      <c r="P611" s="45" t="s">
        <v>453</v>
      </c>
      <c r="Q611" s="35" t="str">
        <f>MID(Tabla1[[#This Row],[Aplicación]],14,1)</f>
        <v>2</v>
      </c>
      <c r="R611" s="35" t="s">
        <v>441</v>
      </c>
      <c r="S611" s="35" t="str">
        <f>MID(Tabla1[[#This Row],[Aplicación]],6,2)</f>
        <v>03</v>
      </c>
      <c r="T611" s="35" t="str">
        <f>VLOOKUP(Tabla1[[#This Row],[AREA]],Hoja1!A:B,2,FALSE)</f>
        <v>03. Participación ciudadana y deportes</v>
      </c>
      <c r="U611" s="35" t="str">
        <f>MID(Tabla1[[#This Row],[Aplicación]],9,4)</f>
        <v>9241</v>
      </c>
      <c r="V611" s="35" t="str">
        <f>VLOOKUP(Tabla1[[#This Row],[PROGRAMA]],Hoja1!A:B,2,FALSE)</f>
        <v>9241. Participación ciudadana</v>
      </c>
      <c r="W611" s="35" t="str">
        <f>MID(Tabla1[[#This Row],[Aplicación]],14,2)</f>
        <v>22</v>
      </c>
      <c r="X611" s="35" t="str">
        <f>MID(Tabla1[[#This Row],[Aplicación]],14,6)</f>
        <v>22609</v>
      </c>
    </row>
    <row r="612" spans="1:24" x14ac:dyDescent="0.25">
      <c r="A612" s="49">
        <v>220220002442</v>
      </c>
      <c r="B612" s="50" t="s">
        <v>26</v>
      </c>
      <c r="C612" s="57">
        <v>44594</v>
      </c>
      <c r="D612" s="49">
        <v>22022001705</v>
      </c>
      <c r="E612" s="50" t="s">
        <v>1436</v>
      </c>
      <c r="F612" s="58">
        <v>484</v>
      </c>
      <c r="G612" s="50" t="s">
        <v>685</v>
      </c>
      <c r="H612" s="50" t="s">
        <v>2055</v>
      </c>
      <c r="I612" s="49" t="s">
        <v>197</v>
      </c>
      <c r="J612" s="50" t="s">
        <v>109</v>
      </c>
      <c r="K612" s="50" t="s">
        <v>109</v>
      </c>
      <c r="L612" s="50" t="s">
        <v>12</v>
      </c>
      <c r="M612" s="50" t="s">
        <v>10</v>
      </c>
      <c r="N612" s="50" t="s">
        <v>11</v>
      </c>
      <c r="O612" s="48" t="s">
        <v>632</v>
      </c>
      <c r="P612" s="45" t="s">
        <v>453</v>
      </c>
      <c r="Q612" s="35" t="str">
        <f>MID(Tabla1[[#This Row],[Aplicación]],14,1)</f>
        <v>2</v>
      </c>
      <c r="R612" s="35" t="s">
        <v>441</v>
      </c>
      <c r="S612" s="35" t="str">
        <f>MID(Tabla1[[#This Row],[Aplicación]],6,2)</f>
        <v>03</v>
      </c>
      <c r="T612" s="35" t="str">
        <f>VLOOKUP(Tabla1[[#This Row],[AREA]],Hoja1!A:B,2,FALSE)</f>
        <v>03. Participación ciudadana y deportes</v>
      </c>
      <c r="U612" s="35" t="str">
        <f>MID(Tabla1[[#This Row],[Aplicación]],9,4)</f>
        <v>9241</v>
      </c>
      <c r="V612" s="35" t="str">
        <f>VLOOKUP(Tabla1[[#This Row],[PROGRAMA]],Hoja1!A:B,2,FALSE)</f>
        <v>9241. Participación ciudadana</v>
      </c>
      <c r="W612" s="35" t="str">
        <f>MID(Tabla1[[#This Row],[Aplicación]],14,2)</f>
        <v>22</v>
      </c>
      <c r="X612" s="35" t="str">
        <f>MID(Tabla1[[#This Row],[Aplicación]],14,6)</f>
        <v>22609</v>
      </c>
    </row>
    <row r="613" spans="1:24" x14ac:dyDescent="0.25">
      <c r="A613" s="49">
        <v>220220006814</v>
      </c>
      <c r="B613" s="50" t="s">
        <v>172</v>
      </c>
      <c r="C613" s="57">
        <v>44622</v>
      </c>
      <c r="D613" s="49">
        <v>22022001628</v>
      </c>
      <c r="E613" s="50" t="s">
        <v>1742</v>
      </c>
      <c r="F613" s="58">
        <v>208.08</v>
      </c>
      <c r="G613" s="50" t="s">
        <v>85</v>
      </c>
      <c r="H613" s="50" t="s">
        <v>2056</v>
      </c>
      <c r="I613" s="49" t="s">
        <v>173</v>
      </c>
      <c r="J613" s="50" t="s">
        <v>109</v>
      </c>
      <c r="K613" s="50" t="s">
        <v>109</v>
      </c>
      <c r="L613" s="50" t="s">
        <v>15</v>
      </c>
      <c r="M613" s="50" t="s">
        <v>13</v>
      </c>
      <c r="N613" s="50" t="s">
        <v>16</v>
      </c>
      <c r="O613" s="48" t="s">
        <v>631</v>
      </c>
      <c r="P613" s="45" t="s">
        <v>453</v>
      </c>
      <c r="Q613" s="35" t="str">
        <f>MID(Tabla1[[#This Row],[Aplicación]],14,1)</f>
        <v>2</v>
      </c>
      <c r="R613" s="35" t="s">
        <v>441</v>
      </c>
      <c r="S613" s="35" t="str">
        <f>MID(Tabla1[[#This Row],[Aplicación]],6,2)</f>
        <v>03</v>
      </c>
      <c r="T613" s="35" t="str">
        <f>VLOOKUP(Tabla1[[#This Row],[AREA]],Hoja1!A:B,2,FALSE)</f>
        <v>03. Participación ciudadana y deportes</v>
      </c>
      <c r="U613" s="35" t="str">
        <f>MID(Tabla1[[#This Row],[Aplicación]],9,4)</f>
        <v>9241</v>
      </c>
      <c r="V613" s="35" t="str">
        <f>VLOOKUP(Tabla1[[#This Row],[PROGRAMA]],Hoja1!A:B,2,FALSE)</f>
        <v>9241. Participación ciudadana</v>
      </c>
      <c r="W613" s="35" t="str">
        <f>MID(Tabla1[[#This Row],[Aplicación]],14,2)</f>
        <v>21</v>
      </c>
      <c r="X613" s="35" t="str">
        <f>MID(Tabla1[[#This Row],[Aplicación]],14,6)</f>
        <v>213</v>
      </c>
    </row>
    <row r="614" spans="1:24" x14ac:dyDescent="0.25">
      <c r="A614" s="49">
        <v>220220006872</v>
      </c>
      <c r="B614" s="50" t="s">
        <v>172</v>
      </c>
      <c r="C614" s="57">
        <v>44622</v>
      </c>
      <c r="D614" s="49">
        <v>22022000026</v>
      </c>
      <c r="E614" s="50" t="s">
        <v>1644</v>
      </c>
      <c r="F614" s="58">
        <v>194.96</v>
      </c>
      <c r="G614" s="50" t="s">
        <v>85</v>
      </c>
      <c r="H614" s="50" t="s">
        <v>2057</v>
      </c>
      <c r="I614" s="49" t="s">
        <v>173</v>
      </c>
      <c r="J614" s="50" t="s">
        <v>109</v>
      </c>
      <c r="K614" s="50" t="s">
        <v>109</v>
      </c>
      <c r="L614" s="50" t="s">
        <v>15</v>
      </c>
      <c r="M614" s="50" t="s">
        <v>13</v>
      </c>
      <c r="N614" s="50" t="s">
        <v>14</v>
      </c>
      <c r="O614" s="48" t="s">
        <v>631</v>
      </c>
      <c r="P614" s="45" t="s">
        <v>453</v>
      </c>
      <c r="Q614" s="35" t="str">
        <f>MID(Tabla1[[#This Row],[Aplicación]],14,1)</f>
        <v>2</v>
      </c>
      <c r="R614" s="35" t="s">
        <v>441</v>
      </c>
      <c r="S614" s="35" t="str">
        <f>MID(Tabla1[[#This Row],[Aplicación]],6,2)</f>
        <v>11</v>
      </c>
      <c r="T614" s="35" t="str">
        <f>VLOOKUP(Tabla1[[#This Row],[AREA]],Hoja1!A:B,2,FALSE)</f>
        <v>11. Salud pública y seguridad ciudadana</v>
      </c>
      <c r="U614" s="35" t="str">
        <f>MID(Tabla1[[#This Row],[Aplicación]],9,4)</f>
        <v>1621</v>
      </c>
      <c r="V614" s="35" t="str">
        <f>VLOOKUP(Tabla1[[#This Row],[PROGRAMA]],Hoja1!A:B,2,FALSE)</f>
        <v>1621. Servicio de limpieza</v>
      </c>
      <c r="W614" s="35" t="str">
        <f>MID(Tabla1[[#This Row],[Aplicación]],14,2)</f>
        <v>21</v>
      </c>
      <c r="X614" s="35" t="str">
        <f>MID(Tabla1[[#This Row],[Aplicación]],14,6)</f>
        <v>214</v>
      </c>
    </row>
    <row r="615" spans="1:24" x14ac:dyDescent="0.25">
      <c r="A615" s="49">
        <v>220219000935</v>
      </c>
      <c r="B615" s="50" t="s">
        <v>9</v>
      </c>
      <c r="C615" s="57">
        <v>44562</v>
      </c>
      <c r="D615" s="49">
        <v>22022000131</v>
      </c>
      <c r="E615" s="50" t="s">
        <v>2058</v>
      </c>
      <c r="F615" s="58">
        <v>8000</v>
      </c>
      <c r="G615" s="50" t="s">
        <v>38</v>
      </c>
      <c r="H615" s="50" t="s">
        <v>2059</v>
      </c>
      <c r="I615" s="49" t="s">
        <v>107</v>
      </c>
      <c r="J615" s="50" t="s">
        <v>129</v>
      </c>
      <c r="K615" s="50" t="s">
        <v>170</v>
      </c>
      <c r="L615" s="50" t="s">
        <v>12</v>
      </c>
      <c r="M615" s="50" t="s">
        <v>13</v>
      </c>
      <c r="N615" s="50" t="s">
        <v>14</v>
      </c>
      <c r="O615" s="48" t="s">
        <v>620</v>
      </c>
      <c r="P615" s="45" t="s">
        <v>453</v>
      </c>
      <c r="Q615" s="35" t="str">
        <f>MID(Tabla1[[#This Row],[Aplicación]],14,1)</f>
        <v>2</v>
      </c>
      <c r="R615" s="35" t="s">
        <v>441</v>
      </c>
      <c r="S615" s="35" t="str">
        <f>MID(Tabla1[[#This Row],[Aplicación]],6,2)</f>
        <v>05</v>
      </c>
      <c r="T615" s="35" t="str">
        <f>VLOOKUP(Tabla1[[#This Row],[AREA]],Hoja1!A:B,2,FALSE)</f>
        <v>05. Innovación, desarrollo económico, empleo y comercio</v>
      </c>
      <c r="U615" s="35" t="str">
        <f>MID(Tabla1[[#This Row],[Aplicación]],9,4)</f>
        <v>4312</v>
      </c>
      <c r="V615" s="35" t="str">
        <f>VLOOKUP(Tabla1[[#This Row],[PROGRAMA]],Hoja1!A:B,2,FALSE)</f>
        <v>4312. Mercados, abastos y lonjas</v>
      </c>
      <c r="W615" s="35" t="str">
        <f>MID(Tabla1[[#This Row],[Aplicación]],14,2)</f>
        <v>22</v>
      </c>
      <c r="X615" s="35" t="str">
        <f>MID(Tabla1[[#This Row],[Aplicación]],14,6)</f>
        <v>22100</v>
      </c>
    </row>
    <row r="616" spans="1:24" x14ac:dyDescent="0.25">
      <c r="A616" s="49">
        <v>220220003153</v>
      </c>
      <c r="B616" s="50" t="s">
        <v>172</v>
      </c>
      <c r="C616" s="57">
        <v>44601</v>
      </c>
      <c r="D616" s="49">
        <v>22022001184</v>
      </c>
      <c r="E616" s="50" t="s">
        <v>2020</v>
      </c>
      <c r="F616" s="58">
        <v>186.46</v>
      </c>
      <c r="G616" s="50" t="s">
        <v>85</v>
      </c>
      <c r="H616" s="50" t="s">
        <v>2060</v>
      </c>
      <c r="I616" s="49" t="s">
        <v>173</v>
      </c>
      <c r="J616" s="50" t="s">
        <v>109</v>
      </c>
      <c r="K616" s="50" t="s">
        <v>109</v>
      </c>
      <c r="L616" s="50" t="s">
        <v>15</v>
      </c>
      <c r="M616" s="50" t="s">
        <v>13</v>
      </c>
      <c r="N616" s="50" t="s">
        <v>14</v>
      </c>
      <c r="O616" s="48" t="s">
        <v>631</v>
      </c>
      <c r="P616" s="45" t="s">
        <v>453</v>
      </c>
      <c r="Q616" s="35" t="str">
        <f>MID(Tabla1[[#This Row],[Aplicación]],14,1)</f>
        <v>2</v>
      </c>
      <c r="R616" s="35" t="s">
        <v>441</v>
      </c>
      <c r="S616" s="35" t="str">
        <f>MID(Tabla1[[#This Row],[Aplicación]],6,2)</f>
        <v>10</v>
      </c>
      <c r="T616" s="35" t="str">
        <f>VLOOKUP(Tabla1[[#This Row],[AREA]],Hoja1!A:B,2,FALSE)</f>
        <v>10. Servicios sociales y mediación comunitaria</v>
      </c>
      <c r="U616" s="35" t="str">
        <f>MID(Tabla1[[#This Row],[Aplicación]],9,4)</f>
        <v>2312</v>
      </c>
      <c r="V616" s="35" t="str">
        <f>VLOOKUP(Tabla1[[#This Row],[PROGRAMA]],Hoja1!A:B,2,FALSE)</f>
        <v>2312. Iniciativas sociales</v>
      </c>
      <c r="W616" s="35" t="str">
        <f>MID(Tabla1[[#This Row],[Aplicación]],14,2)</f>
        <v>21</v>
      </c>
      <c r="X616" s="35" t="str">
        <f>MID(Tabla1[[#This Row],[Aplicación]],14,6)</f>
        <v>212</v>
      </c>
    </row>
    <row r="617" spans="1:24" x14ac:dyDescent="0.25">
      <c r="A617" s="49">
        <v>220220005219</v>
      </c>
      <c r="B617" s="50" t="s">
        <v>9</v>
      </c>
      <c r="C617" s="57">
        <v>44614</v>
      </c>
      <c r="D617" s="49">
        <v>22022002314</v>
      </c>
      <c r="E617" s="50" t="s">
        <v>1759</v>
      </c>
      <c r="F617" s="58">
        <v>182.15</v>
      </c>
      <c r="G617" s="50" t="s">
        <v>85</v>
      </c>
      <c r="H617" s="50" t="s">
        <v>2061</v>
      </c>
      <c r="I617" s="49" t="s">
        <v>107</v>
      </c>
      <c r="J617" s="50" t="s">
        <v>109</v>
      </c>
      <c r="K617" s="50" t="s">
        <v>109</v>
      </c>
      <c r="L617" s="50" t="s">
        <v>15</v>
      </c>
      <c r="M617" s="50" t="s">
        <v>10</v>
      </c>
      <c r="N617" s="50" t="s">
        <v>11</v>
      </c>
      <c r="O617" s="48" t="s">
        <v>632</v>
      </c>
      <c r="P617" s="45" t="s">
        <v>453</v>
      </c>
      <c r="Q617" s="35" t="str">
        <f>MID(Tabla1[[#This Row],[Aplicación]],14,1)</f>
        <v>2</v>
      </c>
      <c r="R617" s="35" t="s">
        <v>441</v>
      </c>
      <c r="S617" s="35" t="str">
        <f>MID(Tabla1[[#This Row],[Aplicación]],6,2)</f>
        <v>02</v>
      </c>
      <c r="T617" s="35" t="str">
        <f>VLOOKUP(Tabla1[[#This Row],[AREA]],Hoja1!A:B,2,FALSE)</f>
        <v>02. Planeamiento urbanístico y vivienda</v>
      </c>
      <c r="U617" s="35" t="str">
        <f>MID(Tabla1[[#This Row],[Aplicación]],9,4)</f>
        <v>9332</v>
      </c>
      <c r="V617" s="35" t="str">
        <f>VLOOKUP(Tabla1[[#This Row],[PROGRAMA]],Hoja1!A:B,2,FALSE)</f>
        <v>9332. Mantenimiento de edificios e instalaciones municipales</v>
      </c>
      <c r="W617" s="35" t="str">
        <f>MID(Tabla1[[#This Row],[Aplicación]],14,2)</f>
        <v>21</v>
      </c>
      <c r="X617" s="35" t="str">
        <f>MID(Tabla1[[#This Row],[Aplicación]],14,6)</f>
        <v>213</v>
      </c>
    </row>
    <row r="618" spans="1:24" x14ac:dyDescent="0.25">
      <c r="A618" s="49">
        <v>220220007041</v>
      </c>
      <c r="B618" s="50" t="s">
        <v>172</v>
      </c>
      <c r="C618" s="57">
        <v>44623</v>
      </c>
      <c r="D618" s="49">
        <v>22022001184</v>
      </c>
      <c r="E618" s="50" t="s">
        <v>2020</v>
      </c>
      <c r="F618" s="58">
        <v>182.15</v>
      </c>
      <c r="G618" s="50" t="s">
        <v>85</v>
      </c>
      <c r="H618" s="50" t="s">
        <v>2062</v>
      </c>
      <c r="I618" s="49" t="s">
        <v>173</v>
      </c>
      <c r="J618" s="50" t="s">
        <v>109</v>
      </c>
      <c r="K618" s="50" t="s">
        <v>109</v>
      </c>
      <c r="L618" s="50" t="s">
        <v>15</v>
      </c>
      <c r="M618" s="50" t="s">
        <v>13</v>
      </c>
      <c r="N618" s="50" t="s">
        <v>14</v>
      </c>
      <c r="O618" s="48" t="s">
        <v>631</v>
      </c>
      <c r="P618" s="45" t="s">
        <v>453</v>
      </c>
      <c r="Q618" s="35" t="str">
        <f>MID(Tabla1[[#This Row],[Aplicación]],14,1)</f>
        <v>2</v>
      </c>
      <c r="R618" s="35" t="s">
        <v>441</v>
      </c>
      <c r="S618" s="35" t="str">
        <f>MID(Tabla1[[#This Row],[Aplicación]],6,2)</f>
        <v>10</v>
      </c>
      <c r="T618" s="35" t="str">
        <f>VLOOKUP(Tabla1[[#This Row],[AREA]],Hoja1!A:B,2,FALSE)</f>
        <v>10. Servicios sociales y mediación comunitaria</v>
      </c>
      <c r="U618" s="35" t="str">
        <f>MID(Tabla1[[#This Row],[Aplicación]],9,4)</f>
        <v>2312</v>
      </c>
      <c r="V618" s="35" t="str">
        <f>VLOOKUP(Tabla1[[#This Row],[PROGRAMA]],Hoja1!A:B,2,FALSE)</f>
        <v>2312. Iniciativas sociales</v>
      </c>
      <c r="W618" s="35" t="str">
        <f>MID(Tabla1[[#This Row],[Aplicación]],14,2)</f>
        <v>21</v>
      </c>
      <c r="X618" s="35" t="str">
        <f>MID(Tabla1[[#This Row],[Aplicación]],14,6)</f>
        <v>212</v>
      </c>
    </row>
    <row r="619" spans="1:24" x14ac:dyDescent="0.25">
      <c r="A619" s="49">
        <v>220220005204</v>
      </c>
      <c r="B619" s="50" t="s">
        <v>9</v>
      </c>
      <c r="C619" s="57">
        <v>44614</v>
      </c>
      <c r="D619" s="49">
        <v>22022002205</v>
      </c>
      <c r="E619" s="50" t="s">
        <v>2063</v>
      </c>
      <c r="F619" s="58">
        <v>752</v>
      </c>
      <c r="G619" s="50" t="s">
        <v>687</v>
      </c>
      <c r="H619" s="50" t="s">
        <v>2064</v>
      </c>
      <c r="I619" s="49" t="s">
        <v>107</v>
      </c>
      <c r="J619" s="50" t="s">
        <v>108</v>
      </c>
      <c r="K619" s="50" t="s">
        <v>108</v>
      </c>
      <c r="L619" s="50" t="s">
        <v>15</v>
      </c>
      <c r="M619" s="50" t="s">
        <v>10</v>
      </c>
      <c r="N619" s="50" t="s">
        <v>11</v>
      </c>
      <c r="O619" s="48" t="s">
        <v>632</v>
      </c>
      <c r="P619" s="45" t="s">
        <v>453</v>
      </c>
      <c r="Q619" s="35" t="str">
        <f>MID(Tabla1[[#This Row],[Aplicación]],14,1)</f>
        <v>2</v>
      </c>
      <c r="R619" s="35" t="s">
        <v>441</v>
      </c>
      <c r="S619" s="35" t="str">
        <f>MID(Tabla1[[#This Row],[Aplicación]],6,2)</f>
        <v>01</v>
      </c>
      <c r="T619" s="35" t="str">
        <f>VLOOKUP(Tabla1[[#This Row],[AREA]],Hoja1!A:B,2,FALSE)</f>
        <v>01. Alcaldía</v>
      </c>
      <c r="U619" s="35" t="str">
        <f>MID(Tabla1[[#This Row],[Aplicación]],9,4)</f>
        <v>9206</v>
      </c>
      <c r="V619" s="35" t="str">
        <f>VLOOKUP(Tabla1[[#This Row],[PROGRAMA]],Hoja1!A:B,2,FALSE)</f>
        <v>9206. Archivo municipal</v>
      </c>
      <c r="W619" s="35" t="str">
        <f>MID(Tabla1[[#This Row],[Aplicación]],14,2)</f>
        <v>22</v>
      </c>
      <c r="X619" s="35" t="str">
        <f>MID(Tabla1[[#This Row],[Aplicación]],14,6)</f>
        <v>22001</v>
      </c>
    </row>
    <row r="620" spans="1:24" x14ac:dyDescent="0.25">
      <c r="A620" s="49">
        <v>220220008281</v>
      </c>
      <c r="B620" s="50" t="s">
        <v>9</v>
      </c>
      <c r="C620" s="57">
        <v>44630</v>
      </c>
      <c r="D620" s="49">
        <v>22022002592</v>
      </c>
      <c r="E620" s="50" t="s">
        <v>2036</v>
      </c>
      <c r="F620" s="58">
        <v>3000</v>
      </c>
      <c r="G620" s="50" t="s">
        <v>70</v>
      </c>
      <c r="H620" s="50" t="s">
        <v>2065</v>
      </c>
      <c r="I620" s="49" t="s">
        <v>107</v>
      </c>
      <c r="J620" s="50" t="s">
        <v>109</v>
      </c>
      <c r="K620" s="50" t="s">
        <v>109</v>
      </c>
      <c r="L620" s="50" t="s">
        <v>15</v>
      </c>
      <c r="M620" s="50" t="s">
        <v>10</v>
      </c>
      <c r="N620" s="50" t="s">
        <v>11</v>
      </c>
      <c r="O620" s="48" t="s">
        <v>632</v>
      </c>
      <c r="P620" s="45" t="s">
        <v>453</v>
      </c>
      <c r="Q620" s="35" t="str">
        <f>MID(Tabla1[[#This Row],[Aplicación]],14,1)</f>
        <v>2</v>
      </c>
      <c r="R620" s="35" t="s">
        <v>441</v>
      </c>
      <c r="S620" s="35" t="str">
        <f>MID(Tabla1[[#This Row],[Aplicación]],6,2)</f>
        <v>11</v>
      </c>
      <c r="T620" s="35" t="str">
        <f>VLOOKUP(Tabla1[[#This Row],[AREA]],Hoja1!A:B,2,FALSE)</f>
        <v>11. Salud pública y seguridad ciudadana</v>
      </c>
      <c r="U620" s="35" t="str">
        <f>MID(Tabla1[[#This Row],[Aplicación]],9,4)</f>
        <v>3111</v>
      </c>
      <c r="V620" s="35" t="str">
        <f>VLOOKUP(Tabla1[[#This Row],[PROGRAMA]],Hoja1!A:B,2,FALSE)</f>
        <v>3111. Protección de la salubridad pública</v>
      </c>
      <c r="W620" s="35" t="str">
        <f>MID(Tabla1[[#This Row],[Aplicación]],14,2)</f>
        <v>22</v>
      </c>
      <c r="X620" s="35" t="str">
        <f>MID(Tabla1[[#This Row],[Aplicación]],14,6)</f>
        <v>22199</v>
      </c>
    </row>
    <row r="621" spans="1:24" x14ac:dyDescent="0.25">
      <c r="A621" s="49">
        <v>220220006770</v>
      </c>
      <c r="B621" s="50" t="s">
        <v>172</v>
      </c>
      <c r="C621" s="57">
        <v>44622</v>
      </c>
      <c r="D621" s="49">
        <v>22022000042</v>
      </c>
      <c r="E621" s="50" t="s">
        <v>1434</v>
      </c>
      <c r="F621" s="58">
        <v>5185.1499999999996</v>
      </c>
      <c r="G621" s="50" t="s">
        <v>225</v>
      </c>
      <c r="H621" s="50" t="s">
        <v>2066</v>
      </c>
      <c r="I621" s="49" t="s">
        <v>173</v>
      </c>
      <c r="J621" s="50" t="s">
        <v>109</v>
      </c>
      <c r="K621" s="50" t="s">
        <v>109</v>
      </c>
      <c r="L621" s="50" t="s">
        <v>15</v>
      </c>
      <c r="M621" s="50" t="s">
        <v>13</v>
      </c>
      <c r="N621" s="50" t="s">
        <v>14</v>
      </c>
      <c r="O621" s="48" t="s">
        <v>631</v>
      </c>
      <c r="P621" s="45" t="s">
        <v>453</v>
      </c>
      <c r="Q621" s="35" t="str">
        <f>MID(Tabla1[[#This Row],[Aplicación]],14,1)</f>
        <v>2</v>
      </c>
      <c r="R621" s="35" t="s">
        <v>441</v>
      </c>
      <c r="S621" s="35" t="str">
        <f>MID(Tabla1[[#This Row],[Aplicación]],6,2)</f>
        <v>11</v>
      </c>
      <c r="T621" s="35" t="str">
        <f>VLOOKUP(Tabla1[[#This Row],[AREA]],Hoja1!A:B,2,FALSE)</f>
        <v>11. Salud pública y seguridad ciudadana</v>
      </c>
      <c r="U621" s="35" t="str">
        <f>MID(Tabla1[[#This Row],[Aplicación]],9,4)</f>
        <v>1631</v>
      </c>
      <c r="V621" s="35" t="str">
        <f>VLOOKUP(Tabla1[[#This Row],[PROGRAMA]],Hoja1!A:B,2,FALSE)</f>
        <v>1631. Limpieza viaria</v>
      </c>
      <c r="W621" s="35" t="str">
        <f>MID(Tabla1[[#This Row],[Aplicación]],14,2)</f>
        <v>21</v>
      </c>
      <c r="X621" s="35" t="str">
        <f>MID(Tabla1[[#This Row],[Aplicación]],14,6)</f>
        <v>214</v>
      </c>
    </row>
    <row r="622" spans="1:24" x14ac:dyDescent="0.25">
      <c r="A622" s="49">
        <v>220220012677</v>
      </c>
      <c r="B622" s="50" t="s">
        <v>172</v>
      </c>
      <c r="C622" s="57">
        <v>44644</v>
      </c>
      <c r="D622" s="49">
        <v>22022000042</v>
      </c>
      <c r="E622" s="50" t="s">
        <v>1434</v>
      </c>
      <c r="F622" s="58">
        <v>2680.25</v>
      </c>
      <c r="G622" s="50" t="s">
        <v>225</v>
      </c>
      <c r="H622" s="50" t="s">
        <v>2067</v>
      </c>
      <c r="I622" s="49" t="s">
        <v>173</v>
      </c>
      <c r="J622" s="50" t="s">
        <v>109</v>
      </c>
      <c r="K622" s="50" t="s">
        <v>109</v>
      </c>
      <c r="L622" s="50" t="s">
        <v>15</v>
      </c>
      <c r="M622" s="50" t="s">
        <v>13</v>
      </c>
      <c r="N622" s="50" t="s">
        <v>14</v>
      </c>
      <c r="O622" s="48" t="s">
        <v>631</v>
      </c>
      <c r="P622" s="45" t="s">
        <v>453</v>
      </c>
      <c r="Q622" s="35" t="str">
        <f>MID(Tabla1[[#This Row],[Aplicación]],14,1)</f>
        <v>2</v>
      </c>
      <c r="R622" s="35" t="s">
        <v>441</v>
      </c>
      <c r="S622" s="35" t="str">
        <f>MID(Tabla1[[#This Row],[Aplicación]],6,2)</f>
        <v>11</v>
      </c>
      <c r="T622" s="35" t="str">
        <f>VLOOKUP(Tabla1[[#This Row],[AREA]],Hoja1!A:B,2,FALSE)</f>
        <v>11. Salud pública y seguridad ciudadana</v>
      </c>
      <c r="U622" s="35" t="str">
        <f>MID(Tabla1[[#This Row],[Aplicación]],9,4)</f>
        <v>1631</v>
      </c>
      <c r="V622" s="35" t="str">
        <f>VLOOKUP(Tabla1[[#This Row],[PROGRAMA]],Hoja1!A:B,2,FALSE)</f>
        <v>1631. Limpieza viaria</v>
      </c>
      <c r="W622" s="35" t="str">
        <f>MID(Tabla1[[#This Row],[Aplicación]],14,2)</f>
        <v>21</v>
      </c>
      <c r="X622" s="35" t="str">
        <f>MID(Tabla1[[#This Row],[Aplicación]],14,6)</f>
        <v>214</v>
      </c>
    </row>
    <row r="623" spans="1:24" x14ac:dyDescent="0.25">
      <c r="A623" s="49">
        <v>220220013292</v>
      </c>
      <c r="B623" s="50" t="s">
        <v>172</v>
      </c>
      <c r="C623" s="57">
        <v>44650</v>
      </c>
      <c r="D623" s="49">
        <v>22022000042</v>
      </c>
      <c r="E623" s="50" t="s">
        <v>1434</v>
      </c>
      <c r="F623" s="58">
        <v>2478.1999999999998</v>
      </c>
      <c r="G623" s="50" t="s">
        <v>225</v>
      </c>
      <c r="H623" s="50" t="s">
        <v>2068</v>
      </c>
      <c r="I623" s="49" t="s">
        <v>173</v>
      </c>
      <c r="J623" s="50" t="s">
        <v>109</v>
      </c>
      <c r="K623" s="50" t="s">
        <v>109</v>
      </c>
      <c r="L623" s="50" t="s">
        <v>15</v>
      </c>
      <c r="M623" s="50" t="s">
        <v>13</v>
      </c>
      <c r="N623" s="50" t="s">
        <v>14</v>
      </c>
      <c r="O623" s="48" t="s">
        <v>631</v>
      </c>
      <c r="P623" s="45" t="s">
        <v>453</v>
      </c>
      <c r="Q623" s="35" t="str">
        <f>MID(Tabla1[[#This Row],[Aplicación]],14,1)</f>
        <v>2</v>
      </c>
      <c r="R623" s="35" t="s">
        <v>441</v>
      </c>
      <c r="S623" s="35" t="str">
        <f>MID(Tabla1[[#This Row],[Aplicación]],6,2)</f>
        <v>11</v>
      </c>
      <c r="T623" s="35" t="str">
        <f>VLOOKUP(Tabla1[[#This Row],[AREA]],Hoja1!A:B,2,FALSE)</f>
        <v>11. Salud pública y seguridad ciudadana</v>
      </c>
      <c r="U623" s="35" t="str">
        <f>MID(Tabla1[[#This Row],[Aplicación]],9,4)</f>
        <v>1631</v>
      </c>
      <c r="V623" s="35" t="str">
        <f>VLOOKUP(Tabla1[[#This Row],[PROGRAMA]],Hoja1!A:B,2,FALSE)</f>
        <v>1631. Limpieza viaria</v>
      </c>
      <c r="W623" s="35" t="str">
        <f>MID(Tabla1[[#This Row],[Aplicación]],14,2)</f>
        <v>21</v>
      </c>
      <c r="X623" s="35" t="str">
        <f>MID(Tabla1[[#This Row],[Aplicación]],14,6)</f>
        <v>214</v>
      </c>
    </row>
    <row r="624" spans="1:24" x14ac:dyDescent="0.25">
      <c r="A624" s="49">
        <v>220220004075</v>
      </c>
      <c r="B624" s="50" t="s">
        <v>172</v>
      </c>
      <c r="C624" s="57">
        <v>44610</v>
      </c>
      <c r="D624" s="49">
        <v>22022000026</v>
      </c>
      <c r="E624" s="50" t="s">
        <v>1644</v>
      </c>
      <c r="F624" s="58">
        <v>2156.85</v>
      </c>
      <c r="G624" s="50" t="s">
        <v>225</v>
      </c>
      <c r="H624" s="50" t="s">
        <v>2069</v>
      </c>
      <c r="I624" s="49" t="s">
        <v>173</v>
      </c>
      <c r="J624" s="50" t="s">
        <v>109</v>
      </c>
      <c r="K624" s="50" t="s">
        <v>109</v>
      </c>
      <c r="L624" s="50" t="s">
        <v>15</v>
      </c>
      <c r="M624" s="50" t="s">
        <v>13</v>
      </c>
      <c r="N624" s="50" t="s">
        <v>14</v>
      </c>
      <c r="O624" s="48" t="s">
        <v>631</v>
      </c>
      <c r="P624" s="45" t="s">
        <v>453</v>
      </c>
      <c r="Q624" s="35" t="str">
        <f>MID(Tabla1[[#This Row],[Aplicación]],14,1)</f>
        <v>2</v>
      </c>
      <c r="R624" s="35" t="s">
        <v>441</v>
      </c>
      <c r="S624" s="35" t="str">
        <f>MID(Tabla1[[#This Row],[Aplicación]],6,2)</f>
        <v>11</v>
      </c>
      <c r="T624" s="35" t="str">
        <f>VLOOKUP(Tabla1[[#This Row],[AREA]],Hoja1!A:B,2,FALSE)</f>
        <v>11. Salud pública y seguridad ciudadana</v>
      </c>
      <c r="U624" s="35" t="str">
        <f>MID(Tabla1[[#This Row],[Aplicación]],9,4)</f>
        <v>1621</v>
      </c>
      <c r="V624" s="35" t="str">
        <f>VLOOKUP(Tabla1[[#This Row],[PROGRAMA]],Hoja1!A:B,2,FALSE)</f>
        <v>1621. Servicio de limpieza</v>
      </c>
      <c r="W624" s="35" t="str">
        <f>MID(Tabla1[[#This Row],[Aplicación]],14,2)</f>
        <v>21</v>
      </c>
      <c r="X624" s="35" t="str">
        <f>MID(Tabla1[[#This Row],[Aplicación]],14,6)</f>
        <v>214</v>
      </c>
    </row>
    <row r="625" spans="1:24" x14ac:dyDescent="0.25">
      <c r="A625" s="49">
        <v>220220004202</v>
      </c>
      <c r="B625" s="50" t="s">
        <v>172</v>
      </c>
      <c r="C625" s="57">
        <v>44610</v>
      </c>
      <c r="D625" s="49">
        <v>22022000026</v>
      </c>
      <c r="E625" s="50" t="s">
        <v>1644</v>
      </c>
      <c r="F625" s="58">
        <v>2153.84</v>
      </c>
      <c r="G625" s="50" t="s">
        <v>225</v>
      </c>
      <c r="H625" s="50" t="s">
        <v>2070</v>
      </c>
      <c r="I625" s="49" t="s">
        <v>173</v>
      </c>
      <c r="J625" s="50" t="s">
        <v>109</v>
      </c>
      <c r="K625" s="50" t="s">
        <v>109</v>
      </c>
      <c r="L625" s="50" t="s">
        <v>15</v>
      </c>
      <c r="M625" s="50" t="s">
        <v>13</v>
      </c>
      <c r="N625" s="50" t="s">
        <v>14</v>
      </c>
      <c r="O625" s="48" t="s">
        <v>631</v>
      </c>
      <c r="P625" s="45" t="s">
        <v>453</v>
      </c>
      <c r="Q625" s="35" t="str">
        <f>MID(Tabla1[[#This Row],[Aplicación]],14,1)</f>
        <v>2</v>
      </c>
      <c r="R625" s="35" t="s">
        <v>441</v>
      </c>
      <c r="S625" s="35" t="str">
        <f>MID(Tabla1[[#This Row],[Aplicación]],6,2)</f>
        <v>11</v>
      </c>
      <c r="T625" s="35" t="str">
        <f>VLOOKUP(Tabla1[[#This Row],[AREA]],Hoja1!A:B,2,FALSE)</f>
        <v>11. Salud pública y seguridad ciudadana</v>
      </c>
      <c r="U625" s="35" t="str">
        <f>MID(Tabla1[[#This Row],[Aplicación]],9,4)</f>
        <v>1621</v>
      </c>
      <c r="V625" s="35" t="str">
        <f>VLOOKUP(Tabla1[[#This Row],[PROGRAMA]],Hoja1!A:B,2,FALSE)</f>
        <v>1621. Servicio de limpieza</v>
      </c>
      <c r="W625" s="35" t="str">
        <f>MID(Tabla1[[#This Row],[Aplicación]],14,2)</f>
        <v>21</v>
      </c>
      <c r="X625" s="35" t="str">
        <f>MID(Tabla1[[#This Row],[Aplicación]],14,6)</f>
        <v>214</v>
      </c>
    </row>
    <row r="626" spans="1:24" x14ac:dyDescent="0.25">
      <c r="A626" s="49">
        <v>220220006788</v>
      </c>
      <c r="B626" s="50" t="s">
        <v>172</v>
      </c>
      <c r="C626" s="57">
        <v>44622</v>
      </c>
      <c r="D626" s="49">
        <v>22022000026</v>
      </c>
      <c r="E626" s="50" t="s">
        <v>1644</v>
      </c>
      <c r="F626" s="58">
        <v>1821.28</v>
      </c>
      <c r="G626" s="50" t="s">
        <v>225</v>
      </c>
      <c r="H626" s="50" t="s">
        <v>2071</v>
      </c>
      <c r="I626" s="49" t="s">
        <v>173</v>
      </c>
      <c r="J626" s="50" t="s">
        <v>109</v>
      </c>
      <c r="K626" s="50" t="s">
        <v>109</v>
      </c>
      <c r="L626" s="50" t="s">
        <v>15</v>
      </c>
      <c r="M626" s="50" t="s">
        <v>13</v>
      </c>
      <c r="N626" s="50" t="s">
        <v>14</v>
      </c>
      <c r="O626" s="48" t="s">
        <v>631</v>
      </c>
      <c r="P626" s="45" t="s">
        <v>453</v>
      </c>
      <c r="Q626" s="35" t="str">
        <f>MID(Tabla1[[#This Row],[Aplicación]],14,1)</f>
        <v>2</v>
      </c>
      <c r="R626" s="35" t="s">
        <v>441</v>
      </c>
      <c r="S626" s="35" t="str">
        <f>MID(Tabla1[[#This Row],[Aplicación]],6,2)</f>
        <v>11</v>
      </c>
      <c r="T626" s="35" t="str">
        <f>VLOOKUP(Tabla1[[#This Row],[AREA]],Hoja1!A:B,2,FALSE)</f>
        <v>11. Salud pública y seguridad ciudadana</v>
      </c>
      <c r="U626" s="35" t="str">
        <f>MID(Tabla1[[#This Row],[Aplicación]],9,4)</f>
        <v>1621</v>
      </c>
      <c r="V626" s="35" t="str">
        <f>VLOOKUP(Tabla1[[#This Row],[PROGRAMA]],Hoja1!A:B,2,FALSE)</f>
        <v>1621. Servicio de limpieza</v>
      </c>
      <c r="W626" s="35" t="str">
        <f>MID(Tabla1[[#This Row],[Aplicación]],14,2)</f>
        <v>21</v>
      </c>
      <c r="X626" s="35" t="str">
        <f>MID(Tabla1[[#This Row],[Aplicación]],14,6)</f>
        <v>214</v>
      </c>
    </row>
    <row r="627" spans="1:24" x14ac:dyDescent="0.25">
      <c r="A627" s="49">
        <v>220219001013</v>
      </c>
      <c r="B627" s="50" t="s">
        <v>9</v>
      </c>
      <c r="C627" s="57">
        <v>44562</v>
      </c>
      <c r="D627" s="49">
        <v>22022000453</v>
      </c>
      <c r="E627" s="50" t="s">
        <v>1454</v>
      </c>
      <c r="F627" s="58">
        <v>1330</v>
      </c>
      <c r="G627" s="50" t="s">
        <v>58</v>
      </c>
      <c r="H627" s="50" t="s">
        <v>2072</v>
      </c>
      <c r="I627" s="49" t="s">
        <v>107</v>
      </c>
      <c r="J627" s="50" t="s">
        <v>109</v>
      </c>
      <c r="K627" s="50" t="s">
        <v>109</v>
      </c>
      <c r="L627" s="50" t="s">
        <v>12</v>
      </c>
      <c r="M627" s="50" t="s">
        <v>13</v>
      </c>
      <c r="N627" s="50" t="s">
        <v>14</v>
      </c>
      <c r="O627" s="48" t="s">
        <v>620</v>
      </c>
      <c r="P627" s="45" t="s">
        <v>453</v>
      </c>
      <c r="Q627" s="35" t="str">
        <f>MID(Tabla1[[#This Row],[Aplicación]],14,1)</f>
        <v>2</v>
      </c>
      <c r="R627" s="35" t="s">
        <v>441</v>
      </c>
      <c r="S627" s="35" t="str">
        <f>MID(Tabla1[[#This Row],[Aplicación]],6,2)</f>
        <v>01</v>
      </c>
      <c r="T627" s="35" t="str">
        <f>VLOOKUP(Tabla1[[#This Row],[AREA]],Hoja1!A:B,2,FALSE)</f>
        <v>01. Alcaldía</v>
      </c>
      <c r="U627" s="35" t="str">
        <f>MID(Tabla1[[#This Row],[Aplicación]],9,4)</f>
        <v>9206</v>
      </c>
      <c r="V627" s="35" t="str">
        <f>VLOOKUP(Tabla1[[#This Row],[PROGRAMA]],Hoja1!A:B,2,FALSE)</f>
        <v>9206. Archivo municipal</v>
      </c>
      <c r="W627" s="35" t="str">
        <f>MID(Tabla1[[#This Row],[Aplicación]],14,2)</f>
        <v>20</v>
      </c>
      <c r="X627" s="35" t="str">
        <f>MID(Tabla1[[#This Row],[Aplicación]],14,6)</f>
        <v>203</v>
      </c>
    </row>
    <row r="628" spans="1:24" x14ac:dyDescent="0.25">
      <c r="A628" s="49">
        <v>220219001016</v>
      </c>
      <c r="B628" s="50" t="s">
        <v>9</v>
      </c>
      <c r="C628" s="57">
        <v>44562</v>
      </c>
      <c r="D628" s="49">
        <v>22022000454</v>
      </c>
      <c r="E628" s="50" t="s">
        <v>1452</v>
      </c>
      <c r="F628" s="58">
        <v>397</v>
      </c>
      <c r="G628" s="50" t="s">
        <v>58</v>
      </c>
      <c r="H628" s="50" t="s">
        <v>2073</v>
      </c>
      <c r="I628" s="49" t="s">
        <v>107</v>
      </c>
      <c r="J628" s="50" t="s">
        <v>109</v>
      </c>
      <c r="K628" s="50" t="s">
        <v>109</v>
      </c>
      <c r="L628" s="50" t="s">
        <v>12</v>
      </c>
      <c r="M628" s="50" t="s">
        <v>13</v>
      </c>
      <c r="N628" s="50" t="s">
        <v>14</v>
      </c>
      <c r="O628" s="48" t="s">
        <v>620</v>
      </c>
      <c r="P628" s="45" t="s">
        <v>453</v>
      </c>
      <c r="Q628" s="35" t="str">
        <f>MID(Tabla1[[#This Row],[Aplicación]],14,1)</f>
        <v>2</v>
      </c>
      <c r="R628" s="35" t="s">
        <v>441</v>
      </c>
      <c r="S628" s="35" t="str">
        <f>MID(Tabla1[[#This Row],[Aplicación]],6,2)</f>
        <v>01</v>
      </c>
      <c r="T628" s="35" t="str">
        <f>VLOOKUP(Tabla1[[#This Row],[AREA]],Hoja1!A:B,2,FALSE)</f>
        <v>01. Alcaldía</v>
      </c>
      <c r="U628" s="35" t="str">
        <f>MID(Tabla1[[#This Row],[Aplicación]],9,4)</f>
        <v>9206</v>
      </c>
      <c r="V628" s="35" t="str">
        <f>VLOOKUP(Tabla1[[#This Row],[PROGRAMA]],Hoja1!A:B,2,FALSE)</f>
        <v>9206. Archivo municipal</v>
      </c>
      <c r="W628" s="35" t="str">
        <f>MID(Tabla1[[#This Row],[Aplicación]],14,2)</f>
        <v>21</v>
      </c>
      <c r="X628" s="35" t="str">
        <f>MID(Tabla1[[#This Row],[Aplicación]],14,6)</f>
        <v>213</v>
      </c>
    </row>
    <row r="629" spans="1:24" x14ac:dyDescent="0.25">
      <c r="A629" s="49">
        <v>220220006317</v>
      </c>
      <c r="B629" s="50" t="s">
        <v>172</v>
      </c>
      <c r="C629" s="57">
        <v>44617</v>
      </c>
      <c r="D629" s="49">
        <v>22022000026</v>
      </c>
      <c r="E629" s="50" t="s">
        <v>1644</v>
      </c>
      <c r="F629" s="58">
        <v>1630.49</v>
      </c>
      <c r="G629" s="50" t="s">
        <v>225</v>
      </c>
      <c r="H629" s="50" t="s">
        <v>2074</v>
      </c>
      <c r="I629" s="49" t="s">
        <v>173</v>
      </c>
      <c r="J629" s="50" t="s">
        <v>109</v>
      </c>
      <c r="K629" s="50" t="s">
        <v>109</v>
      </c>
      <c r="L629" s="50" t="s">
        <v>15</v>
      </c>
      <c r="M629" s="50" t="s">
        <v>13</v>
      </c>
      <c r="N629" s="50" t="s">
        <v>14</v>
      </c>
      <c r="O629" s="48" t="s">
        <v>631</v>
      </c>
      <c r="P629" s="45" t="s">
        <v>453</v>
      </c>
      <c r="Q629" s="35" t="str">
        <f>MID(Tabla1[[#This Row],[Aplicación]],14,1)</f>
        <v>2</v>
      </c>
      <c r="R629" s="35" t="s">
        <v>441</v>
      </c>
      <c r="S629" s="35" t="str">
        <f>MID(Tabla1[[#This Row],[Aplicación]],6,2)</f>
        <v>11</v>
      </c>
      <c r="T629" s="35" t="str">
        <f>VLOOKUP(Tabla1[[#This Row],[AREA]],Hoja1!A:B,2,FALSE)</f>
        <v>11. Salud pública y seguridad ciudadana</v>
      </c>
      <c r="U629" s="35" t="str">
        <f>MID(Tabla1[[#This Row],[Aplicación]],9,4)</f>
        <v>1621</v>
      </c>
      <c r="V629" s="35" t="str">
        <f>VLOOKUP(Tabla1[[#This Row],[PROGRAMA]],Hoja1!A:B,2,FALSE)</f>
        <v>1621. Servicio de limpieza</v>
      </c>
      <c r="W629" s="35" t="str">
        <f>MID(Tabla1[[#This Row],[Aplicación]],14,2)</f>
        <v>21</v>
      </c>
      <c r="X629" s="35" t="str">
        <f>MID(Tabla1[[#This Row],[Aplicación]],14,6)</f>
        <v>214</v>
      </c>
    </row>
    <row r="630" spans="1:24" x14ac:dyDescent="0.25">
      <c r="A630" s="49">
        <v>220220007077</v>
      </c>
      <c r="B630" s="50" t="s">
        <v>172</v>
      </c>
      <c r="C630" s="57">
        <v>44623</v>
      </c>
      <c r="D630" s="49">
        <v>22022000026</v>
      </c>
      <c r="E630" s="50" t="s">
        <v>1644</v>
      </c>
      <c r="F630" s="58">
        <v>1396.12</v>
      </c>
      <c r="G630" s="50" t="s">
        <v>225</v>
      </c>
      <c r="H630" s="50" t="s">
        <v>2075</v>
      </c>
      <c r="I630" s="49" t="s">
        <v>173</v>
      </c>
      <c r="J630" s="50" t="s">
        <v>109</v>
      </c>
      <c r="K630" s="50" t="s">
        <v>109</v>
      </c>
      <c r="L630" s="50" t="s">
        <v>15</v>
      </c>
      <c r="M630" s="50" t="s">
        <v>13</v>
      </c>
      <c r="N630" s="50" t="s">
        <v>14</v>
      </c>
      <c r="O630" s="48" t="s">
        <v>631</v>
      </c>
      <c r="P630" s="45" t="s">
        <v>453</v>
      </c>
      <c r="Q630" s="35" t="str">
        <f>MID(Tabla1[[#This Row],[Aplicación]],14,1)</f>
        <v>2</v>
      </c>
      <c r="R630" s="35" t="s">
        <v>441</v>
      </c>
      <c r="S630" s="35" t="str">
        <f>MID(Tabla1[[#This Row],[Aplicación]],6,2)</f>
        <v>11</v>
      </c>
      <c r="T630" s="35" t="str">
        <f>VLOOKUP(Tabla1[[#This Row],[AREA]],Hoja1!A:B,2,FALSE)</f>
        <v>11. Salud pública y seguridad ciudadana</v>
      </c>
      <c r="U630" s="35" t="str">
        <f>MID(Tabla1[[#This Row],[Aplicación]],9,4)</f>
        <v>1621</v>
      </c>
      <c r="V630" s="35" t="str">
        <f>VLOOKUP(Tabla1[[#This Row],[PROGRAMA]],Hoja1!A:B,2,FALSE)</f>
        <v>1621. Servicio de limpieza</v>
      </c>
      <c r="W630" s="35" t="str">
        <f>MID(Tabla1[[#This Row],[Aplicación]],14,2)</f>
        <v>21</v>
      </c>
      <c r="X630" s="35" t="str">
        <f>MID(Tabla1[[#This Row],[Aplicación]],14,6)</f>
        <v>214</v>
      </c>
    </row>
    <row r="631" spans="1:24" x14ac:dyDescent="0.25">
      <c r="A631" s="49">
        <v>220220004081</v>
      </c>
      <c r="B631" s="50" t="s">
        <v>172</v>
      </c>
      <c r="C631" s="57">
        <v>44610</v>
      </c>
      <c r="D631" s="49">
        <v>22022000026</v>
      </c>
      <c r="E631" s="50" t="s">
        <v>1644</v>
      </c>
      <c r="F631" s="58">
        <v>1269.6199999999999</v>
      </c>
      <c r="G631" s="50" t="s">
        <v>225</v>
      </c>
      <c r="H631" s="50" t="s">
        <v>2076</v>
      </c>
      <c r="I631" s="49" t="s">
        <v>173</v>
      </c>
      <c r="J631" s="50" t="s">
        <v>109</v>
      </c>
      <c r="K631" s="50" t="s">
        <v>109</v>
      </c>
      <c r="L631" s="50" t="s">
        <v>15</v>
      </c>
      <c r="M631" s="50" t="s">
        <v>13</v>
      </c>
      <c r="N631" s="50" t="s">
        <v>14</v>
      </c>
      <c r="O631" s="48" t="s">
        <v>631</v>
      </c>
      <c r="P631" s="45" t="s">
        <v>453</v>
      </c>
      <c r="Q631" s="35" t="str">
        <f>MID(Tabla1[[#This Row],[Aplicación]],14,1)</f>
        <v>2</v>
      </c>
      <c r="R631" s="35" t="s">
        <v>441</v>
      </c>
      <c r="S631" s="35" t="str">
        <f>MID(Tabla1[[#This Row],[Aplicación]],6,2)</f>
        <v>11</v>
      </c>
      <c r="T631" s="35" t="str">
        <f>VLOOKUP(Tabla1[[#This Row],[AREA]],Hoja1!A:B,2,FALSE)</f>
        <v>11. Salud pública y seguridad ciudadana</v>
      </c>
      <c r="U631" s="35" t="str">
        <f>MID(Tabla1[[#This Row],[Aplicación]],9,4)</f>
        <v>1621</v>
      </c>
      <c r="V631" s="35" t="str">
        <f>VLOOKUP(Tabla1[[#This Row],[PROGRAMA]],Hoja1!A:B,2,FALSE)</f>
        <v>1621. Servicio de limpieza</v>
      </c>
      <c r="W631" s="35" t="str">
        <f>MID(Tabla1[[#This Row],[Aplicación]],14,2)</f>
        <v>21</v>
      </c>
      <c r="X631" s="35" t="str">
        <f>MID(Tabla1[[#This Row],[Aplicación]],14,6)</f>
        <v>214</v>
      </c>
    </row>
    <row r="632" spans="1:24" x14ac:dyDescent="0.25">
      <c r="A632" s="49">
        <v>220220013287</v>
      </c>
      <c r="B632" s="50" t="s">
        <v>172</v>
      </c>
      <c r="C632" s="57">
        <v>44650</v>
      </c>
      <c r="D632" s="49">
        <v>22022000026</v>
      </c>
      <c r="E632" s="50" t="s">
        <v>1644</v>
      </c>
      <c r="F632" s="58">
        <v>1202.47</v>
      </c>
      <c r="G632" s="50" t="s">
        <v>225</v>
      </c>
      <c r="H632" s="50" t="s">
        <v>2077</v>
      </c>
      <c r="I632" s="49" t="s">
        <v>173</v>
      </c>
      <c r="J632" s="50" t="s">
        <v>109</v>
      </c>
      <c r="K632" s="50" t="s">
        <v>109</v>
      </c>
      <c r="L632" s="50" t="s">
        <v>15</v>
      </c>
      <c r="M632" s="50" t="s">
        <v>13</v>
      </c>
      <c r="N632" s="50" t="s">
        <v>14</v>
      </c>
      <c r="O632" s="48" t="s">
        <v>631</v>
      </c>
      <c r="P632" s="45" t="s">
        <v>453</v>
      </c>
      <c r="Q632" s="35" t="str">
        <f>MID(Tabla1[[#This Row],[Aplicación]],14,1)</f>
        <v>2</v>
      </c>
      <c r="R632" s="35" t="s">
        <v>441</v>
      </c>
      <c r="S632" s="35" t="str">
        <f>MID(Tabla1[[#This Row],[Aplicación]],6,2)</f>
        <v>11</v>
      </c>
      <c r="T632" s="35" t="str">
        <f>VLOOKUP(Tabla1[[#This Row],[AREA]],Hoja1!A:B,2,FALSE)</f>
        <v>11. Salud pública y seguridad ciudadana</v>
      </c>
      <c r="U632" s="35" t="str">
        <f>MID(Tabla1[[#This Row],[Aplicación]],9,4)</f>
        <v>1621</v>
      </c>
      <c r="V632" s="35" t="str">
        <f>VLOOKUP(Tabla1[[#This Row],[PROGRAMA]],Hoja1!A:B,2,FALSE)</f>
        <v>1621. Servicio de limpieza</v>
      </c>
      <c r="W632" s="35" t="str">
        <f>MID(Tabla1[[#This Row],[Aplicación]],14,2)</f>
        <v>21</v>
      </c>
      <c r="X632" s="35" t="str">
        <f>MID(Tabla1[[#This Row],[Aplicación]],14,6)</f>
        <v>214</v>
      </c>
    </row>
    <row r="633" spans="1:24" x14ac:dyDescent="0.25">
      <c r="A633" s="49">
        <v>220220008686</v>
      </c>
      <c r="B633" s="50" t="s">
        <v>172</v>
      </c>
      <c r="C633" s="57">
        <v>44634</v>
      </c>
      <c r="D633" s="49">
        <v>22022000026</v>
      </c>
      <c r="E633" s="50" t="s">
        <v>1644</v>
      </c>
      <c r="F633" s="58">
        <v>1070.25</v>
      </c>
      <c r="G633" s="50" t="s">
        <v>225</v>
      </c>
      <c r="H633" s="50" t="s">
        <v>2078</v>
      </c>
      <c r="I633" s="49" t="s">
        <v>173</v>
      </c>
      <c r="J633" s="50" t="s">
        <v>109</v>
      </c>
      <c r="K633" s="50" t="s">
        <v>109</v>
      </c>
      <c r="L633" s="50" t="s">
        <v>15</v>
      </c>
      <c r="M633" s="50" t="s">
        <v>13</v>
      </c>
      <c r="N633" s="50" t="s">
        <v>14</v>
      </c>
      <c r="O633" s="48" t="s">
        <v>631</v>
      </c>
      <c r="P633" s="45" t="s">
        <v>453</v>
      </c>
      <c r="Q633" s="35" t="str">
        <f>MID(Tabla1[[#This Row],[Aplicación]],14,1)</f>
        <v>2</v>
      </c>
      <c r="R633" s="35" t="s">
        <v>441</v>
      </c>
      <c r="S633" s="35" t="str">
        <f>MID(Tabla1[[#This Row],[Aplicación]],6,2)</f>
        <v>11</v>
      </c>
      <c r="T633" s="35" t="str">
        <f>VLOOKUP(Tabla1[[#This Row],[AREA]],Hoja1!A:B,2,FALSE)</f>
        <v>11. Salud pública y seguridad ciudadana</v>
      </c>
      <c r="U633" s="35" t="str">
        <f>MID(Tabla1[[#This Row],[Aplicación]],9,4)</f>
        <v>1621</v>
      </c>
      <c r="V633" s="35" t="str">
        <f>VLOOKUP(Tabla1[[#This Row],[PROGRAMA]],Hoja1!A:B,2,FALSE)</f>
        <v>1621. Servicio de limpieza</v>
      </c>
      <c r="W633" s="35" t="str">
        <f>MID(Tabla1[[#This Row],[Aplicación]],14,2)</f>
        <v>21</v>
      </c>
      <c r="X633" s="35" t="str">
        <f>MID(Tabla1[[#This Row],[Aplicación]],14,6)</f>
        <v>214</v>
      </c>
    </row>
    <row r="634" spans="1:24" x14ac:dyDescent="0.25">
      <c r="A634" s="49">
        <v>220220012669</v>
      </c>
      <c r="B634" s="50" t="s">
        <v>172</v>
      </c>
      <c r="C634" s="57">
        <v>44644</v>
      </c>
      <c r="D634" s="49">
        <v>22022000026</v>
      </c>
      <c r="E634" s="50" t="s">
        <v>1644</v>
      </c>
      <c r="F634" s="58">
        <v>752.31</v>
      </c>
      <c r="G634" s="50" t="s">
        <v>225</v>
      </c>
      <c r="H634" s="50" t="s">
        <v>2079</v>
      </c>
      <c r="I634" s="49" t="s">
        <v>173</v>
      </c>
      <c r="J634" s="50" t="s">
        <v>109</v>
      </c>
      <c r="K634" s="50" t="s">
        <v>109</v>
      </c>
      <c r="L634" s="50" t="s">
        <v>15</v>
      </c>
      <c r="M634" s="50" t="s">
        <v>13</v>
      </c>
      <c r="N634" s="50" t="s">
        <v>14</v>
      </c>
      <c r="O634" s="48" t="s">
        <v>631</v>
      </c>
      <c r="P634" s="45" t="s">
        <v>453</v>
      </c>
      <c r="Q634" s="35" t="str">
        <f>MID(Tabla1[[#This Row],[Aplicación]],14,1)</f>
        <v>2</v>
      </c>
      <c r="R634" s="35" t="s">
        <v>441</v>
      </c>
      <c r="S634" s="35" t="str">
        <f>MID(Tabla1[[#This Row],[Aplicación]],6,2)</f>
        <v>11</v>
      </c>
      <c r="T634" s="35" t="str">
        <f>VLOOKUP(Tabla1[[#This Row],[AREA]],Hoja1!A:B,2,FALSE)</f>
        <v>11. Salud pública y seguridad ciudadana</v>
      </c>
      <c r="U634" s="35" t="str">
        <f>MID(Tabla1[[#This Row],[Aplicación]],9,4)</f>
        <v>1621</v>
      </c>
      <c r="V634" s="35" t="str">
        <f>VLOOKUP(Tabla1[[#This Row],[PROGRAMA]],Hoja1!A:B,2,FALSE)</f>
        <v>1621. Servicio de limpieza</v>
      </c>
      <c r="W634" s="35" t="str">
        <f>MID(Tabla1[[#This Row],[Aplicación]],14,2)</f>
        <v>21</v>
      </c>
      <c r="X634" s="35" t="str">
        <f>MID(Tabla1[[#This Row],[Aplicación]],14,6)</f>
        <v>214</v>
      </c>
    </row>
    <row r="635" spans="1:24" x14ac:dyDescent="0.25">
      <c r="A635" s="49">
        <v>220220001786</v>
      </c>
      <c r="B635" s="50" t="s">
        <v>9</v>
      </c>
      <c r="C635" s="57">
        <v>44589</v>
      </c>
      <c r="D635" s="49">
        <v>22022000894</v>
      </c>
      <c r="E635" s="50" t="s">
        <v>2080</v>
      </c>
      <c r="F635" s="58">
        <v>2032.8</v>
      </c>
      <c r="G635" s="50" t="s">
        <v>117</v>
      </c>
      <c r="H635" s="50" t="s">
        <v>2081</v>
      </c>
      <c r="I635" s="49" t="s">
        <v>107</v>
      </c>
      <c r="J635" s="50" t="s">
        <v>109</v>
      </c>
      <c r="K635" s="50" t="s">
        <v>109</v>
      </c>
      <c r="L635" s="50" t="s">
        <v>17</v>
      </c>
      <c r="M635" s="50" t="s">
        <v>10</v>
      </c>
      <c r="N635" s="50" t="s">
        <v>11</v>
      </c>
      <c r="O635" s="48" t="s">
        <v>632</v>
      </c>
      <c r="P635" s="45" t="s">
        <v>453</v>
      </c>
      <c r="Q635" s="35" t="str">
        <f>MID(Tabla1[[#This Row],[Aplicación]],14,1)</f>
        <v>2</v>
      </c>
      <c r="R635" s="35" t="s">
        <v>441</v>
      </c>
      <c r="S635" s="35" t="str">
        <f>MID(Tabla1[[#This Row],[Aplicación]],6,2)</f>
        <v>04</v>
      </c>
      <c r="T635" s="35" t="str">
        <f>VLOOKUP(Tabla1[[#This Row],[AREA]],Hoja1!A:B,2,FALSE)</f>
        <v>04. Planificación y recursos</v>
      </c>
      <c r="U635" s="35" t="str">
        <f>MID(Tabla1[[#This Row],[Aplicación]],9,4)</f>
        <v>9321</v>
      </c>
      <c r="V635" s="35" t="str">
        <f>VLOOKUP(Tabla1[[#This Row],[PROGRAMA]],Hoja1!A:B,2,FALSE)</f>
        <v>9321. Gestión de ingresos e inspección</v>
      </c>
      <c r="W635" s="35" t="str">
        <f>MID(Tabla1[[#This Row],[Aplicación]],14,2)</f>
        <v>22</v>
      </c>
      <c r="X635" s="35" t="str">
        <f>MID(Tabla1[[#This Row],[Aplicación]],14,6)</f>
        <v>22799</v>
      </c>
    </row>
    <row r="636" spans="1:24" x14ac:dyDescent="0.25">
      <c r="A636" s="49">
        <v>220219000882</v>
      </c>
      <c r="B636" s="50" t="s">
        <v>9</v>
      </c>
      <c r="C636" s="57">
        <v>44562</v>
      </c>
      <c r="D636" s="49">
        <v>22022000100</v>
      </c>
      <c r="E636" s="50" t="s">
        <v>1903</v>
      </c>
      <c r="F636" s="58">
        <v>16879.5</v>
      </c>
      <c r="G636" s="50" t="s">
        <v>117</v>
      </c>
      <c r="H636" s="50" t="s">
        <v>2082</v>
      </c>
      <c r="I636" s="49" t="s">
        <v>107</v>
      </c>
      <c r="J636" s="50" t="s">
        <v>109</v>
      </c>
      <c r="K636" s="50" t="s">
        <v>109</v>
      </c>
      <c r="L636" s="50" t="s">
        <v>15</v>
      </c>
      <c r="M636" s="50" t="s">
        <v>13</v>
      </c>
      <c r="N636" s="50" t="s">
        <v>14</v>
      </c>
      <c r="O636" s="48" t="s">
        <v>620</v>
      </c>
      <c r="P636" s="45" t="s">
        <v>453</v>
      </c>
      <c r="Q636" s="35" t="str">
        <f>MID(Tabla1[[#This Row],[Aplicación]],14,1)</f>
        <v>2</v>
      </c>
      <c r="R636" s="35" t="s">
        <v>441</v>
      </c>
      <c r="S636" s="35" t="str">
        <f>MID(Tabla1[[#This Row],[Aplicación]],6,2)</f>
        <v>11</v>
      </c>
      <c r="T636" s="35" t="str">
        <f>VLOOKUP(Tabla1[[#This Row],[AREA]],Hoja1!A:B,2,FALSE)</f>
        <v>11. Salud pública y seguridad ciudadana</v>
      </c>
      <c r="U636" s="35" t="str">
        <f>MID(Tabla1[[#This Row],[Aplicación]],9,4)</f>
        <v>1361</v>
      </c>
      <c r="V636" s="35" t="str">
        <f>VLOOKUP(Tabla1[[#This Row],[PROGRAMA]],Hoja1!A:B,2,FALSE)</f>
        <v>1361. Prevención y extinción de incencios</v>
      </c>
      <c r="W636" s="35" t="str">
        <f>MID(Tabla1[[#This Row],[Aplicación]],14,2)</f>
        <v>22</v>
      </c>
      <c r="X636" s="35" t="str">
        <f>MID(Tabla1[[#This Row],[Aplicación]],14,6)</f>
        <v>22104</v>
      </c>
    </row>
    <row r="637" spans="1:24" x14ac:dyDescent="0.25">
      <c r="A637" s="49">
        <v>220219000689</v>
      </c>
      <c r="B637" s="50" t="s">
        <v>9</v>
      </c>
      <c r="C637" s="57">
        <v>44562</v>
      </c>
      <c r="D637" s="49">
        <v>22022000091</v>
      </c>
      <c r="E637" s="50" t="s">
        <v>1749</v>
      </c>
      <c r="F637" s="58">
        <v>7260</v>
      </c>
      <c r="G637" s="50" t="s">
        <v>117</v>
      </c>
      <c r="H637" s="50" t="s">
        <v>2083</v>
      </c>
      <c r="I637" s="49" t="s">
        <v>107</v>
      </c>
      <c r="J637" s="50" t="s">
        <v>109</v>
      </c>
      <c r="K637" s="50" t="s">
        <v>109</v>
      </c>
      <c r="L637" s="50" t="s">
        <v>15</v>
      </c>
      <c r="M637" s="50" t="s">
        <v>13</v>
      </c>
      <c r="N637" s="50" t="s">
        <v>14</v>
      </c>
      <c r="O637" s="48" t="s">
        <v>620</v>
      </c>
      <c r="P637" s="45" t="s">
        <v>453</v>
      </c>
      <c r="Q637" s="35" t="str">
        <f>MID(Tabla1[[#This Row],[Aplicación]],14,1)</f>
        <v>2</v>
      </c>
      <c r="R637" s="35" t="s">
        <v>441</v>
      </c>
      <c r="S637" s="35" t="str">
        <f>MID(Tabla1[[#This Row],[Aplicación]],6,2)</f>
        <v>11</v>
      </c>
      <c r="T637" s="35" t="str">
        <f>VLOOKUP(Tabla1[[#This Row],[AREA]],Hoja1!A:B,2,FALSE)</f>
        <v>11. Salud pública y seguridad ciudadana</v>
      </c>
      <c r="U637" s="35" t="str">
        <f>MID(Tabla1[[#This Row],[Aplicación]],9,4)</f>
        <v>1321</v>
      </c>
      <c r="V637" s="35" t="str">
        <f>VLOOKUP(Tabla1[[#This Row],[PROGRAMA]],Hoja1!A:B,2,FALSE)</f>
        <v>1321. Policía municipal</v>
      </c>
      <c r="W637" s="35" t="str">
        <f>MID(Tabla1[[#This Row],[Aplicación]],14,2)</f>
        <v>22</v>
      </c>
      <c r="X637" s="35" t="str">
        <f>MID(Tabla1[[#This Row],[Aplicación]],14,6)</f>
        <v>22104</v>
      </c>
    </row>
    <row r="638" spans="1:24" x14ac:dyDescent="0.25">
      <c r="A638" s="49">
        <v>220220012372</v>
      </c>
      <c r="B638" s="50" t="s">
        <v>9</v>
      </c>
      <c r="C638" s="57">
        <v>44643</v>
      </c>
      <c r="D638" s="49">
        <v>22022002887</v>
      </c>
      <c r="E638" s="50" t="s">
        <v>2084</v>
      </c>
      <c r="F638" s="58">
        <v>974.05</v>
      </c>
      <c r="G638" s="50" t="s">
        <v>117</v>
      </c>
      <c r="H638" s="50" t="s">
        <v>2085</v>
      </c>
      <c r="I638" s="49" t="s">
        <v>107</v>
      </c>
      <c r="J638" s="50" t="s">
        <v>109</v>
      </c>
      <c r="K638" s="50" t="s">
        <v>109</v>
      </c>
      <c r="L638" s="50" t="s">
        <v>15</v>
      </c>
      <c r="M638" s="50" t="s">
        <v>10</v>
      </c>
      <c r="N638" s="50" t="s">
        <v>11</v>
      </c>
      <c r="O638" s="48" t="s">
        <v>632</v>
      </c>
      <c r="P638" s="45" t="s">
        <v>453</v>
      </c>
      <c r="Q638" s="35" t="str">
        <f>MID(Tabla1[[#This Row],[Aplicación]],14,1)</f>
        <v>2</v>
      </c>
      <c r="R638" s="35" t="s">
        <v>441</v>
      </c>
      <c r="S638" s="35" t="str">
        <f>MID(Tabla1[[#This Row],[Aplicación]],6,2)</f>
        <v>10</v>
      </c>
      <c r="T638" s="35" t="str">
        <f>VLOOKUP(Tabla1[[#This Row],[AREA]],Hoja1!A:B,2,FALSE)</f>
        <v>10. Servicios sociales y mediación comunitaria</v>
      </c>
      <c r="U638" s="35" t="str">
        <f>MID(Tabla1[[#This Row],[Aplicación]],9,4)</f>
        <v>2312</v>
      </c>
      <c r="V638" s="35" t="str">
        <f>VLOOKUP(Tabla1[[#This Row],[PROGRAMA]],Hoja1!A:B,2,FALSE)</f>
        <v>2312. Iniciativas sociales</v>
      </c>
      <c r="W638" s="35" t="str">
        <f>MID(Tabla1[[#This Row],[Aplicación]],14,2)</f>
        <v>22</v>
      </c>
      <c r="X638" s="35" t="str">
        <f>MID(Tabla1[[#This Row],[Aplicación]],14,6)</f>
        <v>22199</v>
      </c>
    </row>
    <row r="639" spans="1:24" x14ac:dyDescent="0.25">
      <c r="A639" s="49">
        <v>220220009579</v>
      </c>
      <c r="B639" s="50" t="s">
        <v>172</v>
      </c>
      <c r="C639" s="57">
        <v>44636</v>
      </c>
      <c r="D639" s="49">
        <v>22022001456</v>
      </c>
      <c r="E639" s="50" t="s">
        <v>2012</v>
      </c>
      <c r="F639" s="58">
        <v>1651.48</v>
      </c>
      <c r="G639" s="50" t="s">
        <v>117</v>
      </c>
      <c r="H639" s="50" t="s">
        <v>2086</v>
      </c>
      <c r="I639" s="49" t="s">
        <v>173</v>
      </c>
      <c r="J639" s="50" t="s">
        <v>109</v>
      </c>
      <c r="K639" s="50" t="s">
        <v>109</v>
      </c>
      <c r="L639" s="50" t="s">
        <v>15</v>
      </c>
      <c r="M639" s="50" t="s">
        <v>13</v>
      </c>
      <c r="N639" s="50" t="s">
        <v>14</v>
      </c>
      <c r="O639" s="48" t="s">
        <v>631</v>
      </c>
      <c r="P639" s="45" t="s">
        <v>453</v>
      </c>
      <c r="Q639" s="35" t="str">
        <f>MID(Tabla1[[#This Row],[Aplicación]],14,1)</f>
        <v>2</v>
      </c>
      <c r="R639" s="35" t="s">
        <v>441</v>
      </c>
      <c r="S639" s="35" t="str">
        <f>MID(Tabla1[[#This Row],[Aplicación]],6,2)</f>
        <v>11</v>
      </c>
      <c r="T639" s="35" t="str">
        <f>VLOOKUP(Tabla1[[#This Row],[AREA]],Hoja1!A:B,2,FALSE)</f>
        <v>11. Salud pública y seguridad ciudadana</v>
      </c>
      <c r="U639" s="35" t="str">
        <f>MID(Tabla1[[#This Row],[Aplicación]],9,4)</f>
        <v>1321</v>
      </c>
      <c r="V639" s="35" t="str">
        <f>VLOOKUP(Tabla1[[#This Row],[PROGRAMA]],Hoja1!A:B,2,FALSE)</f>
        <v>1321. Policía municipal</v>
      </c>
      <c r="W639" s="35" t="str">
        <f>MID(Tabla1[[#This Row],[Aplicación]],14,2)</f>
        <v>22</v>
      </c>
      <c r="X639" s="35" t="str">
        <f>MID(Tabla1[[#This Row],[Aplicación]],14,6)</f>
        <v>22199</v>
      </c>
    </row>
    <row r="640" spans="1:24" x14ac:dyDescent="0.25">
      <c r="A640" s="49">
        <v>220220005571</v>
      </c>
      <c r="B640" s="50" t="s">
        <v>172</v>
      </c>
      <c r="C640" s="57">
        <v>44614</v>
      </c>
      <c r="D640" s="49">
        <v>22022001456</v>
      </c>
      <c r="E640" s="50" t="s">
        <v>2012</v>
      </c>
      <c r="F640" s="58">
        <v>1059.5999999999999</v>
      </c>
      <c r="G640" s="50" t="s">
        <v>117</v>
      </c>
      <c r="H640" s="50" t="s">
        <v>2087</v>
      </c>
      <c r="I640" s="49" t="s">
        <v>173</v>
      </c>
      <c r="J640" s="50" t="s">
        <v>109</v>
      </c>
      <c r="K640" s="50" t="s">
        <v>109</v>
      </c>
      <c r="L640" s="50" t="s">
        <v>15</v>
      </c>
      <c r="M640" s="50" t="s">
        <v>13</v>
      </c>
      <c r="N640" s="50" t="s">
        <v>14</v>
      </c>
      <c r="O640" s="48" t="s">
        <v>631</v>
      </c>
      <c r="P640" s="45" t="s">
        <v>453</v>
      </c>
      <c r="Q640" s="35" t="str">
        <f>MID(Tabla1[[#This Row],[Aplicación]],14,1)</f>
        <v>2</v>
      </c>
      <c r="R640" s="35" t="s">
        <v>441</v>
      </c>
      <c r="S640" s="35" t="str">
        <f>MID(Tabla1[[#This Row],[Aplicación]],6,2)</f>
        <v>11</v>
      </c>
      <c r="T640" s="35" t="str">
        <f>VLOOKUP(Tabla1[[#This Row],[AREA]],Hoja1!A:B,2,FALSE)</f>
        <v>11. Salud pública y seguridad ciudadana</v>
      </c>
      <c r="U640" s="35" t="str">
        <f>MID(Tabla1[[#This Row],[Aplicación]],9,4)</f>
        <v>1321</v>
      </c>
      <c r="V640" s="35" t="str">
        <f>VLOOKUP(Tabla1[[#This Row],[PROGRAMA]],Hoja1!A:B,2,FALSE)</f>
        <v>1321. Policía municipal</v>
      </c>
      <c r="W640" s="35" t="str">
        <f>MID(Tabla1[[#This Row],[Aplicación]],14,2)</f>
        <v>22</v>
      </c>
      <c r="X640" s="35" t="str">
        <f>MID(Tabla1[[#This Row],[Aplicación]],14,6)</f>
        <v>22199</v>
      </c>
    </row>
    <row r="641" spans="1:24" x14ac:dyDescent="0.25">
      <c r="A641" s="49">
        <v>220220012372</v>
      </c>
      <c r="B641" s="50" t="s">
        <v>9</v>
      </c>
      <c r="C641" s="57">
        <v>44643</v>
      </c>
      <c r="D641" s="49">
        <v>22022002886</v>
      </c>
      <c r="E641" s="50" t="s">
        <v>2084</v>
      </c>
      <c r="F641" s="58">
        <v>695.75</v>
      </c>
      <c r="G641" s="50" t="s">
        <v>117</v>
      </c>
      <c r="H641" s="50" t="s">
        <v>2085</v>
      </c>
      <c r="I641" s="49" t="s">
        <v>107</v>
      </c>
      <c r="J641" s="50" t="s">
        <v>109</v>
      </c>
      <c r="K641" s="50" t="s">
        <v>109</v>
      </c>
      <c r="L641" s="50" t="s">
        <v>15</v>
      </c>
      <c r="M641" s="50" t="s">
        <v>10</v>
      </c>
      <c r="N641" s="50" t="s">
        <v>11</v>
      </c>
      <c r="O641" s="48" t="s">
        <v>632</v>
      </c>
      <c r="P641" s="45" t="s">
        <v>453</v>
      </c>
      <c r="Q641" s="35" t="str">
        <f>MID(Tabla1[[#This Row],[Aplicación]],14,1)</f>
        <v>2</v>
      </c>
      <c r="R641" s="35" t="s">
        <v>441</v>
      </c>
      <c r="S641" s="35" t="str">
        <f>MID(Tabla1[[#This Row],[Aplicación]],6,2)</f>
        <v>10</v>
      </c>
      <c r="T641" s="35" t="str">
        <f>VLOOKUP(Tabla1[[#This Row],[AREA]],Hoja1!A:B,2,FALSE)</f>
        <v>10. Servicios sociales y mediación comunitaria</v>
      </c>
      <c r="U641" s="35" t="str">
        <f>MID(Tabla1[[#This Row],[Aplicación]],9,4)</f>
        <v>2312</v>
      </c>
      <c r="V641" s="35" t="str">
        <f>VLOOKUP(Tabla1[[#This Row],[PROGRAMA]],Hoja1!A:B,2,FALSE)</f>
        <v>2312. Iniciativas sociales</v>
      </c>
      <c r="W641" s="35" t="str">
        <f>MID(Tabla1[[#This Row],[Aplicación]],14,2)</f>
        <v>22</v>
      </c>
      <c r="X641" s="35" t="str">
        <f>MID(Tabla1[[#This Row],[Aplicación]],14,6)</f>
        <v>22199</v>
      </c>
    </row>
    <row r="642" spans="1:24" x14ac:dyDescent="0.25">
      <c r="A642" s="49">
        <v>220219001032</v>
      </c>
      <c r="B642" s="50" t="s">
        <v>9</v>
      </c>
      <c r="C642" s="57">
        <v>44562</v>
      </c>
      <c r="D642" s="49">
        <v>22022000467</v>
      </c>
      <c r="E642" s="50" t="s">
        <v>1794</v>
      </c>
      <c r="F642" s="58">
        <v>727.64</v>
      </c>
      <c r="G642" s="50" t="s">
        <v>58</v>
      </c>
      <c r="H642" s="50" t="s">
        <v>2088</v>
      </c>
      <c r="I642" s="49" t="s">
        <v>107</v>
      </c>
      <c r="J642" s="50" t="s">
        <v>109</v>
      </c>
      <c r="K642" s="50" t="s">
        <v>109</v>
      </c>
      <c r="L642" s="50" t="s">
        <v>12</v>
      </c>
      <c r="M642" s="50" t="s">
        <v>13</v>
      </c>
      <c r="N642" s="50" t="s">
        <v>14</v>
      </c>
      <c r="O642" s="48" t="s">
        <v>620</v>
      </c>
      <c r="P642" s="45" t="s">
        <v>453</v>
      </c>
      <c r="Q642" s="35" t="str">
        <f>MID(Tabla1[[#This Row],[Aplicación]],14,1)</f>
        <v>2</v>
      </c>
      <c r="R642" s="35" t="s">
        <v>441</v>
      </c>
      <c r="S642" s="35" t="str">
        <f>MID(Tabla1[[#This Row],[Aplicación]],6,2)</f>
        <v>01</v>
      </c>
      <c r="T642" s="35" t="str">
        <f>VLOOKUP(Tabla1[[#This Row],[AREA]],Hoja1!A:B,2,FALSE)</f>
        <v>01. Alcaldía</v>
      </c>
      <c r="U642" s="35" t="str">
        <f>MID(Tabla1[[#This Row],[Aplicación]],9,4)</f>
        <v>9203</v>
      </c>
      <c r="V642" s="35" t="str">
        <f>VLOOKUP(Tabla1[[#This Row],[PROGRAMA]],Hoja1!A:B,2,FALSE)</f>
        <v>9203. Unidad de régimen interior</v>
      </c>
      <c r="W642" s="35" t="str">
        <f>MID(Tabla1[[#This Row],[Aplicación]],14,2)</f>
        <v>20</v>
      </c>
      <c r="X642" s="35" t="str">
        <f>MID(Tabla1[[#This Row],[Aplicación]],14,6)</f>
        <v>203</v>
      </c>
    </row>
    <row r="643" spans="1:24" x14ac:dyDescent="0.25">
      <c r="A643" s="49">
        <v>220219001033</v>
      </c>
      <c r="B643" s="50" t="s">
        <v>9</v>
      </c>
      <c r="C643" s="57">
        <v>44562</v>
      </c>
      <c r="D643" s="49">
        <v>22022000468</v>
      </c>
      <c r="E643" s="50" t="s">
        <v>1576</v>
      </c>
      <c r="F643" s="58">
        <v>870</v>
      </c>
      <c r="G643" s="50" t="s">
        <v>58</v>
      </c>
      <c r="H643" s="50" t="s">
        <v>2089</v>
      </c>
      <c r="I643" s="49" t="s">
        <v>107</v>
      </c>
      <c r="J643" s="50" t="s">
        <v>109</v>
      </c>
      <c r="K643" s="50" t="s">
        <v>109</v>
      </c>
      <c r="L643" s="50" t="s">
        <v>12</v>
      </c>
      <c r="M643" s="50" t="s">
        <v>13</v>
      </c>
      <c r="N643" s="50" t="s">
        <v>14</v>
      </c>
      <c r="O643" s="48" t="s">
        <v>620</v>
      </c>
      <c r="P643" s="45" t="s">
        <v>453</v>
      </c>
      <c r="Q643" s="35" t="str">
        <f>MID(Tabla1[[#This Row],[Aplicación]],14,1)</f>
        <v>2</v>
      </c>
      <c r="R643" s="35" t="s">
        <v>441</v>
      </c>
      <c r="S643" s="35" t="str">
        <f>MID(Tabla1[[#This Row],[Aplicación]],6,2)</f>
        <v>01</v>
      </c>
      <c r="T643" s="35" t="str">
        <f>VLOOKUP(Tabla1[[#This Row],[AREA]],Hoja1!A:B,2,FALSE)</f>
        <v>01. Alcaldía</v>
      </c>
      <c r="U643" s="35" t="str">
        <f>MID(Tabla1[[#This Row],[Aplicación]],9,4)</f>
        <v>9203</v>
      </c>
      <c r="V643" s="35" t="str">
        <f>VLOOKUP(Tabla1[[#This Row],[PROGRAMA]],Hoja1!A:B,2,FALSE)</f>
        <v>9203. Unidad de régimen interior</v>
      </c>
      <c r="W643" s="35" t="str">
        <f>MID(Tabla1[[#This Row],[Aplicación]],14,2)</f>
        <v>21</v>
      </c>
      <c r="X643" s="35" t="str">
        <f>MID(Tabla1[[#This Row],[Aplicación]],14,6)</f>
        <v>213</v>
      </c>
    </row>
    <row r="644" spans="1:24" x14ac:dyDescent="0.25">
      <c r="A644" s="49">
        <v>220220013437</v>
      </c>
      <c r="B644" s="50" t="s">
        <v>9</v>
      </c>
      <c r="C644" s="57">
        <v>44651</v>
      </c>
      <c r="D644" s="49">
        <v>22022003127</v>
      </c>
      <c r="E644" s="50" t="s">
        <v>2084</v>
      </c>
      <c r="F644" s="58">
        <v>192.4</v>
      </c>
      <c r="G644" s="50" t="s">
        <v>117</v>
      </c>
      <c r="H644" s="50" t="s">
        <v>2090</v>
      </c>
      <c r="I644" s="49" t="s">
        <v>107</v>
      </c>
      <c r="J644" s="50" t="s">
        <v>109</v>
      </c>
      <c r="K644" s="50" t="s">
        <v>109</v>
      </c>
      <c r="L644" s="50" t="s">
        <v>15</v>
      </c>
      <c r="M644" s="50" t="s">
        <v>10</v>
      </c>
      <c r="N644" s="50" t="s">
        <v>11</v>
      </c>
      <c r="O644" s="48" t="s">
        <v>632</v>
      </c>
      <c r="P644" s="45" t="s">
        <v>453</v>
      </c>
      <c r="Q644" s="35" t="str">
        <f>MID(Tabla1[[#This Row],[Aplicación]],14,1)</f>
        <v>2</v>
      </c>
      <c r="R644" s="35" t="s">
        <v>441</v>
      </c>
      <c r="S644" s="35" t="str">
        <f>MID(Tabla1[[#This Row],[Aplicación]],6,2)</f>
        <v>10</v>
      </c>
      <c r="T644" s="35" t="str">
        <f>VLOOKUP(Tabla1[[#This Row],[AREA]],Hoja1!A:B,2,FALSE)</f>
        <v>10. Servicios sociales y mediación comunitaria</v>
      </c>
      <c r="U644" s="35" t="str">
        <f>MID(Tabla1[[#This Row],[Aplicación]],9,4)</f>
        <v>2312</v>
      </c>
      <c r="V644" s="35" t="str">
        <f>VLOOKUP(Tabla1[[#This Row],[PROGRAMA]],Hoja1!A:B,2,FALSE)</f>
        <v>2312. Iniciativas sociales</v>
      </c>
      <c r="W644" s="35" t="str">
        <f>MID(Tabla1[[#This Row],[Aplicación]],14,2)</f>
        <v>22</v>
      </c>
      <c r="X644" s="35" t="str">
        <f>MID(Tabla1[[#This Row],[Aplicación]],14,6)</f>
        <v>22199</v>
      </c>
    </row>
    <row r="645" spans="1:24" x14ac:dyDescent="0.25">
      <c r="A645" s="49">
        <v>220220006836</v>
      </c>
      <c r="B645" s="50" t="s">
        <v>172</v>
      </c>
      <c r="C645" s="57">
        <v>44622</v>
      </c>
      <c r="D645" s="49">
        <v>22022001593</v>
      </c>
      <c r="E645" s="50" t="s">
        <v>1581</v>
      </c>
      <c r="F645" s="58">
        <v>625.01</v>
      </c>
      <c r="G645" s="50" t="s">
        <v>117</v>
      </c>
      <c r="H645" s="50" t="s">
        <v>688</v>
      </c>
      <c r="I645" s="49" t="s">
        <v>173</v>
      </c>
      <c r="J645" s="50" t="s">
        <v>109</v>
      </c>
      <c r="K645" s="50" t="s">
        <v>109</v>
      </c>
      <c r="L645" s="50" t="s">
        <v>15</v>
      </c>
      <c r="M645" s="50" t="s">
        <v>13</v>
      </c>
      <c r="N645" s="50" t="s">
        <v>14</v>
      </c>
      <c r="O645" s="48" t="s">
        <v>631</v>
      </c>
      <c r="P645" s="45" t="s">
        <v>453</v>
      </c>
      <c r="Q645" s="35" t="str">
        <f>MID(Tabla1[[#This Row],[Aplicación]],14,1)</f>
        <v>2</v>
      </c>
      <c r="R645" s="35" t="s">
        <v>441</v>
      </c>
      <c r="S645" s="35" t="str">
        <f>MID(Tabla1[[#This Row],[Aplicación]],6,2)</f>
        <v>07</v>
      </c>
      <c r="T645" s="35" t="str">
        <f>VLOOKUP(Tabla1[[#This Row],[AREA]],Hoja1!A:B,2,FALSE)</f>
        <v>07. Medio ambiente y desarrollo sostenible</v>
      </c>
      <c r="U645" s="35" t="str">
        <f>MID(Tabla1[[#This Row],[Aplicación]],9,4)</f>
        <v>1711</v>
      </c>
      <c r="V645" s="35" t="str">
        <f>VLOOKUP(Tabla1[[#This Row],[PROGRAMA]],Hoja1!A:B,2,FALSE)</f>
        <v>1711. Parques y jardines</v>
      </c>
      <c r="W645" s="35" t="str">
        <f>MID(Tabla1[[#This Row],[Aplicación]],14,2)</f>
        <v>22</v>
      </c>
      <c r="X645" s="35" t="str">
        <f>MID(Tabla1[[#This Row],[Aplicación]],14,6)</f>
        <v>22199</v>
      </c>
    </row>
    <row r="646" spans="1:24" x14ac:dyDescent="0.25">
      <c r="A646" s="49">
        <v>220220009393</v>
      </c>
      <c r="B646" s="50" t="s">
        <v>172</v>
      </c>
      <c r="C646" s="57">
        <v>44636</v>
      </c>
      <c r="D646" s="49">
        <v>22022001623</v>
      </c>
      <c r="E646" s="50" t="s">
        <v>1606</v>
      </c>
      <c r="F646" s="58">
        <v>314.60000000000002</v>
      </c>
      <c r="G646" s="50" t="s">
        <v>117</v>
      </c>
      <c r="H646" s="50" t="s">
        <v>2091</v>
      </c>
      <c r="I646" s="49" t="s">
        <v>173</v>
      </c>
      <c r="J646" s="50" t="s">
        <v>109</v>
      </c>
      <c r="K646" s="50" t="s">
        <v>109</v>
      </c>
      <c r="L646" s="50" t="s">
        <v>15</v>
      </c>
      <c r="M646" s="50" t="s">
        <v>13</v>
      </c>
      <c r="N646" s="50" t="s">
        <v>14</v>
      </c>
      <c r="O646" s="48" t="s">
        <v>631</v>
      </c>
      <c r="P646" s="45" t="s">
        <v>453</v>
      </c>
      <c r="Q646" s="35" t="str">
        <f>MID(Tabla1[[#This Row],[Aplicación]],14,1)</f>
        <v>2</v>
      </c>
      <c r="R646" s="35" t="s">
        <v>441</v>
      </c>
      <c r="S646" s="35" t="str">
        <f>MID(Tabla1[[#This Row],[Aplicación]],6,2)</f>
        <v>11</v>
      </c>
      <c r="T646" s="35" t="str">
        <f>VLOOKUP(Tabla1[[#This Row],[AREA]],Hoja1!A:B,2,FALSE)</f>
        <v>11. Salud pública y seguridad ciudadana</v>
      </c>
      <c r="U646" s="35" t="str">
        <f>MID(Tabla1[[#This Row],[Aplicación]],9,4)</f>
        <v>1361</v>
      </c>
      <c r="V646" s="35" t="str">
        <f>VLOOKUP(Tabla1[[#This Row],[PROGRAMA]],Hoja1!A:B,2,FALSE)</f>
        <v>1361. Prevención y extinción de incencios</v>
      </c>
      <c r="W646" s="35" t="str">
        <f>MID(Tabla1[[#This Row],[Aplicación]],14,2)</f>
        <v>22</v>
      </c>
      <c r="X646" s="35" t="str">
        <f>MID(Tabla1[[#This Row],[Aplicación]],14,6)</f>
        <v>22199</v>
      </c>
    </row>
    <row r="647" spans="1:24" x14ac:dyDescent="0.25">
      <c r="A647" s="49">
        <v>220220008719</v>
      </c>
      <c r="B647" s="50" t="s">
        <v>172</v>
      </c>
      <c r="C647" s="57">
        <v>44634</v>
      </c>
      <c r="D647" s="49">
        <v>22022001456</v>
      </c>
      <c r="E647" s="50" t="s">
        <v>2012</v>
      </c>
      <c r="F647" s="58">
        <v>263.54000000000002</v>
      </c>
      <c r="G647" s="50" t="s">
        <v>117</v>
      </c>
      <c r="H647" s="50" t="s">
        <v>2092</v>
      </c>
      <c r="I647" s="49" t="s">
        <v>173</v>
      </c>
      <c r="J647" s="50" t="s">
        <v>109</v>
      </c>
      <c r="K647" s="50" t="s">
        <v>109</v>
      </c>
      <c r="L647" s="50" t="s">
        <v>15</v>
      </c>
      <c r="M647" s="50" t="s">
        <v>13</v>
      </c>
      <c r="N647" s="50" t="s">
        <v>14</v>
      </c>
      <c r="O647" s="48" t="s">
        <v>631</v>
      </c>
      <c r="P647" s="45" t="s">
        <v>453</v>
      </c>
      <c r="Q647" s="35" t="str">
        <f>MID(Tabla1[[#This Row],[Aplicación]],14,1)</f>
        <v>2</v>
      </c>
      <c r="R647" s="35" t="s">
        <v>441</v>
      </c>
      <c r="S647" s="35" t="str">
        <f>MID(Tabla1[[#This Row],[Aplicación]],6,2)</f>
        <v>11</v>
      </c>
      <c r="T647" s="35" t="str">
        <f>VLOOKUP(Tabla1[[#This Row],[AREA]],Hoja1!A:B,2,FALSE)</f>
        <v>11. Salud pública y seguridad ciudadana</v>
      </c>
      <c r="U647" s="35" t="str">
        <f>MID(Tabla1[[#This Row],[Aplicación]],9,4)</f>
        <v>1321</v>
      </c>
      <c r="V647" s="35" t="str">
        <f>VLOOKUP(Tabla1[[#This Row],[PROGRAMA]],Hoja1!A:B,2,FALSE)</f>
        <v>1321. Policía municipal</v>
      </c>
      <c r="W647" s="35" t="str">
        <f>MID(Tabla1[[#This Row],[Aplicación]],14,2)</f>
        <v>22</v>
      </c>
      <c r="X647" s="35" t="str">
        <f>MID(Tabla1[[#This Row],[Aplicación]],14,6)</f>
        <v>22199</v>
      </c>
    </row>
    <row r="648" spans="1:24" x14ac:dyDescent="0.25">
      <c r="A648" s="49">
        <v>220220004171</v>
      </c>
      <c r="B648" s="50" t="s">
        <v>172</v>
      </c>
      <c r="C648" s="57">
        <v>44610</v>
      </c>
      <c r="D648" s="49">
        <v>22022001650</v>
      </c>
      <c r="E648" s="50" t="s">
        <v>2036</v>
      </c>
      <c r="F648" s="58">
        <v>232.2</v>
      </c>
      <c r="G648" s="50" t="s">
        <v>117</v>
      </c>
      <c r="H648" s="50" t="s">
        <v>2093</v>
      </c>
      <c r="I648" s="49" t="s">
        <v>173</v>
      </c>
      <c r="J648" s="50" t="s">
        <v>109</v>
      </c>
      <c r="K648" s="50" t="s">
        <v>109</v>
      </c>
      <c r="L648" s="50" t="s">
        <v>15</v>
      </c>
      <c r="M648" s="50" t="s">
        <v>13</v>
      </c>
      <c r="N648" s="50" t="s">
        <v>14</v>
      </c>
      <c r="O648" s="48" t="s">
        <v>631</v>
      </c>
      <c r="P648" s="45" t="s">
        <v>453</v>
      </c>
      <c r="Q648" s="35" t="str">
        <f>MID(Tabla1[[#This Row],[Aplicación]],14,1)</f>
        <v>2</v>
      </c>
      <c r="R648" s="35" t="s">
        <v>441</v>
      </c>
      <c r="S648" s="35" t="str">
        <f>MID(Tabla1[[#This Row],[Aplicación]],6,2)</f>
        <v>11</v>
      </c>
      <c r="T648" s="35" t="str">
        <f>VLOOKUP(Tabla1[[#This Row],[AREA]],Hoja1!A:B,2,FALSE)</f>
        <v>11. Salud pública y seguridad ciudadana</v>
      </c>
      <c r="U648" s="35" t="str">
        <f>MID(Tabla1[[#This Row],[Aplicación]],9,4)</f>
        <v>3111</v>
      </c>
      <c r="V648" s="35" t="str">
        <f>VLOOKUP(Tabla1[[#This Row],[PROGRAMA]],Hoja1!A:B,2,FALSE)</f>
        <v>3111. Protección de la salubridad pública</v>
      </c>
      <c r="W648" s="35" t="str">
        <f>MID(Tabla1[[#This Row],[Aplicación]],14,2)</f>
        <v>22</v>
      </c>
      <c r="X648" s="35" t="str">
        <f>MID(Tabla1[[#This Row],[Aplicación]],14,6)</f>
        <v>22199</v>
      </c>
    </row>
    <row r="649" spans="1:24" x14ac:dyDescent="0.25">
      <c r="A649" s="49">
        <v>220220004173</v>
      </c>
      <c r="B649" s="50" t="s">
        <v>172</v>
      </c>
      <c r="C649" s="57">
        <v>44610</v>
      </c>
      <c r="D649" s="49">
        <v>22022001650</v>
      </c>
      <c r="E649" s="50" t="s">
        <v>2036</v>
      </c>
      <c r="F649" s="58">
        <v>193.6</v>
      </c>
      <c r="G649" s="50" t="s">
        <v>117</v>
      </c>
      <c r="H649" s="50" t="s">
        <v>2094</v>
      </c>
      <c r="I649" s="49" t="s">
        <v>173</v>
      </c>
      <c r="J649" s="50" t="s">
        <v>109</v>
      </c>
      <c r="K649" s="50" t="s">
        <v>109</v>
      </c>
      <c r="L649" s="50" t="s">
        <v>15</v>
      </c>
      <c r="M649" s="50" t="s">
        <v>13</v>
      </c>
      <c r="N649" s="50" t="s">
        <v>14</v>
      </c>
      <c r="O649" s="48" t="s">
        <v>631</v>
      </c>
      <c r="P649" s="45" t="s">
        <v>453</v>
      </c>
      <c r="Q649" s="35" t="str">
        <f>MID(Tabla1[[#This Row],[Aplicación]],14,1)</f>
        <v>2</v>
      </c>
      <c r="R649" s="35" t="s">
        <v>441</v>
      </c>
      <c r="S649" s="35" t="str">
        <f>MID(Tabla1[[#This Row],[Aplicación]],6,2)</f>
        <v>11</v>
      </c>
      <c r="T649" s="35" t="str">
        <f>VLOOKUP(Tabla1[[#This Row],[AREA]],Hoja1!A:B,2,FALSE)</f>
        <v>11. Salud pública y seguridad ciudadana</v>
      </c>
      <c r="U649" s="35" t="str">
        <f>MID(Tabla1[[#This Row],[Aplicación]],9,4)</f>
        <v>3111</v>
      </c>
      <c r="V649" s="35" t="str">
        <f>VLOOKUP(Tabla1[[#This Row],[PROGRAMA]],Hoja1!A:B,2,FALSE)</f>
        <v>3111. Protección de la salubridad pública</v>
      </c>
      <c r="W649" s="35" t="str">
        <f>MID(Tabla1[[#This Row],[Aplicación]],14,2)</f>
        <v>22</v>
      </c>
      <c r="X649" s="35" t="str">
        <f>MID(Tabla1[[#This Row],[Aplicación]],14,6)</f>
        <v>22199</v>
      </c>
    </row>
    <row r="650" spans="1:24" x14ac:dyDescent="0.25">
      <c r="A650" s="49">
        <v>220220006766</v>
      </c>
      <c r="B650" s="50" t="s">
        <v>172</v>
      </c>
      <c r="C650" s="57">
        <v>44622</v>
      </c>
      <c r="D650" s="49">
        <v>22022001623</v>
      </c>
      <c r="E650" s="50" t="s">
        <v>1606</v>
      </c>
      <c r="F650" s="58">
        <v>61.5</v>
      </c>
      <c r="G650" s="50" t="s">
        <v>117</v>
      </c>
      <c r="H650" s="50" t="s">
        <v>2095</v>
      </c>
      <c r="I650" s="49" t="s">
        <v>173</v>
      </c>
      <c r="J650" s="50" t="s">
        <v>109</v>
      </c>
      <c r="K650" s="50" t="s">
        <v>109</v>
      </c>
      <c r="L650" s="50" t="s">
        <v>15</v>
      </c>
      <c r="M650" s="50" t="s">
        <v>13</v>
      </c>
      <c r="N650" s="50" t="s">
        <v>14</v>
      </c>
      <c r="O650" s="48" t="s">
        <v>631</v>
      </c>
      <c r="P650" s="45" t="s">
        <v>453</v>
      </c>
      <c r="Q650" s="35" t="str">
        <f>MID(Tabla1[[#This Row],[Aplicación]],14,1)</f>
        <v>2</v>
      </c>
      <c r="R650" s="35" t="s">
        <v>441</v>
      </c>
      <c r="S650" s="35" t="str">
        <f>MID(Tabla1[[#This Row],[Aplicación]],6,2)</f>
        <v>11</v>
      </c>
      <c r="T650" s="35" t="str">
        <f>VLOOKUP(Tabla1[[#This Row],[AREA]],Hoja1!A:B,2,FALSE)</f>
        <v>11. Salud pública y seguridad ciudadana</v>
      </c>
      <c r="U650" s="35" t="str">
        <f>MID(Tabla1[[#This Row],[Aplicación]],9,4)</f>
        <v>1361</v>
      </c>
      <c r="V650" s="35" t="str">
        <f>VLOOKUP(Tabla1[[#This Row],[PROGRAMA]],Hoja1!A:B,2,FALSE)</f>
        <v>1361. Prevención y extinción de incencios</v>
      </c>
      <c r="W650" s="35" t="str">
        <f>MID(Tabla1[[#This Row],[Aplicación]],14,2)</f>
        <v>22</v>
      </c>
      <c r="X650" s="35" t="str">
        <f>MID(Tabla1[[#This Row],[Aplicación]],14,6)</f>
        <v>22199</v>
      </c>
    </row>
    <row r="651" spans="1:24" x14ac:dyDescent="0.25">
      <c r="A651" s="49">
        <v>220220002498</v>
      </c>
      <c r="B651" s="50" t="s">
        <v>172</v>
      </c>
      <c r="C651" s="57">
        <v>44594</v>
      </c>
      <c r="D651" s="49">
        <v>22022001593</v>
      </c>
      <c r="E651" s="50" t="s">
        <v>1581</v>
      </c>
      <c r="F651" s="58">
        <v>137.81</v>
      </c>
      <c r="G651" s="50" t="s">
        <v>117</v>
      </c>
      <c r="H651" s="50" t="s">
        <v>688</v>
      </c>
      <c r="I651" s="49" t="s">
        <v>173</v>
      </c>
      <c r="J651" s="50" t="s">
        <v>109</v>
      </c>
      <c r="K651" s="50" t="s">
        <v>109</v>
      </c>
      <c r="L651" s="50" t="s">
        <v>15</v>
      </c>
      <c r="M651" s="50" t="s">
        <v>13</v>
      </c>
      <c r="N651" s="50" t="s">
        <v>14</v>
      </c>
      <c r="O651" s="48" t="s">
        <v>631</v>
      </c>
      <c r="P651" s="45" t="s">
        <v>453</v>
      </c>
      <c r="Q651" s="35" t="str">
        <f>MID(Tabla1[[#This Row],[Aplicación]],14,1)</f>
        <v>2</v>
      </c>
      <c r="R651" s="35" t="s">
        <v>441</v>
      </c>
      <c r="S651" s="35" t="str">
        <f>MID(Tabla1[[#This Row],[Aplicación]],6,2)</f>
        <v>07</v>
      </c>
      <c r="T651" s="35" t="str">
        <f>VLOOKUP(Tabla1[[#This Row],[AREA]],Hoja1!A:B,2,FALSE)</f>
        <v>07. Medio ambiente y desarrollo sostenible</v>
      </c>
      <c r="U651" s="35" t="str">
        <f>MID(Tabla1[[#This Row],[Aplicación]],9,4)</f>
        <v>1711</v>
      </c>
      <c r="V651" s="35" t="str">
        <f>VLOOKUP(Tabla1[[#This Row],[PROGRAMA]],Hoja1!A:B,2,FALSE)</f>
        <v>1711. Parques y jardines</v>
      </c>
      <c r="W651" s="35" t="str">
        <f>MID(Tabla1[[#This Row],[Aplicación]],14,2)</f>
        <v>22</v>
      </c>
      <c r="X651" s="35" t="str">
        <f>MID(Tabla1[[#This Row],[Aplicación]],14,6)</f>
        <v>22199</v>
      </c>
    </row>
    <row r="652" spans="1:24" x14ac:dyDescent="0.25">
      <c r="A652" s="49">
        <v>220220009391</v>
      </c>
      <c r="B652" s="50" t="s">
        <v>172</v>
      </c>
      <c r="C652" s="57">
        <v>44636</v>
      </c>
      <c r="D652" s="49">
        <v>22022001623</v>
      </c>
      <c r="E652" s="50" t="s">
        <v>1606</v>
      </c>
      <c r="F652" s="58">
        <v>117.98</v>
      </c>
      <c r="G652" s="50" t="s">
        <v>117</v>
      </c>
      <c r="H652" s="50" t="s">
        <v>2096</v>
      </c>
      <c r="I652" s="49" t="s">
        <v>173</v>
      </c>
      <c r="J652" s="50" t="s">
        <v>109</v>
      </c>
      <c r="K652" s="50" t="s">
        <v>109</v>
      </c>
      <c r="L652" s="50" t="s">
        <v>15</v>
      </c>
      <c r="M652" s="50" t="s">
        <v>13</v>
      </c>
      <c r="N652" s="50" t="s">
        <v>14</v>
      </c>
      <c r="O652" s="48" t="s">
        <v>631</v>
      </c>
      <c r="P652" s="45" t="s">
        <v>453</v>
      </c>
      <c r="Q652" s="35" t="str">
        <f>MID(Tabla1[[#This Row],[Aplicación]],14,1)</f>
        <v>2</v>
      </c>
      <c r="R652" s="35" t="s">
        <v>441</v>
      </c>
      <c r="S652" s="35" t="str">
        <f>MID(Tabla1[[#This Row],[Aplicación]],6,2)</f>
        <v>11</v>
      </c>
      <c r="T652" s="35" t="str">
        <f>VLOOKUP(Tabla1[[#This Row],[AREA]],Hoja1!A:B,2,FALSE)</f>
        <v>11. Salud pública y seguridad ciudadana</v>
      </c>
      <c r="U652" s="35" t="str">
        <f>MID(Tabla1[[#This Row],[Aplicación]],9,4)</f>
        <v>1361</v>
      </c>
      <c r="V652" s="35" t="str">
        <f>VLOOKUP(Tabla1[[#This Row],[PROGRAMA]],Hoja1!A:B,2,FALSE)</f>
        <v>1361. Prevención y extinción de incencios</v>
      </c>
      <c r="W652" s="35" t="str">
        <f>MID(Tabla1[[#This Row],[Aplicación]],14,2)</f>
        <v>22</v>
      </c>
      <c r="X652" s="35" t="str">
        <f>MID(Tabla1[[#This Row],[Aplicación]],14,6)</f>
        <v>22199</v>
      </c>
    </row>
    <row r="653" spans="1:24" x14ac:dyDescent="0.25">
      <c r="A653" s="49">
        <v>220220006901</v>
      </c>
      <c r="B653" s="50" t="s">
        <v>172</v>
      </c>
      <c r="C653" s="57">
        <v>44622</v>
      </c>
      <c r="D653" s="49">
        <v>22022002421</v>
      </c>
      <c r="E653" s="50" t="s">
        <v>2097</v>
      </c>
      <c r="F653" s="58">
        <v>53.54</v>
      </c>
      <c r="G653" s="50" t="s">
        <v>117</v>
      </c>
      <c r="H653" s="50" t="s">
        <v>2098</v>
      </c>
      <c r="I653" s="49" t="s">
        <v>173</v>
      </c>
      <c r="J653" s="50" t="s">
        <v>109</v>
      </c>
      <c r="K653" s="50" t="s">
        <v>109</v>
      </c>
      <c r="L653" s="50" t="s">
        <v>15</v>
      </c>
      <c r="M653" s="50" t="s">
        <v>13</v>
      </c>
      <c r="N653" s="50" t="s">
        <v>14</v>
      </c>
      <c r="O653" s="48" t="s">
        <v>631</v>
      </c>
      <c r="P653" s="45" t="s">
        <v>453</v>
      </c>
      <c r="Q653" s="35" t="str">
        <f>MID(Tabla1[[#This Row],[Aplicación]],14,1)</f>
        <v>2</v>
      </c>
      <c r="R653" s="35" t="s">
        <v>441</v>
      </c>
      <c r="S653" s="35" t="str">
        <f>MID(Tabla1[[#This Row],[Aplicación]],6,2)</f>
        <v>08</v>
      </c>
      <c r="T653" s="35" t="str">
        <f>VLOOKUP(Tabla1[[#This Row],[AREA]],Hoja1!A:B,2,FALSE)</f>
        <v>08. Movilidad y espacio urbano</v>
      </c>
      <c r="U653" s="35" t="str">
        <f>MID(Tabla1[[#This Row],[Aplicación]],9,4)</f>
        <v>1341</v>
      </c>
      <c r="V653" s="35" t="str">
        <f>VLOOKUP(Tabla1[[#This Row],[PROGRAMA]],Hoja1!A:B,2,FALSE)</f>
        <v>1341. Movilidad</v>
      </c>
      <c r="W653" s="35" t="str">
        <f>MID(Tabla1[[#This Row],[Aplicación]],14,2)</f>
        <v>22</v>
      </c>
      <c r="X653" s="35" t="str">
        <f>MID(Tabla1[[#This Row],[Aplicación]],14,6)</f>
        <v>22699</v>
      </c>
    </row>
    <row r="654" spans="1:24" x14ac:dyDescent="0.25">
      <c r="A654" s="49">
        <v>220220008379</v>
      </c>
      <c r="B654" s="50" t="s">
        <v>172</v>
      </c>
      <c r="C654" s="57">
        <v>44631</v>
      </c>
      <c r="D654" s="49">
        <v>22022000028</v>
      </c>
      <c r="E654" s="50" t="s">
        <v>2099</v>
      </c>
      <c r="F654" s="58">
        <v>37.51</v>
      </c>
      <c r="G654" s="50" t="s">
        <v>117</v>
      </c>
      <c r="H654" s="50" t="s">
        <v>2100</v>
      </c>
      <c r="I654" s="49" t="s">
        <v>173</v>
      </c>
      <c r="J654" s="50" t="s">
        <v>109</v>
      </c>
      <c r="K654" s="50" t="s">
        <v>109</v>
      </c>
      <c r="L654" s="50" t="s">
        <v>15</v>
      </c>
      <c r="M654" s="50" t="s">
        <v>13</v>
      </c>
      <c r="N654" s="50" t="s">
        <v>14</v>
      </c>
      <c r="O654" s="48" t="s">
        <v>631</v>
      </c>
      <c r="P654" s="45" t="s">
        <v>453</v>
      </c>
      <c r="Q654" s="35" t="str">
        <f>MID(Tabla1[[#This Row],[Aplicación]],14,1)</f>
        <v>2</v>
      </c>
      <c r="R654" s="35" t="s">
        <v>441</v>
      </c>
      <c r="S654" s="35" t="str">
        <f>MID(Tabla1[[#This Row],[Aplicación]],6,2)</f>
        <v>11</v>
      </c>
      <c r="T654" s="35" t="str">
        <f>VLOOKUP(Tabla1[[#This Row],[AREA]],Hoja1!A:B,2,FALSE)</f>
        <v>11. Salud pública y seguridad ciudadana</v>
      </c>
      <c r="U654" s="35" t="str">
        <f>MID(Tabla1[[#This Row],[Aplicación]],9,4)</f>
        <v>1621</v>
      </c>
      <c r="V654" s="35" t="str">
        <f>VLOOKUP(Tabla1[[#This Row],[PROGRAMA]],Hoja1!A:B,2,FALSE)</f>
        <v>1621. Servicio de limpieza</v>
      </c>
      <c r="W654" s="35" t="str">
        <f>MID(Tabla1[[#This Row],[Aplicación]],14,2)</f>
        <v>22</v>
      </c>
      <c r="X654" s="35" t="str">
        <f>MID(Tabla1[[#This Row],[Aplicación]],14,6)</f>
        <v>22104</v>
      </c>
    </row>
    <row r="655" spans="1:24" x14ac:dyDescent="0.25">
      <c r="A655" s="49">
        <v>220220004217</v>
      </c>
      <c r="B655" s="50" t="s">
        <v>172</v>
      </c>
      <c r="C655" s="57">
        <v>44610</v>
      </c>
      <c r="D655" s="49">
        <v>22022000028</v>
      </c>
      <c r="E655" s="50" t="s">
        <v>2099</v>
      </c>
      <c r="F655" s="58">
        <v>36.99</v>
      </c>
      <c r="G655" s="50" t="s">
        <v>117</v>
      </c>
      <c r="H655" s="50" t="s">
        <v>2101</v>
      </c>
      <c r="I655" s="49" t="s">
        <v>173</v>
      </c>
      <c r="J655" s="50" t="s">
        <v>109</v>
      </c>
      <c r="K655" s="50" t="s">
        <v>109</v>
      </c>
      <c r="L655" s="50" t="s">
        <v>15</v>
      </c>
      <c r="M655" s="50" t="s">
        <v>13</v>
      </c>
      <c r="N655" s="50" t="s">
        <v>14</v>
      </c>
      <c r="O655" s="48" t="s">
        <v>631</v>
      </c>
      <c r="P655" s="45" t="s">
        <v>453</v>
      </c>
      <c r="Q655" s="35" t="str">
        <f>MID(Tabla1[[#This Row],[Aplicación]],14,1)</f>
        <v>2</v>
      </c>
      <c r="R655" s="35" t="s">
        <v>441</v>
      </c>
      <c r="S655" s="35" t="str">
        <f>MID(Tabla1[[#This Row],[Aplicación]],6,2)</f>
        <v>11</v>
      </c>
      <c r="T655" s="35" t="str">
        <f>VLOOKUP(Tabla1[[#This Row],[AREA]],Hoja1!A:B,2,FALSE)</f>
        <v>11. Salud pública y seguridad ciudadana</v>
      </c>
      <c r="U655" s="35" t="str">
        <f>MID(Tabla1[[#This Row],[Aplicación]],9,4)</f>
        <v>1621</v>
      </c>
      <c r="V655" s="35" t="str">
        <f>VLOOKUP(Tabla1[[#This Row],[PROGRAMA]],Hoja1!A:B,2,FALSE)</f>
        <v>1621. Servicio de limpieza</v>
      </c>
      <c r="W655" s="35" t="str">
        <f>MID(Tabla1[[#This Row],[Aplicación]],14,2)</f>
        <v>22</v>
      </c>
      <c r="X655" s="35" t="str">
        <f>MID(Tabla1[[#This Row],[Aplicación]],14,6)</f>
        <v>22104</v>
      </c>
    </row>
    <row r="656" spans="1:24" x14ac:dyDescent="0.25">
      <c r="A656" s="49">
        <v>220220009388</v>
      </c>
      <c r="B656" s="50" t="s">
        <v>172</v>
      </c>
      <c r="C656" s="57">
        <v>44636</v>
      </c>
      <c r="D656" s="49">
        <v>22022001623</v>
      </c>
      <c r="E656" s="50" t="s">
        <v>1606</v>
      </c>
      <c r="F656" s="58">
        <v>26.17</v>
      </c>
      <c r="G656" s="50" t="s">
        <v>117</v>
      </c>
      <c r="H656" s="50" t="s">
        <v>2102</v>
      </c>
      <c r="I656" s="49" t="s">
        <v>173</v>
      </c>
      <c r="J656" s="50" t="s">
        <v>109</v>
      </c>
      <c r="K656" s="50" t="s">
        <v>109</v>
      </c>
      <c r="L656" s="50" t="s">
        <v>15</v>
      </c>
      <c r="M656" s="50" t="s">
        <v>13</v>
      </c>
      <c r="N656" s="50" t="s">
        <v>14</v>
      </c>
      <c r="O656" s="48" t="s">
        <v>631</v>
      </c>
      <c r="P656" s="45" t="s">
        <v>453</v>
      </c>
      <c r="Q656" s="35" t="str">
        <f>MID(Tabla1[[#This Row],[Aplicación]],14,1)</f>
        <v>2</v>
      </c>
      <c r="R656" s="35" t="s">
        <v>441</v>
      </c>
      <c r="S656" s="35" t="str">
        <f>MID(Tabla1[[#This Row],[Aplicación]],6,2)</f>
        <v>11</v>
      </c>
      <c r="T656" s="35" t="str">
        <f>VLOOKUP(Tabla1[[#This Row],[AREA]],Hoja1!A:B,2,FALSE)</f>
        <v>11. Salud pública y seguridad ciudadana</v>
      </c>
      <c r="U656" s="35" t="str">
        <f>MID(Tabla1[[#This Row],[Aplicación]],9,4)</f>
        <v>1361</v>
      </c>
      <c r="V656" s="35" t="str">
        <f>VLOOKUP(Tabla1[[#This Row],[PROGRAMA]],Hoja1!A:B,2,FALSE)</f>
        <v>1361. Prevención y extinción de incencios</v>
      </c>
      <c r="W656" s="35" t="str">
        <f>MID(Tabla1[[#This Row],[Aplicación]],14,2)</f>
        <v>22</v>
      </c>
      <c r="X656" s="35" t="str">
        <f>MID(Tabla1[[#This Row],[Aplicación]],14,6)</f>
        <v>22199</v>
      </c>
    </row>
    <row r="657" spans="1:24" x14ac:dyDescent="0.25">
      <c r="A657" s="49">
        <v>220220004178</v>
      </c>
      <c r="B657" s="50" t="s">
        <v>172</v>
      </c>
      <c r="C657" s="57">
        <v>44610</v>
      </c>
      <c r="D657" s="49">
        <v>22022000030</v>
      </c>
      <c r="E657" s="50" t="s">
        <v>2007</v>
      </c>
      <c r="F657" s="58">
        <v>10.16</v>
      </c>
      <c r="G657" s="50" t="s">
        <v>117</v>
      </c>
      <c r="H657" s="50" t="s">
        <v>2103</v>
      </c>
      <c r="I657" s="49" t="s">
        <v>173</v>
      </c>
      <c r="J657" s="50" t="s">
        <v>109</v>
      </c>
      <c r="K657" s="50" t="s">
        <v>109</v>
      </c>
      <c r="L657" s="50" t="s">
        <v>15</v>
      </c>
      <c r="M657" s="50" t="s">
        <v>13</v>
      </c>
      <c r="N657" s="50" t="s">
        <v>14</v>
      </c>
      <c r="O657" s="48" t="s">
        <v>631</v>
      </c>
      <c r="P657" s="45" t="s">
        <v>453</v>
      </c>
      <c r="Q657" s="35" t="str">
        <f>MID(Tabla1[[#This Row],[Aplicación]],14,1)</f>
        <v>2</v>
      </c>
      <c r="R657" s="35" t="s">
        <v>441</v>
      </c>
      <c r="S657" s="35" t="str">
        <f>MID(Tabla1[[#This Row],[Aplicación]],6,2)</f>
        <v>11</v>
      </c>
      <c r="T657" s="35" t="str">
        <f>VLOOKUP(Tabla1[[#This Row],[AREA]],Hoja1!A:B,2,FALSE)</f>
        <v>11. Salud pública y seguridad ciudadana</v>
      </c>
      <c r="U657" s="35" t="str">
        <f>MID(Tabla1[[#This Row],[Aplicación]],9,4)</f>
        <v>1621</v>
      </c>
      <c r="V657" s="35" t="str">
        <f>VLOOKUP(Tabla1[[#This Row],[PROGRAMA]],Hoja1!A:B,2,FALSE)</f>
        <v>1621. Servicio de limpieza</v>
      </c>
      <c r="W657" s="35" t="str">
        <f>MID(Tabla1[[#This Row],[Aplicación]],14,2)</f>
        <v>22</v>
      </c>
      <c r="X657" s="35" t="str">
        <f>MID(Tabla1[[#This Row],[Aplicación]],14,6)</f>
        <v>22199</v>
      </c>
    </row>
    <row r="658" spans="1:24" x14ac:dyDescent="0.25">
      <c r="A658" s="49">
        <v>220220001602</v>
      </c>
      <c r="B658" s="50" t="s">
        <v>9</v>
      </c>
      <c r="C658" s="57">
        <v>44587</v>
      </c>
      <c r="D658" s="49">
        <v>22022001365</v>
      </c>
      <c r="E658" s="50" t="s">
        <v>1988</v>
      </c>
      <c r="F658" s="58">
        <v>7055.53</v>
      </c>
      <c r="G658" s="50" t="s">
        <v>38</v>
      </c>
      <c r="H658" s="50" t="s">
        <v>2104</v>
      </c>
      <c r="I658" s="49" t="s">
        <v>107</v>
      </c>
      <c r="J658" s="50" t="s">
        <v>129</v>
      </c>
      <c r="K658" s="50" t="s">
        <v>170</v>
      </c>
      <c r="L658" s="50" t="s">
        <v>15</v>
      </c>
      <c r="M658" s="50" t="s">
        <v>13</v>
      </c>
      <c r="N658" s="50" t="s">
        <v>14</v>
      </c>
      <c r="O658" s="48" t="s">
        <v>620</v>
      </c>
      <c r="P658" s="45" t="s">
        <v>453</v>
      </c>
      <c r="Q658" s="35" t="str">
        <f>MID(Tabla1[[#This Row],[Aplicación]],14,1)</f>
        <v>2</v>
      </c>
      <c r="R658" s="35" t="s">
        <v>441</v>
      </c>
      <c r="S658" s="35" t="str">
        <f>MID(Tabla1[[#This Row],[Aplicación]],6,2)</f>
        <v>10</v>
      </c>
      <c r="T658" s="35" t="str">
        <f>VLOOKUP(Tabla1[[#This Row],[AREA]],Hoja1!A:B,2,FALSE)</f>
        <v>10. Servicios sociales y mediación comunitaria</v>
      </c>
      <c r="U658" s="35" t="str">
        <f>MID(Tabla1[[#This Row],[Aplicación]],9,4)</f>
        <v>2412</v>
      </c>
      <c r="V658" s="35" t="str">
        <f>VLOOKUP(Tabla1[[#This Row],[PROGRAMA]],Hoja1!A:B,2,FALSE)</f>
        <v>2412. Formación para el empleo</v>
      </c>
      <c r="W658" s="35" t="str">
        <f>MID(Tabla1[[#This Row],[Aplicación]],14,2)</f>
        <v>22</v>
      </c>
      <c r="X658" s="35" t="str">
        <f>MID(Tabla1[[#This Row],[Aplicación]],14,6)</f>
        <v>22100</v>
      </c>
    </row>
    <row r="659" spans="1:24" x14ac:dyDescent="0.25">
      <c r="A659" s="49">
        <v>220220005205</v>
      </c>
      <c r="B659" s="50" t="s">
        <v>9</v>
      </c>
      <c r="C659" s="57">
        <v>44614</v>
      </c>
      <c r="D659" s="49">
        <v>22022002206</v>
      </c>
      <c r="E659" s="50" t="s">
        <v>2063</v>
      </c>
      <c r="F659" s="58">
        <v>744.88</v>
      </c>
      <c r="G659" s="50" t="s">
        <v>879</v>
      </c>
      <c r="H659" s="50" t="s">
        <v>2105</v>
      </c>
      <c r="I659" s="49" t="s">
        <v>107</v>
      </c>
      <c r="J659" s="50" t="s">
        <v>108</v>
      </c>
      <c r="K659" s="50" t="s">
        <v>108</v>
      </c>
      <c r="L659" s="50" t="s">
        <v>15</v>
      </c>
      <c r="M659" s="50" t="s">
        <v>10</v>
      </c>
      <c r="N659" s="50" t="s">
        <v>11</v>
      </c>
      <c r="O659" s="48" t="s">
        <v>632</v>
      </c>
      <c r="P659" s="45" t="s">
        <v>453</v>
      </c>
      <c r="Q659" s="35" t="str">
        <f>MID(Tabla1[[#This Row],[Aplicación]],14,1)</f>
        <v>2</v>
      </c>
      <c r="R659" s="35" t="s">
        <v>441</v>
      </c>
      <c r="S659" s="35" t="str">
        <f>MID(Tabla1[[#This Row],[Aplicación]],6,2)</f>
        <v>01</v>
      </c>
      <c r="T659" s="35" t="str">
        <f>VLOOKUP(Tabla1[[#This Row],[AREA]],Hoja1!A:B,2,FALSE)</f>
        <v>01. Alcaldía</v>
      </c>
      <c r="U659" s="35" t="str">
        <f>MID(Tabla1[[#This Row],[Aplicación]],9,4)</f>
        <v>9206</v>
      </c>
      <c r="V659" s="35" t="str">
        <f>VLOOKUP(Tabla1[[#This Row],[PROGRAMA]],Hoja1!A:B,2,FALSE)</f>
        <v>9206. Archivo municipal</v>
      </c>
      <c r="W659" s="35" t="str">
        <f>MID(Tabla1[[#This Row],[Aplicación]],14,2)</f>
        <v>22</v>
      </c>
      <c r="X659" s="35" t="str">
        <f>MID(Tabla1[[#This Row],[Aplicación]],14,6)</f>
        <v>22001</v>
      </c>
    </row>
    <row r="660" spans="1:24" x14ac:dyDescent="0.25">
      <c r="A660" s="49">
        <v>220220010183</v>
      </c>
      <c r="B660" s="50" t="s">
        <v>9</v>
      </c>
      <c r="C660" s="57">
        <v>44638</v>
      </c>
      <c r="D660" s="49">
        <v>22022002840</v>
      </c>
      <c r="E660" s="50" t="s">
        <v>1506</v>
      </c>
      <c r="F660" s="58">
        <v>3862.32</v>
      </c>
      <c r="G660" s="50" t="s">
        <v>47</v>
      </c>
      <c r="H660" s="50" t="s">
        <v>2106</v>
      </c>
      <c r="I660" s="49" t="s">
        <v>107</v>
      </c>
      <c r="J660" s="50" t="s">
        <v>109</v>
      </c>
      <c r="K660" s="50" t="s">
        <v>109</v>
      </c>
      <c r="L660" s="50" t="s">
        <v>12</v>
      </c>
      <c r="M660" s="50" t="s">
        <v>10</v>
      </c>
      <c r="N660" s="50" t="s">
        <v>11</v>
      </c>
      <c r="O660" s="48" t="s">
        <v>632</v>
      </c>
      <c r="P660" s="45" t="s">
        <v>453</v>
      </c>
      <c r="Q660" s="35" t="str">
        <f>MID(Tabla1[[#This Row],[Aplicación]],14,1)</f>
        <v>2</v>
      </c>
      <c r="R660" s="35" t="s">
        <v>441</v>
      </c>
      <c r="S660" s="35" t="str">
        <f>MID(Tabla1[[#This Row],[Aplicación]],6,2)</f>
        <v>01</v>
      </c>
      <c r="T660" s="35" t="str">
        <f>VLOOKUP(Tabla1[[#This Row],[AREA]],Hoja1!A:B,2,FALSE)</f>
        <v>01. Alcaldía</v>
      </c>
      <c r="U660" s="35" t="str">
        <f>MID(Tabla1[[#This Row],[Aplicación]],9,4)</f>
        <v>9205</v>
      </c>
      <c r="V660" s="35" t="str">
        <f>VLOOKUP(Tabla1[[#This Row],[PROGRAMA]],Hoja1!A:B,2,FALSE)</f>
        <v>9205. Imprenta municipal</v>
      </c>
      <c r="W660" s="35" t="str">
        <f>MID(Tabla1[[#This Row],[Aplicación]],14,2)</f>
        <v>20</v>
      </c>
      <c r="X660" s="35" t="str">
        <f>MID(Tabla1[[#This Row],[Aplicación]],14,6)</f>
        <v>203</v>
      </c>
    </row>
    <row r="661" spans="1:24" x14ac:dyDescent="0.25">
      <c r="A661" s="49">
        <v>220219001058</v>
      </c>
      <c r="B661" s="50" t="s">
        <v>9</v>
      </c>
      <c r="C661" s="57">
        <v>44562</v>
      </c>
      <c r="D661" s="49">
        <v>22022000486</v>
      </c>
      <c r="E661" s="50" t="s">
        <v>1798</v>
      </c>
      <c r="F661" s="58">
        <v>1500</v>
      </c>
      <c r="G661" s="50" t="s">
        <v>58</v>
      </c>
      <c r="H661" s="50" t="s">
        <v>2107</v>
      </c>
      <c r="I661" s="49" t="s">
        <v>107</v>
      </c>
      <c r="J661" s="50" t="s">
        <v>109</v>
      </c>
      <c r="K661" s="50" t="s">
        <v>109</v>
      </c>
      <c r="L661" s="50" t="s">
        <v>12</v>
      </c>
      <c r="M661" s="50" t="s">
        <v>13</v>
      </c>
      <c r="N661" s="50" t="s">
        <v>14</v>
      </c>
      <c r="O661" s="48" t="s">
        <v>620</v>
      </c>
      <c r="P661" s="45" t="s">
        <v>453</v>
      </c>
      <c r="Q661" s="35" t="str">
        <f>MID(Tabla1[[#This Row],[Aplicación]],14,1)</f>
        <v>2</v>
      </c>
      <c r="R661" s="35" t="s">
        <v>441</v>
      </c>
      <c r="S661" s="35" t="str">
        <f>MID(Tabla1[[#This Row],[Aplicación]],6,2)</f>
        <v>04</v>
      </c>
      <c r="T661" s="35" t="str">
        <f>VLOOKUP(Tabla1[[#This Row],[AREA]],Hoja1!A:B,2,FALSE)</f>
        <v>04. Planificación y recursos</v>
      </c>
      <c r="U661" s="35" t="str">
        <f>MID(Tabla1[[#This Row],[Aplicación]],9,4)</f>
        <v>9202</v>
      </c>
      <c r="V661" s="35" t="str">
        <f>VLOOKUP(Tabla1[[#This Row],[PROGRAMA]],Hoja1!A:B,2,FALSE)</f>
        <v>9202. Gestión de recursos humanos</v>
      </c>
      <c r="W661" s="35" t="str">
        <f>MID(Tabla1[[#This Row],[Aplicación]],14,2)</f>
        <v>20</v>
      </c>
      <c r="X661" s="35" t="str">
        <f>MID(Tabla1[[#This Row],[Aplicación]],14,6)</f>
        <v>203</v>
      </c>
    </row>
    <row r="662" spans="1:24" x14ac:dyDescent="0.25">
      <c r="A662" s="49">
        <v>220219001059</v>
      </c>
      <c r="B662" s="50" t="s">
        <v>9</v>
      </c>
      <c r="C662" s="57">
        <v>44562</v>
      </c>
      <c r="D662" s="49">
        <v>22022000487</v>
      </c>
      <c r="E662" s="50" t="s">
        <v>1800</v>
      </c>
      <c r="F662" s="58">
        <v>2310</v>
      </c>
      <c r="G662" s="50" t="s">
        <v>58</v>
      </c>
      <c r="H662" s="50" t="s">
        <v>2108</v>
      </c>
      <c r="I662" s="49" t="s">
        <v>107</v>
      </c>
      <c r="J662" s="50" t="s">
        <v>109</v>
      </c>
      <c r="K662" s="50" t="s">
        <v>109</v>
      </c>
      <c r="L662" s="50" t="s">
        <v>12</v>
      </c>
      <c r="M662" s="50" t="s">
        <v>13</v>
      </c>
      <c r="N662" s="50" t="s">
        <v>14</v>
      </c>
      <c r="O662" s="48" t="s">
        <v>620</v>
      </c>
      <c r="P662" s="45" t="s">
        <v>453</v>
      </c>
      <c r="Q662" s="35" t="str">
        <f>MID(Tabla1[[#This Row],[Aplicación]],14,1)</f>
        <v>2</v>
      </c>
      <c r="R662" s="35" t="s">
        <v>441</v>
      </c>
      <c r="S662" s="35" t="str">
        <f>MID(Tabla1[[#This Row],[Aplicación]],6,2)</f>
        <v>04</v>
      </c>
      <c r="T662" s="35" t="str">
        <f>VLOOKUP(Tabla1[[#This Row],[AREA]],Hoja1!A:B,2,FALSE)</f>
        <v>04. Planificación y recursos</v>
      </c>
      <c r="U662" s="35" t="str">
        <f>MID(Tabla1[[#This Row],[Aplicación]],9,4)</f>
        <v>9202</v>
      </c>
      <c r="V662" s="35" t="str">
        <f>VLOOKUP(Tabla1[[#This Row],[PROGRAMA]],Hoja1!A:B,2,FALSE)</f>
        <v>9202. Gestión de recursos humanos</v>
      </c>
      <c r="W662" s="35" t="str">
        <f>MID(Tabla1[[#This Row],[Aplicación]],14,2)</f>
        <v>21</v>
      </c>
      <c r="X662" s="35" t="str">
        <f>MID(Tabla1[[#This Row],[Aplicación]],14,6)</f>
        <v>213</v>
      </c>
    </row>
    <row r="663" spans="1:24" x14ac:dyDescent="0.25">
      <c r="A663" s="49">
        <v>220219000909</v>
      </c>
      <c r="B663" s="50" t="s">
        <v>9</v>
      </c>
      <c r="C663" s="57">
        <v>44562</v>
      </c>
      <c r="D663" s="49">
        <v>22022000105</v>
      </c>
      <c r="E663" s="50" t="s">
        <v>2109</v>
      </c>
      <c r="F663" s="58">
        <v>7000</v>
      </c>
      <c r="G663" s="50" t="s">
        <v>38</v>
      </c>
      <c r="H663" s="50" t="s">
        <v>2110</v>
      </c>
      <c r="I663" s="49" t="s">
        <v>107</v>
      </c>
      <c r="J663" s="50" t="s">
        <v>129</v>
      </c>
      <c r="K663" s="50" t="s">
        <v>170</v>
      </c>
      <c r="L663" s="50" t="s">
        <v>15</v>
      </c>
      <c r="M663" s="50" t="s">
        <v>13</v>
      </c>
      <c r="N663" s="50" t="s">
        <v>14</v>
      </c>
      <c r="O663" s="48" t="s">
        <v>620</v>
      </c>
      <c r="P663" s="45" t="s">
        <v>453</v>
      </c>
      <c r="Q663" s="35" t="str">
        <f>MID(Tabla1[[#This Row],[Aplicación]],14,1)</f>
        <v>2</v>
      </c>
      <c r="R663" s="35" t="s">
        <v>441</v>
      </c>
      <c r="S663" s="35" t="str">
        <f>MID(Tabla1[[#This Row],[Aplicación]],6,2)</f>
        <v>01</v>
      </c>
      <c r="T663" s="35" t="str">
        <f>VLOOKUP(Tabla1[[#This Row],[AREA]],Hoja1!A:B,2,FALSE)</f>
        <v>01. Alcaldía</v>
      </c>
      <c r="U663" s="35" t="str">
        <f>MID(Tabla1[[#This Row],[Aplicación]],9,4)</f>
        <v>9205</v>
      </c>
      <c r="V663" s="35" t="str">
        <f>VLOOKUP(Tabla1[[#This Row],[PROGRAMA]],Hoja1!A:B,2,FALSE)</f>
        <v>9205. Imprenta municipal</v>
      </c>
      <c r="W663" s="35" t="str">
        <f>MID(Tabla1[[#This Row],[Aplicación]],14,2)</f>
        <v>22</v>
      </c>
      <c r="X663" s="35" t="str">
        <f>MID(Tabla1[[#This Row],[Aplicación]],14,6)</f>
        <v>22100</v>
      </c>
    </row>
    <row r="664" spans="1:24" x14ac:dyDescent="0.25">
      <c r="A664" s="49">
        <v>220219000094</v>
      </c>
      <c r="B664" s="50" t="s">
        <v>9</v>
      </c>
      <c r="C664" s="57">
        <v>44562</v>
      </c>
      <c r="D664" s="49">
        <v>22022000374</v>
      </c>
      <c r="E664" s="50" t="s">
        <v>1506</v>
      </c>
      <c r="F664" s="58">
        <v>725.32</v>
      </c>
      <c r="G664" s="50" t="s">
        <v>47</v>
      </c>
      <c r="H664" s="50" t="s">
        <v>2111</v>
      </c>
      <c r="I664" s="49" t="s">
        <v>107</v>
      </c>
      <c r="J664" s="50" t="s">
        <v>109</v>
      </c>
      <c r="K664" s="50" t="s">
        <v>109</v>
      </c>
      <c r="L664" s="50" t="s">
        <v>15</v>
      </c>
      <c r="M664" s="50" t="s">
        <v>10</v>
      </c>
      <c r="N664" s="50" t="s">
        <v>11</v>
      </c>
      <c r="O664" s="48" t="s">
        <v>632</v>
      </c>
      <c r="P664" s="45" t="s">
        <v>453</v>
      </c>
      <c r="Q664" s="35" t="str">
        <f>MID(Tabla1[[#This Row],[Aplicación]],14,1)</f>
        <v>2</v>
      </c>
      <c r="R664" s="35" t="s">
        <v>441</v>
      </c>
      <c r="S664" s="35" t="str">
        <f>MID(Tabla1[[#This Row],[Aplicación]],6,2)</f>
        <v>01</v>
      </c>
      <c r="T664" s="35" t="str">
        <f>VLOOKUP(Tabla1[[#This Row],[AREA]],Hoja1!A:B,2,FALSE)</f>
        <v>01. Alcaldía</v>
      </c>
      <c r="U664" s="35" t="str">
        <f>MID(Tabla1[[#This Row],[Aplicación]],9,4)</f>
        <v>9205</v>
      </c>
      <c r="V664" s="35" t="str">
        <f>VLOOKUP(Tabla1[[#This Row],[PROGRAMA]],Hoja1!A:B,2,FALSE)</f>
        <v>9205. Imprenta municipal</v>
      </c>
      <c r="W664" s="35" t="str">
        <f>MID(Tabla1[[#This Row],[Aplicación]],14,2)</f>
        <v>20</v>
      </c>
      <c r="X664" s="35" t="str">
        <f>MID(Tabla1[[#This Row],[Aplicación]],14,6)</f>
        <v>203</v>
      </c>
    </row>
    <row r="665" spans="1:24" x14ac:dyDescent="0.25">
      <c r="A665" s="49">
        <v>220220002609</v>
      </c>
      <c r="B665" s="50" t="s">
        <v>26</v>
      </c>
      <c r="C665" s="57">
        <v>44599</v>
      </c>
      <c r="D665" s="49">
        <v>22022001709</v>
      </c>
      <c r="E665" s="50" t="s">
        <v>1506</v>
      </c>
      <c r="F665" s="58">
        <v>362.66</v>
      </c>
      <c r="G665" s="50" t="s">
        <v>47</v>
      </c>
      <c r="H665" s="50" t="s">
        <v>2112</v>
      </c>
      <c r="I665" s="49" t="s">
        <v>197</v>
      </c>
      <c r="J665" s="50" t="s">
        <v>109</v>
      </c>
      <c r="K665" s="50" t="s">
        <v>109</v>
      </c>
      <c r="L665" s="50" t="s">
        <v>12</v>
      </c>
      <c r="M665" s="50" t="s">
        <v>10</v>
      </c>
      <c r="N665" s="50" t="s">
        <v>11</v>
      </c>
      <c r="O665" s="48" t="s">
        <v>632</v>
      </c>
      <c r="P665" s="45" t="s">
        <v>453</v>
      </c>
      <c r="Q665" s="35" t="str">
        <f>MID(Tabla1[[#This Row],[Aplicación]],14,1)</f>
        <v>2</v>
      </c>
      <c r="R665" s="35" t="s">
        <v>441</v>
      </c>
      <c r="S665" s="35" t="str">
        <f>MID(Tabla1[[#This Row],[Aplicación]],6,2)</f>
        <v>01</v>
      </c>
      <c r="T665" s="35" t="str">
        <f>VLOOKUP(Tabla1[[#This Row],[AREA]],Hoja1!A:B,2,FALSE)</f>
        <v>01. Alcaldía</v>
      </c>
      <c r="U665" s="35" t="str">
        <f>MID(Tabla1[[#This Row],[Aplicación]],9,4)</f>
        <v>9205</v>
      </c>
      <c r="V665" s="35" t="str">
        <f>VLOOKUP(Tabla1[[#This Row],[PROGRAMA]],Hoja1!A:B,2,FALSE)</f>
        <v>9205. Imprenta municipal</v>
      </c>
      <c r="W665" s="35" t="str">
        <f>MID(Tabla1[[#This Row],[Aplicación]],14,2)</f>
        <v>20</v>
      </c>
      <c r="X665" s="35" t="str">
        <f>MID(Tabla1[[#This Row],[Aplicación]],14,6)</f>
        <v>203</v>
      </c>
    </row>
    <row r="666" spans="1:24" x14ac:dyDescent="0.25">
      <c r="A666" s="49">
        <v>220220006379</v>
      </c>
      <c r="B666" s="50" t="s">
        <v>9</v>
      </c>
      <c r="C666" s="57">
        <v>44617</v>
      </c>
      <c r="D666" s="49">
        <v>22022002456</v>
      </c>
      <c r="E666" s="50" t="s">
        <v>1461</v>
      </c>
      <c r="F666" s="58">
        <v>516.78</v>
      </c>
      <c r="G666" s="50" t="s">
        <v>2113</v>
      </c>
      <c r="H666" s="50" t="s">
        <v>2114</v>
      </c>
      <c r="I666" s="49" t="s">
        <v>107</v>
      </c>
      <c r="J666" s="50" t="s">
        <v>520</v>
      </c>
      <c r="K666" s="50" t="s">
        <v>109</v>
      </c>
      <c r="L666" s="50" t="s">
        <v>12</v>
      </c>
      <c r="M666" s="50" t="s">
        <v>10</v>
      </c>
      <c r="N666" s="50" t="s">
        <v>11</v>
      </c>
      <c r="O666" s="48" t="s">
        <v>632</v>
      </c>
      <c r="P666" s="45" t="s">
        <v>453</v>
      </c>
      <c r="Q666" s="35" t="str">
        <f>MID(Tabla1[[#This Row],[Aplicación]],14,1)</f>
        <v>2</v>
      </c>
      <c r="R666" s="35" t="s">
        <v>441</v>
      </c>
      <c r="S666" s="35" t="str">
        <f>MID(Tabla1[[#This Row],[Aplicación]],6,2)</f>
        <v>11</v>
      </c>
      <c r="T666" s="35" t="str">
        <f>VLOOKUP(Tabla1[[#This Row],[AREA]],Hoja1!A:B,2,FALSE)</f>
        <v>11. Salud pública y seguridad ciudadana</v>
      </c>
      <c r="U666" s="35" t="str">
        <f>MID(Tabla1[[#This Row],[Aplicación]],9,4)</f>
        <v>1621</v>
      </c>
      <c r="V666" s="35" t="str">
        <f>VLOOKUP(Tabla1[[#This Row],[PROGRAMA]],Hoja1!A:B,2,FALSE)</f>
        <v>1621. Servicio de limpieza</v>
      </c>
      <c r="W666" s="35" t="str">
        <f>MID(Tabla1[[#This Row],[Aplicación]],14,2)</f>
        <v>21</v>
      </c>
      <c r="X666" s="35" t="str">
        <f>MID(Tabla1[[#This Row],[Aplicación]],14,6)</f>
        <v>213</v>
      </c>
    </row>
    <row r="667" spans="1:24" x14ac:dyDescent="0.25">
      <c r="A667" s="49">
        <v>220220009602</v>
      </c>
      <c r="B667" s="50" t="s">
        <v>172</v>
      </c>
      <c r="C667" s="57">
        <v>44636</v>
      </c>
      <c r="D667" s="49">
        <v>22022000902</v>
      </c>
      <c r="E667" s="50" t="s">
        <v>1434</v>
      </c>
      <c r="F667" s="58">
        <v>1092.7</v>
      </c>
      <c r="G667" s="50" t="s">
        <v>465</v>
      </c>
      <c r="H667" s="50" t="s">
        <v>2115</v>
      </c>
      <c r="I667" s="49" t="s">
        <v>173</v>
      </c>
      <c r="J667" s="50" t="s">
        <v>109</v>
      </c>
      <c r="K667" s="50" t="s">
        <v>109</v>
      </c>
      <c r="L667" s="50" t="s">
        <v>12</v>
      </c>
      <c r="M667" s="50" t="s">
        <v>13</v>
      </c>
      <c r="N667" s="50" t="s">
        <v>14</v>
      </c>
      <c r="O667" s="48" t="s">
        <v>631</v>
      </c>
      <c r="P667" s="45" t="s">
        <v>453</v>
      </c>
      <c r="Q667" s="35" t="str">
        <f>MID(Tabla1[[#This Row],[Aplicación]],14,1)</f>
        <v>2</v>
      </c>
      <c r="R667" s="35" t="s">
        <v>441</v>
      </c>
      <c r="S667" s="35" t="str">
        <f>MID(Tabla1[[#This Row],[Aplicación]],6,2)</f>
        <v>11</v>
      </c>
      <c r="T667" s="35" t="str">
        <f>VLOOKUP(Tabla1[[#This Row],[AREA]],Hoja1!A:B,2,FALSE)</f>
        <v>11. Salud pública y seguridad ciudadana</v>
      </c>
      <c r="U667" s="35" t="str">
        <f>MID(Tabla1[[#This Row],[Aplicación]],9,4)</f>
        <v>1631</v>
      </c>
      <c r="V667" s="35" t="str">
        <f>VLOOKUP(Tabla1[[#This Row],[PROGRAMA]],Hoja1!A:B,2,FALSE)</f>
        <v>1631. Limpieza viaria</v>
      </c>
      <c r="W667" s="35" t="str">
        <f>MID(Tabla1[[#This Row],[Aplicación]],14,2)</f>
        <v>21</v>
      </c>
      <c r="X667" s="35" t="str">
        <f>MID(Tabla1[[#This Row],[Aplicación]],14,6)</f>
        <v>214</v>
      </c>
    </row>
    <row r="668" spans="1:24" x14ac:dyDescent="0.25">
      <c r="A668" s="49">
        <v>220220008603</v>
      </c>
      <c r="B668" s="50" t="s">
        <v>172</v>
      </c>
      <c r="C668" s="57">
        <v>44631</v>
      </c>
      <c r="D668" s="49">
        <v>22022001643</v>
      </c>
      <c r="E668" s="50" t="s">
        <v>2116</v>
      </c>
      <c r="F668" s="58">
        <v>173.13</v>
      </c>
      <c r="G668" s="50" t="s">
        <v>85</v>
      </c>
      <c r="H668" s="50" t="s">
        <v>2117</v>
      </c>
      <c r="I668" s="49" t="s">
        <v>173</v>
      </c>
      <c r="J668" s="50" t="s">
        <v>109</v>
      </c>
      <c r="K668" s="50" t="s">
        <v>109</v>
      </c>
      <c r="L668" s="50" t="s">
        <v>15</v>
      </c>
      <c r="M668" s="50" t="s">
        <v>13</v>
      </c>
      <c r="N668" s="50" t="s">
        <v>14</v>
      </c>
      <c r="O668" s="48" t="s">
        <v>631</v>
      </c>
      <c r="P668" s="45" t="s">
        <v>453</v>
      </c>
      <c r="Q668" s="35" t="str">
        <f>MID(Tabla1[[#This Row],[Aplicación]],14,1)</f>
        <v>2</v>
      </c>
      <c r="R668" s="35" t="s">
        <v>441</v>
      </c>
      <c r="S668" s="35" t="str">
        <f>MID(Tabla1[[#This Row],[Aplicación]],6,2)</f>
        <v>06</v>
      </c>
      <c r="T668" s="35" t="str">
        <f>VLOOKUP(Tabla1[[#This Row],[AREA]],Hoja1!A:B,2,FALSE)</f>
        <v>06. Educación, infancia, juventud e igualdad</v>
      </c>
      <c r="U668" s="35" t="str">
        <f>MID(Tabla1[[#This Row],[Aplicación]],9,4)</f>
        <v>3321</v>
      </c>
      <c r="V668" s="35" t="str">
        <f>VLOOKUP(Tabla1[[#This Row],[PROGRAMA]],Hoja1!A:B,2,FALSE)</f>
        <v>3321. Bibliotecas públicas</v>
      </c>
      <c r="W668" s="35" t="str">
        <f>MID(Tabla1[[#This Row],[Aplicación]],14,2)</f>
        <v>21</v>
      </c>
      <c r="X668" s="35" t="str">
        <f>MID(Tabla1[[#This Row],[Aplicación]],14,6)</f>
        <v>212</v>
      </c>
    </row>
    <row r="669" spans="1:24" x14ac:dyDescent="0.25">
      <c r="A669" s="49">
        <v>220220005556</v>
      </c>
      <c r="B669" s="50" t="s">
        <v>172</v>
      </c>
      <c r="C669" s="57">
        <v>44614</v>
      </c>
      <c r="D669" s="49">
        <v>22022001455</v>
      </c>
      <c r="E669" s="50" t="s">
        <v>1471</v>
      </c>
      <c r="F669" s="58">
        <v>169.59</v>
      </c>
      <c r="G669" s="50" t="s">
        <v>85</v>
      </c>
      <c r="H669" s="50" t="s">
        <v>2118</v>
      </c>
      <c r="I669" s="49" t="s">
        <v>173</v>
      </c>
      <c r="J669" s="50" t="s">
        <v>109</v>
      </c>
      <c r="K669" s="50" t="s">
        <v>109</v>
      </c>
      <c r="L669" s="50" t="s">
        <v>15</v>
      </c>
      <c r="M669" s="50" t="s">
        <v>13</v>
      </c>
      <c r="N669" s="50" t="s">
        <v>14</v>
      </c>
      <c r="O669" s="48" t="s">
        <v>631</v>
      </c>
      <c r="P669" s="45" t="s">
        <v>453</v>
      </c>
      <c r="Q669" s="35" t="str">
        <f>MID(Tabla1[[#This Row],[Aplicación]],14,1)</f>
        <v>2</v>
      </c>
      <c r="R669" s="35" t="s">
        <v>441</v>
      </c>
      <c r="S669" s="35" t="str">
        <f>MID(Tabla1[[#This Row],[Aplicación]],6,2)</f>
        <v>11</v>
      </c>
      <c r="T669" s="35" t="str">
        <f>VLOOKUP(Tabla1[[#This Row],[AREA]],Hoja1!A:B,2,FALSE)</f>
        <v>11. Salud pública y seguridad ciudadana</v>
      </c>
      <c r="U669" s="35" t="str">
        <f>MID(Tabla1[[#This Row],[Aplicación]],9,4)</f>
        <v>1321</v>
      </c>
      <c r="V669" s="35" t="str">
        <f>VLOOKUP(Tabla1[[#This Row],[PROGRAMA]],Hoja1!A:B,2,FALSE)</f>
        <v>1321. Policía municipal</v>
      </c>
      <c r="W669" s="35" t="str">
        <f>MID(Tabla1[[#This Row],[Aplicación]],14,2)</f>
        <v>21</v>
      </c>
      <c r="X669" s="35" t="str">
        <f>MID(Tabla1[[#This Row],[Aplicación]],14,6)</f>
        <v>213</v>
      </c>
    </row>
    <row r="670" spans="1:24" x14ac:dyDescent="0.25">
      <c r="A670" s="49">
        <v>220220009511</v>
      </c>
      <c r="B670" s="50" t="s">
        <v>172</v>
      </c>
      <c r="C670" s="57">
        <v>44636</v>
      </c>
      <c r="D670" s="49">
        <v>22022001449</v>
      </c>
      <c r="E670" s="50" t="s">
        <v>1890</v>
      </c>
      <c r="F670" s="58">
        <v>167.09</v>
      </c>
      <c r="G670" s="50" t="s">
        <v>85</v>
      </c>
      <c r="H670" s="50" t="s">
        <v>2119</v>
      </c>
      <c r="I670" s="49" t="s">
        <v>173</v>
      </c>
      <c r="J670" s="50" t="s">
        <v>109</v>
      </c>
      <c r="K670" s="50" t="s">
        <v>109</v>
      </c>
      <c r="L670" s="50" t="s">
        <v>15</v>
      </c>
      <c r="M670" s="50" t="s">
        <v>13</v>
      </c>
      <c r="N670" s="50" t="s">
        <v>14</v>
      </c>
      <c r="O670" s="48" t="s">
        <v>631</v>
      </c>
      <c r="P670" s="45" t="s">
        <v>453</v>
      </c>
      <c r="Q670" s="35" t="str">
        <f>MID(Tabla1[[#This Row],[Aplicación]],14,1)</f>
        <v>2</v>
      </c>
      <c r="R670" s="35" t="s">
        <v>441</v>
      </c>
      <c r="S670" s="35" t="str">
        <f>MID(Tabla1[[#This Row],[Aplicación]],6,2)</f>
        <v>02</v>
      </c>
      <c r="T670" s="35" t="str">
        <f>VLOOKUP(Tabla1[[#This Row],[AREA]],Hoja1!A:B,2,FALSE)</f>
        <v>02. Planeamiento urbanístico y vivienda</v>
      </c>
      <c r="U670" s="35" t="str">
        <f>MID(Tabla1[[#This Row],[Aplicación]],9,4)</f>
        <v>9332</v>
      </c>
      <c r="V670" s="35" t="str">
        <f>VLOOKUP(Tabla1[[#This Row],[PROGRAMA]],Hoja1!A:B,2,FALSE)</f>
        <v>9332. Mantenimiento de edificios e instalaciones municipales</v>
      </c>
      <c r="W670" s="35" t="str">
        <f>MID(Tabla1[[#This Row],[Aplicación]],14,2)</f>
        <v>21</v>
      </c>
      <c r="X670" s="35" t="str">
        <f>MID(Tabla1[[#This Row],[Aplicación]],14,6)</f>
        <v>212</v>
      </c>
    </row>
    <row r="671" spans="1:24" x14ac:dyDescent="0.25">
      <c r="A671" s="49">
        <v>220220009400</v>
      </c>
      <c r="B671" s="50" t="s">
        <v>172</v>
      </c>
      <c r="C671" s="57">
        <v>44636</v>
      </c>
      <c r="D671" s="49">
        <v>22022001623</v>
      </c>
      <c r="E671" s="50" t="s">
        <v>1606</v>
      </c>
      <c r="F671" s="58">
        <v>159.66999999999999</v>
      </c>
      <c r="G671" s="50" t="s">
        <v>85</v>
      </c>
      <c r="H671" s="50" t="s">
        <v>2120</v>
      </c>
      <c r="I671" s="49" t="s">
        <v>173</v>
      </c>
      <c r="J671" s="50" t="s">
        <v>109</v>
      </c>
      <c r="K671" s="50" t="s">
        <v>109</v>
      </c>
      <c r="L671" s="50" t="s">
        <v>15</v>
      </c>
      <c r="M671" s="50" t="s">
        <v>13</v>
      </c>
      <c r="N671" s="50" t="s">
        <v>14</v>
      </c>
      <c r="O671" s="48" t="s">
        <v>631</v>
      </c>
      <c r="P671" s="45" t="s">
        <v>453</v>
      </c>
      <c r="Q671" s="35" t="str">
        <f>MID(Tabla1[[#This Row],[Aplicación]],14,1)</f>
        <v>2</v>
      </c>
      <c r="R671" s="35" t="s">
        <v>441</v>
      </c>
      <c r="S671" s="35" t="str">
        <f>MID(Tabla1[[#This Row],[Aplicación]],6,2)</f>
        <v>11</v>
      </c>
      <c r="T671" s="35" t="str">
        <f>VLOOKUP(Tabla1[[#This Row],[AREA]],Hoja1!A:B,2,FALSE)</f>
        <v>11. Salud pública y seguridad ciudadana</v>
      </c>
      <c r="U671" s="35" t="str">
        <f>MID(Tabla1[[#This Row],[Aplicación]],9,4)</f>
        <v>1361</v>
      </c>
      <c r="V671" s="35" t="str">
        <f>VLOOKUP(Tabla1[[#This Row],[PROGRAMA]],Hoja1!A:B,2,FALSE)</f>
        <v>1361. Prevención y extinción de incencios</v>
      </c>
      <c r="W671" s="35" t="str">
        <f>MID(Tabla1[[#This Row],[Aplicación]],14,2)</f>
        <v>22</v>
      </c>
      <c r="X671" s="35" t="str">
        <f>MID(Tabla1[[#This Row],[Aplicación]],14,6)</f>
        <v>22199</v>
      </c>
    </row>
    <row r="672" spans="1:24" x14ac:dyDescent="0.25">
      <c r="A672" s="49">
        <v>220220003150</v>
      </c>
      <c r="B672" s="50" t="s">
        <v>172</v>
      </c>
      <c r="C672" s="57">
        <v>44601</v>
      </c>
      <c r="D672" s="49">
        <v>22022001184</v>
      </c>
      <c r="E672" s="50" t="s">
        <v>2020</v>
      </c>
      <c r="F672" s="58">
        <v>133.66999999999999</v>
      </c>
      <c r="G672" s="50" t="s">
        <v>85</v>
      </c>
      <c r="H672" s="50" t="s">
        <v>2121</v>
      </c>
      <c r="I672" s="49" t="s">
        <v>173</v>
      </c>
      <c r="J672" s="50" t="s">
        <v>109</v>
      </c>
      <c r="K672" s="50" t="s">
        <v>109</v>
      </c>
      <c r="L672" s="50" t="s">
        <v>15</v>
      </c>
      <c r="M672" s="50" t="s">
        <v>13</v>
      </c>
      <c r="N672" s="50" t="s">
        <v>14</v>
      </c>
      <c r="O672" s="48" t="s">
        <v>631</v>
      </c>
      <c r="P672" s="45" t="s">
        <v>453</v>
      </c>
      <c r="Q672" s="35" t="str">
        <f>MID(Tabla1[[#This Row],[Aplicación]],14,1)</f>
        <v>2</v>
      </c>
      <c r="R672" s="35" t="s">
        <v>441</v>
      </c>
      <c r="S672" s="35" t="str">
        <f>MID(Tabla1[[#This Row],[Aplicación]],6,2)</f>
        <v>10</v>
      </c>
      <c r="T672" s="35" t="str">
        <f>VLOOKUP(Tabla1[[#This Row],[AREA]],Hoja1!A:B,2,FALSE)</f>
        <v>10. Servicios sociales y mediación comunitaria</v>
      </c>
      <c r="U672" s="35" t="str">
        <f>MID(Tabla1[[#This Row],[Aplicación]],9,4)</f>
        <v>2312</v>
      </c>
      <c r="V672" s="35" t="str">
        <f>VLOOKUP(Tabla1[[#This Row],[PROGRAMA]],Hoja1!A:B,2,FALSE)</f>
        <v>2312. Iniciativas sociales</v>
      </c>
      <c r="W672" s="35" t="str">
        <f>MID(Tabla1[[#This Row],[Aplicación]],14,2)</f>
        <v>21</v>
      </c>
      <c r="X672" s="35" t="str">
        <f>MID(Tabla1[[#This Row],[Aplicación]],14,6)</f>
        <v>212</v>
      </c>
    </row>
    <row r="673" spans="1:24" x14ac:dyDescent="0.25">
      <c r="A673" s="49">
        <v>220220006356</v>
      </c>
      <c r="B673" s="50" t="s">
        <v>172</v>
      </c>
      <c r="C673" s="57">
        <v>44617</v>
      </c>
      <c r="D673" s="49">
        <v>22022001455</v>
      </c>
      <c r="E673" s="50" t="s">
        <v>1471</v>
      </c>
      <c r="F673" s="58">
        <v>126.26</v>
      </c>
      <c r="G673" s="50" t="s">
        <v>85</v>
      </c>
      <c r="H673" s="50" t="s">
        <v>2122</v>
      </c>
      <c r="I673" s="49" t="s">
        <v>173</v>
      </c>
      <c r="J673" s="50" t="s">
        <v>109</v>
      </c>
      <c r="K673" s="50" t="s">
        <v>109</v>
      </c>
      <c r="L673" s="50" t="s">
        <v>15</v>
      </c>
      <c r="M673" s="50" t="s">
        <v>13</v>
      </c>
      <c r="N673" s="50" t="s">
        <v>14</v>
      </c>
      <c r="O673" s="48" t="s">
        <v>631</v>
      </c>
      <c r="P673" s="45" t="s">
        <v>453</v>
      </c>
      <c r="Q673" s="35" t="str">
        <f>MID(Tabla1[[#This Row],[Aplicación]],14,1)</f>
        <v>2</v>
      </c>
      <c r="R673" s="35" t="s">
        <v>441</v>
      </c>
      <c r="S673" s="35" t="str">
        <f>MID(Tabla1[[#This Row],[Aplicación]],6,2)</f>
        <v>11</v>
      </c>
      <c r="T673" s="35" t="str">
        <f>VLOOKUP(Tabla1[[#This Row],[AREA]],Hoja1!A:B,2,FALSE)</f>
        <v>11. Salud pública y seguridad ciudadana</v>
      </c>
      <c r="U673" s="35" t="str">
        <f>MID(Tabla1[[#This Row],[Aplicación]],9,4)</f>
        <v>1321</v>
      </c>
      <c r="V673" s="35" t="str">
        <f>VLOOKUP(Tabla1[[#This Row],[PROGRAMA]],Hoja1!A:B,2,FALSE)</f>
        <v>1321. Policía municipal</v>
      </c>
      <c r="W673" s="35" t="str">
        <f>MID(Tabla1[[#This Row],[Aplicación]],14,2)</f>
        <v>21</v>
      </c>
      <c r="X673" s="35" t="str">
        <f>MID(Tabla1[[#This Row],[Aplicación]],14,6)</f>
        <v>213</v>
      </c>
    </row>
    <row r="674" spans="1:24" x14ac:dyDescent="0.25">
      <c r="A674" s="49">
        <v>220220002480</v>
      </c>
      <c r="B674" s="50" t="s">
        <v>172</v>
      </c>
      <c r="C674" s="57">
        <v>44594</v>
      </c>
      <c r="D674" s="49">
        <v>22022001637</v>
      </c>
      <c r="E674" s="50" t="s">
        <v>1922</v>
      </c>
      <c r="F674" s="58">
        <v>780.11</v>
      </c>
      <c r="G674" s="50" t="s">
        <v>1003</v>
      </c>
      <c r="H674" s="50" t="s">
        <v>2123</v>
      </c>
      <c r="I674" s="49" t="s">
        <v>173</v>
      </c>
      <c r="J674" s="50" t="s">
        <v>109</v>
      </c>
      <c r="K674" s="50" t="s">
        <v>109</v>
      </c>
      <c r="L674" s="50" t="s">
        <v>12</v>
      </c>
      <c r="M674" s="50" t="s">
        <v>13</v>
      </c>
      <c r="N674" s="50" t="s">
        <v>14</v>
      </c>
      <c r="O674" s="48" t="s">
        <v>631</v>
      </c>
      <c r="P674" s="45" t="s">
        <v>453</v>
      </c>
      <c r="Q674" s="35" t="str">
        <f>MID(Tabla1[[#This Row],[Aplicación]],14,1)</f>
        <v>2</v>
      </c>
      <c r="R674" s="35" t="s">
        <v>441</v>
      </c>
      <c r="S674" s="35" t="str">
        <f>MID(Tabla1[[#This Row],[Aplicación]],6,2)</f>
        <v>07</v>
      </c>
      <c r="T674" s="35" t="str">
        <f>VLOOKUP(Tabla1[[#This Row],[AREA]],Hoja1!A:B,2,FALSE)</f>
        <v>07. Medio ambiente y desarrollo sostenible</v>
      </c>
      <c r="U674" s="35" t="str">
        <f>MID(Tabla1[[#This Row],[Aplicación]],9,4)</f>
        <v>1711</v>
      </c>
      <c r="V674" s="35" t="str">
        <f>VLOOKUP(Tabla1[[#This Row],[PROGRAMA]],Hoja1!A:B,2,FALSE)</f>
        <v>1711. Parques y jardines</v>
      </c>
      <c r="W674" s="35" t="str">
        <f>MID(Tabla1[[#This Row],[Aplicación]],14,2)</f>
        <v>21</v>
      </c>
      <c r="X674" s="35" t="str">
        <f>MID(Tabla1[[#This Row],[Aplicación]],14,6)</f>
        <v>214</v>
      </c>
    </row>
    <row r="675" spans="1:24" x14ac:dyDescent="0.25">
      <c r="A675" s="49">
        <v>220220003250</v>
      </c>
      <c r="B675" s="50" t="s">
        <v>172</v>
      </c>
      <c r="C675" s="57">
        <v>44601</v>
      </c>
      <c r="D675" s="49">
        <v>22022001637</v>
      </c>
      <c r="E675" s="50" t="s">
        <v>1922</v>
      </c>
      <c r="F675" s="58">
        <v>236.47</v>
      </c>
      <c r="G675" s="50" t="s">
        <v>1003</v>
      </c>
      <c r="H675" s="50" t="s">
        <v>2124</v>
      </c>
      <c r="I675" s="49" t="s">
        <v>173</v>
      </c>
      <c r="J675" s="50" t="s">
        <v>109</v>
      </c>
      <c r="K675" s="50" t="s">
        <v>109</v>
      </c>
      <c r="L675" s="50" t="s">
        <v>12</v>
      </c>
      <c r="M675" s="50" t="s">
        <v>13</v>
      </c>
      <c r="N675" s="50" t="s">
        <v>14</v>
      </c>
      <c r="O675" s="48" t="s">
        <v>631</v>
      </c>
      <c r="P675" s="45" t="s">
        <v>453</v>
      </c>
      <c r="Q675" s="35" t="str">
        <f>MID(Tabla1[[#This Row],[Aplicación]],14,1)</f>
        <v>2</v>
      </c>
      <c r="R675" s="35" t="s">
        <v>441</v>
      </c>
      <c r="S675" s="35" t="str">
        <f>MID(Tabla1[[#This Row],[Aplicación]],6,2)</f>
        <v>07</v>
      </c>
      <c r="T675" s="35" t="str">
        <f>VLOOKUP(Tabla1[[#This Row],[AREA]],Hoja1!A:B,2,FALSE)</f>
        <v>07. Medio ambiente y desarrollo sostenible</v>
      </c>
      <c r="U675" s="35" t="str">
        <f>MID(Tabla1[[#This Row],[Aplicación]],9,4)</f>
        <v>1711</v>
      </c>
      <c r="V675" s="35" t="str">
        <f>VLOOKUP(Tabla1[[#This Row],[PROGRAMA]],Hoja1!A:B,2,FALSE)</f>
        <v>1711. Parques y jardines</v>
      </c>
      <c r="W675" s="35" t="str">
        <f>MID(Tabla1[[#This Row],[Aplicación]],14,2)</f>
        <v>21</v>
      </c>
      <c r="X675" s="35" t="str">
        <f>MID(Tabla1[[#This Row],[Aplicación]],14,6)</f>
        <v>214</v>
      </c>
    </row>
    <row r="676" spans="1:24" x14ac:dyDescent="0.25">
      <c r="A676" s="49">
        <v>220220003252</v>
      </c>
      <c r="B676" s="50" t="s">
        <v>172</v>
      </c>
      <c r="C676" s="57">
        <v>44601</v>
      </c>
      <c r="D676" s="49">
        <v>22022001637</v>
      </c>
      <c r="E676" s="50" t="s">
        <v>1922</v>
      </c>
      <c r="F676" s="58">
        <v>467.53</v>
      </c>
      <c r="G676" s="50" t="s">
        <v>1003</v>
      </c>
      <c r="H676" s="50" t="s">
        <v>2124</v>
      </c>
      <c r="I676" s="49" t="s">
        <v>173</v>
      </c>
      <c r="J676" s="50" t="s">
        <v>109</v>
      </c>
      <c r="K676" s="50" t="s">
        <v>109</v>
      </c>
      <c r="L676" s="50" t="s">
        <v>12</v>
      </c>
      <c r="M676" s="50" t="s">
        <v>13</v>
      </c>
      <c r="N676" s="50" t="s">
        <v>14</v>
      </c>
      <c r="O676" s="48" t="s">
        <v>631</v>
      </c>
      <c r="P676" s="45" t="s">
        <v>453</v>
      </c>
      <c r="Q676" s="35" t="str">
        <f>MID(Tabla1[[#This Row],[Aplicación]],14,1)</f>
        <v>2</v>
      </c>
      <c r="R676" s="35" t="s">
        <v>441</v>
      </c>
      <c r="S676" s="35" t="str">
        <f>MID(Tabla1[[#This Row],[Aplicación]],6,2)</f>
        <v>07</v>
      </c>
      <c r="T676" s="35" t="str">
        <f>VLOOKUP(Tabla1[[#This Row],[AREA]],Hoja1!A:B,2,FALSE)</f>
        <v>07. Medio ambiente y desarrollo sostenible</v>
      </c>
      <c r="U676" s="35" t="str">
        <f>MID(Tabla1[[#This Row],[Aplicación]],9,4)</f>
        <v>1711</v>
      </c>
      <c r="V676" s="35" t="str">
        <f>VLOOKUP(Tabla1[[#This Row],[PROGRAMA]],Hoja1!A:B,2,FALSE)</f>
        <v>1711. Parques y jardines</v>
      </c>
      <c r="W676" s="35" t="str">
        <f>MID(Tabla1[[#This Row],[Aplicación]],14,2)</f>
        <v>21</v>
      </c>
      <c r="X676" s="35" t="str">
        <f>MID(Tabla1[[#This Row],[Aplicación]],14,6)</f>
        <v>214</v>
      </c>
    </row>
    <row r="677" spans="1:24" x14ac:dyDescent="0.25">
      <c r="A677" s="49">
        <v>220220005609</v>
      </c>
      <c r="B677" s="50" t="s">
        <v>172</v>
      </c>
      <c r="C677" s="57">
        <v>44614</v>
      </c>
      <c r="D677" s="49">
        <v>22022001637</v>
      </c>
      <c r="E677" s="50" t="s">
        <v>1922</v>
      </c>
      <c r="F677" s="58">
        <v>437.35</v>
      </c>
      <c r="G677" s="50" t="s">
        <v>1003</v>
      </c>
      <c r="H677" s="50" t="s">
        <v>2125</v>
      </c>
      <c r="I677" s="49" t="s">
        <v>173</v>
      </c>
      <c r="J677" s="50" t="s">
        <v>109</v>
      </c>
      <c r="K677" s="50" t="s">
        <v>109</v>
      </c>
      <c r="L677" s="50" t="s">
        <v>12</v>
      </c>
      <c r="M677" s="50" t="s">
        <v>13</v>
      </c>
      <c r="N677" s="50" t="s">
        <v>14</v>
      </c>
      <c r="O677" s="48" t="s">
        <v>631</v>
      </c>
      <c r="P677" s="45" t="s">
        <v>453</v>
      </c>
      <c r="Q677" s="35" t="str">
        <f>MID(Tabla1[[#This Row],[Aplicación]],14,1)</f>
        <v>2</v>
      </c>
      <c r="R677" s="35" t="s">
        <v>441</v>
      </c>
      <c r="S677" s="35" t="str">
        <f>MID(Tabla1[[#This Row],[Aplicación]],6,2)</f>
        <v>07</v>
      </c>
      <c r="T677" s="35" t="str">
        <f>VLOOKUP(Tabla1[[#This Row],[AREA]],Hoja1!A:B,2,FALSE)</f>
        <v>07. Medio ambiente y desarrollo sostenible</v>
      </c>
      <c r="U677" s="35" t="str">
        <f>MID(Tabla1[[#This Row],[Aplicación]],9,4)</f>
        <v>1711</v>
      </c>
      <c r="V677" s="35" t="str">
        <f>VLOOKUP(Tabla1[[#This Row],[PROGRAMA]],Hoja1!A:B,2,FALSE)</f>
        <v>1711. Parques y jardines</v>
      </c>
      <c r="W677" s="35" t="str">
        <f>MID(Tabla1[[#This Row],[Aplicación]],14,2)</f>
        <v>21</v>
      </c>
      <c r="X677" s="35" t="str">
        <f>MID(Tabla1[[#This Row],[Aplicación]],14,6)</f>
        <v>214</v>
      </c>
    </row>
    <row r="678" spans="1:24" x14ac:dyDescent="0.25">
      <c r="A678" s="49">
        <v>220220005677</v>
      </c>
      <c r="B678" s="50" t="s">
        <v>172</v>
      </c>
      <c r="C678" s="57">
        <v>44614</v>
      </c>
      <c r="D678" s="49">
        <v>22022001453</v>
      </c>
      <c r="E678" s="50" t="s">
        <v>1608</v>
      </c>
      <c r="F678" s="58">
        <v>1203.57</v>
      </c>
      <c r="G678" s="50" t="s">
        <v>1003</v>
      </c>
      <c r="H678" s="50" t="s">
        <v>2126</v>
      </c>
      <c r="I678" s="49" t="s">
        <v>173</v>
      </c>
      <c r="J678" s="50" t="s">
        <v>109</v>
      </c>
      <c r="K678" s="50" t="s">
        <v>109</v>
      </c>
      <c r="L678" s="50" t="s">
        <v>12</v>
      </c>
      <c r="M678" s="50" t="s">
        <v>13</v>
      </c>
      <c r="N678" s="50" t="s">
        <v>14</v>
      </c>
      <c r="O678" s="48" t="s">
        <v>631</v>
      </c>
      <c r="P678" s="45" t="s">
        <v>453</v>
      </c>
      <c r="Q678" s="35" t="str">
        <f>MID(Tabla1[[#This Row],[Aplicación]],14,1)</f>
        <v>2</v>
      </c>
      <c r="R678" s="35" t="s">
        <v>441</v>
      </c>
      <c r="S678" s="35" t="str">
        <f>MID(Tabla1[[#This Row],[Aplicación]],6,2)</f>
        <v>11</v>
      </c>
      <c r="T678" s="35" t="str">
        <f>VLOOKUP(Tabla1[[#This Row],[AREA]],Hoja1!A:B,2,FALSE)</f>
        <v>11. Salud pública y seguridad ciudadana</v>
      </c>
      <c r="U678" s="35" t="str">
        <f>MID(Tabla1[[#This Row],[Aplicación]],9,4)</f>
        <v>1321</v>
      </c>
      <c r="V678" s="35" t="str">
        <f>VLOOKUP(Tabla1[[#This Row],[PROGRAMA]],Hoja1!A:B,2,FALSE)</f>
        <v>1321. Policía municipal</v>
      </c>
      <c r="W678" s="35" t="str">
        <f>MID(Tabla1[[#This Row],[Aplicación]],14,2)</f>
        <v>21</v>
      </c>
      <c r="X678" s="35" t="str">
        <f>MID(Tabla1[[#This Row],[Aplicación]],14,6)</f>
        <v>214</v>
      </c>
    </row>
    <row r="679" spans="1:24" x14ac:dyDescent="0.25">
      <c r="A679" s="49">
        <v>220220005682</v>
      </c>
      <c r="B679" s="50" t="s">
        <v>172</v>
      </c>
      <c r="C679" s="57">
        <v>44614</v>
      </c>
      <c r="D679" s="49">
        <v>22022001453</v>
      </c>
      <c r="E679" s="50" t="s">
        <v>1608</v>
      </c>
      <c r="F679" s="58">
        <v>432.45</v>
      </c>
      <c r="G679" s="50" t="s">
        <v>1003</v>
      </c>
      <c r="H679" s="50" t="s">
        <v>2127</v>
      </c>
      <c r="I679" s="49" t="s">
        <v>173</v>
      </c>
      <c r="J679" s="50" t="s">
        <v>109</v>
      </c>
      <c r="K679" s="50" t="s">
        <v>109</v>
      </c>
      <c r="L679" s="50" t="s">
        <v>12</v>
      </c>
      <c r="M679" s="50" t="s">
        <v>13</v>
      </c>
      <c r="N679" s="50" t="s">
        <v>14</v>
      </c>
      <c r="O679" s="48" t="s">
        <v>631</v>
      </c>
      <c r="P679" s="45" t="s">
        <v>453</v>
      </c>
      <c r="Q679" s="35" t="str">
        <f>MID(Tabla1[[#This Row],[Aplicación]],14,1)</f>
        <v>2</v>
      </c>
      <c r="R679" s="35" t="s">
        <v>441</v>
      </c>
      <c r="S679" s="35" t="str">
        <f>MID(Tabla1[[#This Row],[Aplicación]],6,2)</f>
        <v>11</v>
      </c>
      <c r="T679" s="35" t="str">
        <f>VLOOKUP(Tabla1[[#This Row],[AREA]],Hoja1!A:B,2,FALSE)</f>
        <v>11. Salud pública y seguridad ciudadana</v>
      </c>
      <c r="U679" s="35" t="str">
        <f>MID(Tabla1[[#This Row],[Aplicación]],9,4)</f>
        <v>1321</v>
      </c>
      <c r="V679" s="35" t="str">
        <f>VLOOKUP(Tabla1[[#This Row],[PROGRAMA]],Hoja1!A:B,2,FALSE)</f>
        <v>1321. Policía municipal</v>
      </c>
      <c r="W679" s="35" t="str">
        <f>MID(Tabla1[[#This Row],[Aplicación]],14,2)</f>
        <v>21</v>
      </c>
      <c r="X679" s="35" t="str">
        <f>MID(Tabla1[[#This Row],[Aplicación]],14,6)</f>
        <v>214</v>
      </c>
    </row>
    <row r="680" spans="1:24" x14ac:dyDescent="0.25">
      <c r="A680" s="49">
        <v>220220006850</v>
      </c>
      <c r="B680" s="50" t="s">
        <v>172</v>
      </c>
      <c r="C680" s="57">
        <v>44622</v>
      </c>
      <c r="D680" s="49">
        <v>22022001637</v>
      </c>
      <c r="E680" s="50" t="s">
        <v>1922</v>
      </c>
      <c r="F680" s="58">
        <v>800.91</v>
      </c>
      <c r="G680" s="50" t="s">
        <v>1003</v>
      </c>
      <c r="H680" s="50" t="s">
        <v>2128</v>
      </c>
      <c r="I680" s="49" t="s">
        <v>173</v>
      </c>
      <c r="J680" s="50" t="s">
        <v>109</v>
      </c>
      <c r="K680" s="50" t="s">
        <v>109</v>
      </c>
      <c r="L680" s="50" t="s">
        <v>12</v>
      </c>
      <c r="M680" s="50" t="s">
        <v>13</v>
      </c>
      <c r="N680" s="50" t="s">
        <v>14</v>
      </c>
      <c r="O680" s="48" t="s">
        <v>631</v>
      </c>
      <c r="P680" s="45" t="s">
        <v>453</v>
      </c>
      <c r="Q680" s="35" t="str">
        <f>MID(Tabla1[[#This Row],[Aplicación]],14,1)</f>
        <v>2</v>
      </c>
      <c r="R680" s="35" t="s">
        <v>441</v>
      </c>
      <c r="S680" s="35" t="str">
        <f>MID(Tabla1[[#This Row],[Aplicación]],6,2)</f>
        <v>07</v>
      </c>
      <c r="T680" s="35" t="str">
        <f>VLOOKUP(Tabla1[[#This Row],[AREA]],Hoja1!A:B,2,FALSE)</f>
        <v>07. Medio ambiente y desarrollo sostenible</v>
      </c>
      <c r="U680" s="35" t="str">
        <f>MID(Tabla1[[#This Row],[Aplicación]],9,4)</f>
        <v>1711</v>
      </c>
      <c r="V680" s="35" t="str">
        <f>VLOOKUP(Tabla1[[#This Row],[PROGRAMA]],Hoja1!A:B,2,FALSE)</f>
        <v>1711. Parques y jardines</v>
      </c>
      <c r="W680" s="35" t="str">
        <f>MID(Tabla1[[#This Row],[Aplicación]],14,2)</f>
        <v>21</v>
      </c>
      <c r="X680" s="35" t="str">
        <f>MID(Tabla1[[#This Row],[Aplicación]],14,6)</f>
        <v>214</v>
      </c>
    </row>
    <row r="681" spans="1:24" x14ac:dyDescent="0.25">
      <c r="A681" s="49">
        <v>220220008661</v>
      </c>
      <c r="B681" s="50" t="s">
        <v>172</v>
      </c>
      <c r="C681" s="57">
        <v>44634</v>
      </c>
      <c r="D681" s="49">
        <v>22022001454</v>
      </c>
      <c r="E681" s="50" t="s">
        <v>1608</v>
      </c>
      <c r="F681" s="58">
        <v>254.49</v>
      </c>
      <c r="G681" s="50" t="s">
        <v>1003</v>
      </c>
      <c r="H681" s="50" t="s">
        <v>1317</v>
      </c>
      <c r="I681" s="49" t="s">
        <v>173</v>
      </c>
      <c r="J681" s="50" t="s">
        <v>109</v>
      </c>
      <c r="K681" s="50" t="s">
        <v>109</v>
      </c>
      <c r="L681" s="50" t="s">
        <v>12</v>
      </c>
      <c r="M681" s="50" t="s">
        <v>13</v>
      </c>
      <c r="N681" s="50" t="s">
        <v>14</v>
      </c>
      <c r="O681" s="48" t="s">
        <v>631</v>
      </c>
      <c r="P681" s="45" t="s">
        <v>453</v>
      </c>
      <c r="Q681" s="35" t="str">
        <f>MID(Tabla1[[#This Row],[Aplicación]],14,1)</f>
        <v>2</v>
      </c>
      <c r="R681" s="35" t="s">
        <v>441</v>
      </c>
      <c r="S681" s="35" t="str">
        <f>MID(Tabla1[[#This Row],[Aplicación]],6,2)</f>
        <v>11</v>
      </c>
      <c r="T681" s="35" t="str">
        <f>VLOOKUP(Tabla1[[#This Row],[AREA]],Hoja1!A:B,2,FALSE)</f>
        <v>11. Salud pública y seguridad ciudadana</v>
      </c>
      <c r="U681" s="35" t="str">
        <f>MID(Tabla1[[#This Row],[Aplicación]],9,4)</f>
        <v>1321</v>
      </c>
      <c r="V681" s="35" t="str">
        <f>VLOOKUP(Tabla1[[#This Row],[PROGRAMA]],Hoja1!A:B,2,FALSE)</f>
        <v>1321. Policía municipal</v>
      </c>
      <c r="W681" s="35" t="str">
        <f>MID(Tabla1[[#This Row],[Aplicación]],14,2)</f>
        <v>21</v>
      </c>
      <c r="X681" s="35" t="str">
        <f>MID(Tabla1[[#This Row],[Aplicación]],14,6)</f>
        <v>214</v>
      </c>
    </row>
    <row r="682" spans="1:24" x14ac:dyDescent="0.25">
      <c r="A682" s="49">
        <v>220220009446</v>
      </c>
      <c r="B682" s="50" t="s">
        <v>172</v>
      </c>
      <c r="C682" s="57">
        <v>44636</v>
      </c>
      <c r="D682" s="49">
        <v>22022001637</v>
      </c>
      <c r="E682" s="50" t="s">
        <v>1922</v>
      </c>
      <c r="F682" s="58">
        <v>183.92</v>
      </c>
      <c r="G682" s="50" t="s">
        <v>1003</v>
      </c>
      <c r="H682" s="50" t="s">
        <v>2123</v>
      </c>
      <c r="I682" s="49" t="s">
        <v>173</v>
      </c>
      <c r="J682" s="50" t="s">
        <v>109</v>
      </c>
      <c r="K682" s="50" t="s">
        <v>109</v>
      </c>
      <c r="L682" s="50" t="s">
        <v>12</v>
      </c>
      <c r="M682" s="50" t="s">
        <v>13</v>
      </c>
      <c r="N682" s="50" t="s">
        <v>14</v>
      </c>
      <c r="O682" s="48" t="s">
        <v>631</v>
      </c>
      <c r="P682" s="45" t="s">
        <v>453</v>
      </c>
      <c r="Q682" s="35" t="str">
        <f>MID(Tabla1[[#This Row],[Aplicación]],14,1)</f>
        <v>2</v>
      </c>
      <c r="R682" s="35" t="s">
        <v>441</v>
      </c>
      <c r="S682" s="35" t="str">
        <f>MID(Tabla1[[#This Row],[Aplicación]],6,2)</f>
        <v>07</v>
      </c>
      <c r="T682" s="35" t="str">
        <f>VLOOKUP(Tabla1[[#This Row],[AREA]],Hoja1!A:B,2,FALSE)</f>
        <v>07. Medio ambiente y desarrollo sostenible</v>
      </c>
      <c r="U682" s="35" t="str">
        <f>MID(Tabla1[[#This Row],[Aplicación]],9,4)</f>
        <v>1711</v>
      </c>
      <c r="V682" s="35" t="str">
        <f>VLOOKUP(Tabla1[[#This Row],[PROGRAMA]],Hoja1!A:B,2,FALSE)</f>
        <v>1711. Parques y jardines</v>
      </c>
      <c r="W682" s="35" t="str">
        <f>MID(Tabla1[[#This Row],[Aplicación]],14,2)</f>
        <v>21</v>
      </c>
      <c r="X682" s="35" t="str">
        <f>MID(Tabla1[[#This Row],[Aplicación]],14,6)</f>
        <v>214</v>
      </c>
    </row>
    <row r="683" spans="1:24" x14ac:dyDescent="0.25">
      <c r="A683" s="49">
        <v>220220012531</v>
      </c>
      <c r="B683" s="50" t="s">
        <v>172</v>
      </c>
      <c r="C683" s="57">
        <v>44644</v>
      </c>
      <c r="D683" s="49">
        <v>22022001453</v>
      </c>
      <c r="E683" s="50" t="s">
        <v>1608</v>
      </c>
      <c r="F683" s="58">
        <v>376.07</v>
      </c>
      <c r="G683" s="50" t="s">
        <v>1003</v>
      </c>
      <c r="H683" s="50" t="s">
        <v>1317</v>
      </c>
      <c r="I683" s="49" t="s">
        <v>173</v>
      </c>
      <c r="J683" s="50" t="s">
        <v>109</v>
      </c>
      <c r="K683" s="50" t="s">
        <v>109</v>
      </c>
      <c r="L683" s="50" t="s">
        <v>12</v>
      </c>
      <c r="M683" s="50" t="s">
        <v>13</v>
      </c>
      <c r="N683" s="50" t="s">
        <v>14</v>
      </c>
      <c r="O683" s="48" t="s">
        <v>631</v>
      </c>
      <c r="P683" s="45" t="s">
        <v>453</v>
      </c>
      <c r="Q683" s="35" t="str">
        <f>MID(Tabla1[[#This Row],[Aplicación]],14,1)</f>
        <v>2</v>
      </c>
      <c r="R683" s="35" t="s">
        <v>441</v>
      </c>
      <c r="S683" s="35" t="str">
        <f>MID(Tabla1[[#This Row],[Aplicación]],6,2)</f>
        <v>11</v>
      </c>
      <c r="T683" s="35" t="str">
        <f>VLOOKUP(Tabla1[[#This Row],[AREA]],Hoja1!A:B,2,FALSE)</f>
        <v>11. Salud pública y seguridad ciudadana</v>
      </c>
      <c r="U683" s="35" t="str">
        <f>MID(Tabla1[[#This Row],[Aplicación]],9,4)</f>
        <v>1321</v>
      </c>
      <c r="V683" s="35" t="str">
        <f>VLOOKUP(Tabla1[[#This Row],[PROGRAMA]],Hoja1!A:B,2,FALSE)</f>
        <v>1321. Policía municipal</v>
      </c>
      <c r="W683" s="35" t="str">
        <f>MID(Tabla1[[#This Row],[Aplicación]],14,2)</f>
        <v>21</v>
      </c>
      <c r="X683" s="35" t="str">
        <f>MID(Tabla1[[#This Row],[Aplicación]],14,6)</f>
        <v>214</v>
      </c>
    </row>
    <row r="684" spans="1:24" x14ac:dyDescent="0.25">
      <c r="A684" s="49">
        <v>220220005645</v>
      </c>
      <c r="B684" s="50" t="s">
        <v>172</v>
      </c>
      <c r="C684" s="57">
        <v>44614</v>
      </c>
      <c r="D684" s="49">
        <v>22022001178</v>
      </c>
      <c r="E684" s="50" t="s">
        <v>1653</v>
      </c>
      <c r="F684" s="58">
        <v>124.17</v>
      </c>
      <c r="G684" s="50" t="s">
        <v>85</v>
      </c>
      <c r="H684" s="50" t="s">
        <v>2129</v>
      </c>
      <c r="I684" s="49" t="s">
        <v>173</v>
      </c>
      <c r="J684" s="50" t="s">
        <v>109</v>
      </c>
      <c r="K684" s="50" t="s">
        <v>109</v>
      </c>
      <c r="L684" s="50" t="s">
        <v>15</v>
      </c>
      <c r="M684" s="50" t="s">
        <v>13</v>
      </c>
      <c r="N684" s="50" t="s">
        <v>14</v>
      </c>
      <c r="O684" s="48" t="s">
        <v>631</v>
      </c>
      <c r="P684" s="45" t="s">
        <v>453</v>
      </c>
      <c r="Q684" s="35" t="str">
        <f>MID(Tabla1[[#This Row],[Aplicación]],14,1)</f>
        <v>2</v>
      </c>
      <c r="R684" s="35" t="s">
        <v>441</v>
      </c>
      <c r="S684" s="35" t="str">
        <f>MID(Tabla1[[#This Row],[Aplicación]],6,2)</f>
        <v>10</v>
      </c>
      <c r="T684" s="35" t="str">
        <f>VLOOKUP(Tabla1[[#This Row],[AREA]],Hoja1!A:B,2,FALSE)</f>
        <v>10. Servicios sociales y mediación comunitaria</v>
      </c>
      <c r="U684" s="35" t="str">
        <f>MID(Tabla1[[#This Row],[Aplicación]],9,4)</f>
        <v>2311</v>
      </c>
      <c r="V684" s="35" t="str">
        <f>VLOOKUP(Tabla1[[#This Row],[PROGRAMA]],Hoja1!A:B,2,FALSE)</f>
        <v>2311. Intervención social</v>
      </c>
      <c r="W684" s="35" t="str">
        <f>MID(Tabla1[[#This Row],[Aplicación]],14,2)</f>
        <v>21</v>
      </c>
      <c r="X684" s="35" t="str">
        <f>MID(Tabla1[[#This Row],[Aplicación]],14,6)</f>
        <v>212</v>
      </c>
    </row>
    <row r="685" spans="1:24" x14ac:dyDescent="0.25">
      <c r="A685" s="49">
        <v>220220008751</v>
      </c>
      <c r="B685" s="50" t="s">
        <v>172</v>
      </c>
      <c r="C685" s="57">
        <v>44634</v>
      </c>
      <c r="D685" s="49">
        <v>22022001628</v>
      </c>
      <c r="E685" s="50" t="s">
        <v>1742</v>
      </c>
      <c r="F685" s="58">
        <v>111.21</v>
      </c>
      <c r="G685" s="50" t="s">
        <v>85</v>
      </c>
      <c r="H685" s="50" t="s">
        <v>2130</v>
      </c>
      <c r="I685" s="49" t="s">
        <v>173</v>
      </c>
      <c r="J685" s="50" t="s">
        <v>109</v>
      </c>
      <c r="K685" s="50" t="s">
        <v>109</v>
      </c>
      <c r="L685" s="50" t="s">
        <v>15</v>
      </c>
      <c r="M685" s="50" t="s">
        <v>13</v>
      </c>
      <c r="N685" s="50" t="s">
        <v>16</v>
      </c>
      <c r="O685" s="48" t="s">
        <v>631</v>
      </c>
      <c r="P685" s="45" t="s">
        <v>453</v>
      </c>
      <c r="Q685" s="35" t="str">
        <f>MID(Tabla1[[#This Row],[Aplicación]],14,1)</f>
        <v>2</v>
      </c>
      <c r="R685" s="35" t="s">
        <v>441</v>
      </c>
      <c r="S685" s="35" t="str">
        <f>MID(Tabla1[[#This Row],[Aplicación]],6,2)</f>
        <v>03</v>
      </c>
      <c r="T685" s="35" t="str">
        <f>VLOOKUP(Tabla1[[#This Row],[AREA]],Hoja1!A:B,2,FALSE)</f>
        <v>03. Participación ciudadana y deportes</v>
      </c>
      <c r="U685" s="35" t="str">
        <f>MID(Tabla1[[#This Row],[Aplicación]],9,4)</f>
        <v>9241</v>
      </c>
      <c r="V685" s="35" t="str">
        <f>VLOOKUP(Tabla1[[#This Row],[PROGRAMA]],Hoja1!A:B,2,FALSE)</f>
        <v>9241. Participación ciudadana</v>
      </c>
      <c r="W685" s="35" t="str">
        <f>MID(Tabla1[[#This Row],[Aplicación]],14,2)</f>
        <v>21</v>
      </c>
      <c r="X685" s="35" t="str">
        <f>MID(Tabla1[[#This Row],[Aplicación]],14,6)</f>
        <v>213</v>
      </c>
    </row>
    <row r="686" spans="1:24" x14ac:dyDescent="0.25">
      <c r="A686" s="49">
        <v>220220012870</v>
      </c>
      <c r="B686" s="50" t="s">
        <v>9</v>
      </c>
      <c r="C686" s="57">
        <v>44645</v>
      </c>
      <c r="D686" s="49">
        <v>22022002035</v>
      </c>
      <c r="E686" s="50" t="s">
        <v>1676</v>
      </c>
      <c r="F686" s="58">
        <v>14636.16</v>
      </c>
      <c r="G686" s="50" t="s">
        <v>169</v>
      </c>
      <c r="H686" s="50" t="s">
        <v>2131</v>
      </c>
      <c r="I686" s="49" t="s">
        <v>107</v>
      </c>
      <c r="J686" s="50" t="s">
        <v>544</v>
      </c>
      <c r="K686" s="50" t="s">
        <v>109</v>
      </c>
      <c r="L686" s="50" t="s">
        <v>15</v>
      </c>
      <c r="M686" s="50" t="s">
        <v>10</v>
      </c>
      <c r="N686" s="50" t="s">
        <v>11</v>
      </c>
      <c r="O686" s="48" t="s">
        <v>632</v>
      </c>
      <c r="P686" s="45" t="s">
        <v>453</v>
      </c>
      <c r="Q686" s="35" t="str">
        <f>MID(Tabla1[[#This Row],[Aplicación]],14,1)</f>
        <v>6</v>
      </c>
      <c r="R686" s="35" t="s">
        <v>442</v>
      </c>
      <c r="S686" s="35" t="str">
        <f>MID(Tabla1[[#This Row],[Aplicación]],6,2)</f>
        <v>04</v>
      </c>
      <c r="T686" s="35" t="str">
        <f>VLOOKUP(Tabla1[[#This Row],[AREA]],Hoja1!A:B,2,FALSE)</f>
        <v>04. Planificación y recursos</v>
      </c>
      <c r="U686" s="35" t="str">
        <f>MID(Tabla1[[#This Row],[Aplicación]],9,4)</f>
        <v>9204</v>
      </c>
      <c r="V686" s="35" t="str">
        <f>VLOOKUP(Tabla1[[#This Row],[PROGRAMA]],Hoja1!A:B,2,FALSE)</f>
        <v>9204. Tecnologías de la información y comunicación</v>
      </c>
      <c r="W686" s="35" t="str">
        <f>MID(Tabla1[[#This Row],[Aplicación]],14,2)</f>
        <v>64</v>
      </c>
      <c r="X686" s="35" t="str">
        <f>MID(Tabla1[[#This Row],[Aplicación]],14,6)</f>
        <v>641</v>
      </c>
    </row>
    <row r="687" spans="1:24" x14ac:dyDescent="0.25">
      <c r="A687" s="49">
        <v>220220010021</v>
      </c>
      <c r="B687" s="50" t="s">
        <v>172</v>
      </c>
      <c r="C687" s="57">
        <v>44638</v>
      </c>
      <c r="D687" s="49">
        <v>22022001177</v>
      </c>
      <c r="E687" s="50" t="s">
        <v>1653</v>
      </c>
      <c r="F687" s="58">
        <v>107.24</v>
      </c>
      <c r="G687" s="50" t="s">
        <v>85</v>
      </c>
      <c r="H687" s="50" t="s">
        <v>2132</v>
      </c>
      <c r="I687" s="49" t="s">
        <v>173</v>
      </c>
      <c r="J687" s="50" t="s">
        <v>109</v>
      </c>
      <c r="K687" s="50" t="s">
        <v>109</v>
      </c>
      <c r="L687" s="50" t="s">
        <v>15</v>
      </c>
      <c r="M687" s="50" t="s">
        <v>13</v>
      </c>
      <c r="N687" s="50" t="s">
        <v>14</v>
      </c>
      <c r="O687" s="48" t="s">
        <v>631</v>
      </c>
      <c r="P687" s="45" t="s">
        <v>453</v>
      </c>
      <c r="Q687" s="35" t="str">
        <f>MID(Tabla1[[#This Row],[Aplicación]],14,1)</f>
        <v>2</v>
      </c>
      <c r="R687" s="35" t="s">
        <v>441</v>
      </c>
      <c r="S687" s="35" t="str">
        <f>MID(Tabla1[[#This Row],[Aplicación]],6,2)</f>
        <v>10</v>
      </c>
      <c r="T687" s="35" t="str">
        <f>VLOOKUP(Tabla1[[#This Row],[AREA]],Hoja1!A:B,2,FALSE)</f>
        <v>10. Servicios sociales y mediación comunitaria</v>
      </c>
      <c r="U687" s="35" t="str">
        <f>MID(Tabla1[[#This Row],[Aplicación]],9,4)</f>
        <v>2311</v>
      </c>
      <c r="V687" s="35" t="str">
        <f>VLOOKUP(Tabla1[[#This Row],[PROGRAMA]],Hoja1!A:B,2,FALSE)</f>
        <v>2311. Intervención social</v>
      </c>
      <c r="W687" s="35" t="str">
        <f>MID(Tabla1[[#This Row],[Aplicación]],14,2)</f>
        <v>21</v>
      </c>
      <c r="X687" s="35" t="str">
        <f>MID(Tabla1[[#This Row],[Aplicación]],14,6)</f>
        <v>212</v>
      </c>
    </row>
    <row r="688" spans="1:24" x14ac:dyDescent="0.25">
      <c r="A688" s="49">
        <v>220220004147</v>
      </c>
      <c r="B688" s="50" t="s">
        <v>172</v>
      </c>
      <c r="C688" s="57">
        <v>44610</v>
      </c>
      <c r="D688" s="49">
        <v>22022001455</v>
      </c>
      <c r="E688" s="50" t="s">
        <v>1471</v>
      </c>
      <c r="F688" s="58">
        <v>104.01</v>
      </c>
      <c r="G688" s="50" t="s">
        <v>85</v>
      </c>
      <c r="H688" s="50" t="s">
        <v>2133</v>
      </c>
      <c r="I688" s="49" t="s">
        <v>173</v>
      </c>
      <c r="J688" s="50" t="s">
        <v>109</v>
      </c>
      <c r="K688" s="50" t="s">
        <v>109</v>
      </c>
      <c r="L688" s="50" t="s">
        <v>15</v>
      </c>
      <c r="M688" s="50" t="s">
        <v>13</v>
      </c>
      <c r="N688" s="50" t="s">
        <v>14</v>
      </c>
      <c r="O688" s="48" t="s">
        <v>631</v>
      </c>
      <c r="P688" s="45" t="s">
        <v>453</v>
      </c>
      <c r="Q688" s="35" t="str">
        <f>MID(Tabla1[[#This Row],[Aplicación]],14,1)</f>
        <v>2</v>
      </c>
      <c r="R688" s="35" t="s">
        <v>441</v>
      </c>
      <c r="S688" s="35" t="str">
        <f>MID(Tabla1[[#This Row],[Aplicación]],6,2)</f>
        <v>11</v>
      </c>
      <c r="T688" s="35" t="str">
        <f>VLOOKUP(Tabla1[[#This Row],[AREA]],Hoja1!A:B,2,FALSE)</f>
        <v>11. Salud pública y seguridad ciudadana</v>
      </c>
      <c r="U688" s="35" t="str">
        <f>MID(Tabla1[[#This Row],[Aplicación]],9,4)</f>
        <v>1321</v>
      </c>
      <c r="V688" s="35" t="str">
        <f>VLOOKUP(Tabla1[[#This Row],[PROGRAMA]],Hoja1!A:B,2,FALSE)</f>
        <v>1321. Policía municipal</v>
      </c>
      <c r="W688" s="35" t="str">
        <f>MID(Tabla1[[#This Row],[Aplicación]],14,2)</f>
        <v>21</v>
      </c>
      <c r="X688" s="35" t="str">
        <f>MID(Tabla1[[#This Row],[Aplicación]],14,6)</f>
        <v>213</v>
      </c>
    </row>
    <row r="689" spans="1:24" x14ac:dyDescent="0.25">
      <c r="A689" s="49">
        <v>220220003150</v>
      </c>
      <c r="B689" s="50" t="s">
        <v>172</v>
      </c>
      <c r="C689" s="57">
        <v>44601</v>
      </c>
      <c r="D689" s="49">
        <v>22022001183</v>
      </c>
      <c r="E689" s="50" t="s">
        <v>2020</v>
      </c>
      <c r="F689" s="58">
        <v>96.6</v>
      </c>
      <c r="G689" s="50" t="s">
        <v>85</v>
      </c>
      <c r="H689" s="50" t="s">
        <v>2121</v>
      </c>
      <c r="I689" s="49" t="s">
        <v>173</v>
      </c>
      <c r="J689" s="50" t="s">
        <v>109</v>
      </c>
      <c r="K689" s="50" t="s">
        <v>109</v>
      </c>
      <c r="L689" s="50" t="s">
        <v>15</v>
      </c>
      <c r="M689" s="50" t="s">
        <v>13</v>
      </c>
      <c r="N689" s="50" t="s">
        <v>14</v>
      </c>
      <c r="O689" s="48" t="s">
        <v>631</v>
      </c>
      <c r="P689" s="45" t="s">
        <v>453</v>
      </c>
      <c r="Q689" s="35" t="str">
        <f>MID(Tabla1[[#This Row],[Aplicación]],14,1)</f>
        <v>2</v>
      </c>
      <c r="R689" s="35" t="s">
        <v>441</v>
      </c>
      <c r="S689" s="35" t="str">
        <f>MID(Tabla1[[#This Row],[Aplicación]],6,2)</f>
        <v>10</v>
      </c>
      <c r="T689" s="35" t="str">
        <f>VLOOKUP(Tabla1[[#This Row],[AREA]],Hoja1!A:B,2,FALSE)</f>
        <v>10. Servicios sociales y mediación comunitaria</v>
      </c>
      <c r="U689" s="35" t="str">
        <f>MID(Tabla1[[#This Row],[Aplicación]],9,4)</f>
        <v>2312</v>
      </c>
      <c r="V689" s="35" t="str">
        <f>VLOOKUP(Tabla1[[#This Row],[PROGRAMA]],Hoja1!A:B,2,FALSE)</f>
        <v>2312. Iniciativas sociales</v>
      </c>
      <c r="W689" s="35" t="str">
        <f>MID(Tabla1[[#This Row],[Aplicación]],14,2)</f>
        <v>21</v>
      </c>
      <c r="X689" s="35" t="str">
        <f>MID(Tabla1[[#This Row],[Aplicación]],14,6)</f>
        <v>212</v>
      </c>
    </row>
    <row r="690" spans="1:24" x14ac:dyDescent="0.25">
      <c r="A690" s="49">
        <v>220220003125</v>
      </c>
      <c r="B690" s="50" t="s">
        <v>172</v>
      </c>
      <c r="C690" s="57">
        <v>44601</v>
      </c>
      <c r="D690" s="49">
        <v>22022001178</v>
      </c>
      <c r="E690" s="50" t="s">
        <v>1653</v>
      </c>
      <c r="F690" s="58">
        <v>95.14</v>
      </c>
      <c r="G690" s="50" t="s">
        <v>85</v>
      </c>
      <c r="H690" s="50" t="s">
        <v>2134</v>
      </c>
      <c r="I690" s="49" t="s">
        <v>173</v>
      </c>
      <c r="J690" s="50" t="s">
        <v>109</v>
      </c>
      <c r="K690" s="50" t="s">
        <v>109</v>
      </c>
      <c r="L690" s="50" t="s">
        <v>15</v>
      </c>
      <c r="M690" s="50" t="s">
        <v>13</v>
      </c>
      <c r="N690" s="50" t="s">
        <v>14</v>
      </c>
      <c r="O690" s="48" t="s">
        <v>631</v>
      </c>
      <c r="P690" s="45" t="s">
        <v>453</v>
      </c>
      <c r="Q690" s="35" t="str">
        <f>MID(Tabla1[[#This Row],[Aplicación]],14,1)</f>
        <v>2</v>
      </c>
      <c r="R690" s="35" t="s">
        <v>441</v>
      </c>
      <c r="S690" s="35" t="str">
        <f>MID(Tabla1[[#This Row],[Aplicación]],6,2)</f>
        <v>10</v>
      </c>
      <c r="T690" s="35" t="str">
        <f>VLOOKUP(Tabla1[[#This Row],[AREA]],Hoja1!A:B,2,FALSE)</f>
        <v>10. Servicios sociales y mediación comunitaria</v>
      </c>
      <c r="U690" s="35" t="str">
        <f>MID(Tabla1[[#This Row],[Aplicación]],9,4)</f>
        <v>2311</v>
      </c>
      <c r="V690" s="35" t="str">
        <f>VLOOKUP(Tabla1[[#This Row],[PROGRAMA]],Hoja1!A:B,2,FALSE)</f>
        <v>2311. Intervención social</v>
      </c>
      <c r="W690" s="35" t="str">
        <f>MID(Tabla1[[#This Row],[Aplicación]],14,2)</f>
        <v>21</v>
      </c>
      <c r="X690" s="35" t="str">
        <f>MID(Tabla1[[#This Row],[Aplicación]],14,6)</f>
        <v>212</v>
      </c>
    </row>
    <row r="691" spans="1:24" x14ac:dyDescent="0.25">
      <c r="A691" s="49">
        <v>220210084922</v>
      </c>
      <c r="B691" s="50" t="s">
        <v>9</v>
      </c>
      <c r="C691" s="57">
        <v>44620</v>
      </c>
      <c r="D691" s="49">
        <v>22021004334</v>
      </c>
      <c r="E691" s="50" t="s">
        <v>1652</v>
      </c>
      <c r="F691" s="58">
        <v>286.88</v>
      </c>
      <c r="G691" s="50" t="s">
        <v>1313</v>
      </c>
      <c r="H691" s="50" t="s">
        <v>1315</v>
      </c>
      <c r="I691" s="49" t="s">
        <v>107</v>
      </c>
      <c r="J691" s="50" t="s">
        <v>171</v>
      </c>
      <c r="K691" s="50" t="s">
        <v>171</v>
      </c>
      <c r="L691" s="50" t="s">
        <v>12</v>
      </c>
      <c r="M691" s="50" t="s">
        <v>13</v>
      </c>
      <c r="N691" s="50" t="s">
        <v>14</v>
      </c>
      <c r="O691" s="48" t="s">
        <v>631</v>
      </c>
      <c r="P691" s="45" t="s">
        <v>453</v>
      </c>
      <c r="Q691" s="35" t="str">
        <f>MID(Tabla1[[#This Row],[Aplicación]],14,1)</f>
        <v>6</v>
      </c>
      <c r="R691" s="35" t="s">
        <v>442</v>
      </c>
      <c r="S691" s="35" t="str">
        <f>MID(Tabla1[[#This Row],[Aplicación]],6,2)</f>
        <v>09</v>
      </c>
      <c r="T691" s="35" t="str">
        <f>VLOOKUP(Tabla1[[#This Row],[AREA]],Hoja1!A:B,2,FALSE)</f>
        <v>09. Cultura y turismo</v>
      </c>
      <c r="U691" s="35" t="str">
        <f>MID(Tabla1[[#This Row],[Aplicación]],9,4)</f>
        <v>3341</v>
      </c>
      <c r="V691" s="35" t="str">
        <f>VLOOKUP(Tabla1[[#This Row],[PROGRAMA]],Hoja1!A:B,2,FALSE)</f>
        <v>3341. Coordinación de políticas culturales</v>
      </c>
      <c r="W691" s="35" t="str">
        <f>MID(Tabla1[[#This Row],[Aplicación]],14,2)</f>
        <v>63</v>
      </c>
      <c r="X691" s="35" t="str">
        <f>MID(Tabla1[[#This Row],[Aplicación]],14,6)</f>
        <v>632</v>
      </c>
    </row>
    <row r="692" spans="1:24" x14ac:dyDescent="0.25">
      <c r="A692" s="49">
        <v>220220008415</v>
      </c>
      <c r="B692" s="50" t="s">
        <v>172</v>
      </c>
      <c r="C692" s="57">
        <v>44631</v>
      </c>
      <c r="D692" s="49">
        <v>22022001636</v>
      </c>
      <c r="E692" s="50" t="s">
        <v>1853</v>
      </c>
      <c r="F692" s="58">
        <v>469.77</v>
      </c>
      <c r="G692" s="50" t="s">
        <v>474</v>
      </c>
      <c r="H692" s="50" t="s">
        <v>1109</v>
      </c>
      <c r="I692" s="49" t="s">
        <v>173</v>
      </c>
      <c r="J692" s="50" t="s">
        <v>134</v>
      </c>
      <c r="K692" s="50" t="s">
        <v>134</v>
      </c>
      <c r="L692" s="50" t="s">
        <v>12</v>
      </c>
      <c r="M692" s="50" t="s">
        <v>13</v>
      </c>
      <c r="N692" s="50" t="s">
        <v>14</v>
      </c>
      <c r="O692" s="48" t="s">
        <v>631</v>
      </c>
      <c r="P692" s="45" t="s">
        <v>453</v>
      </c>
      <c r="Q692" s="35" t="str">
        <f>MID(Tabla1[[#This Row],[Aplicación]],14,1)</f>
        <v>2</v>
      </c>
      <c r="R692" s="35" t="s">
        <v>441</v>
      </c>
      <c r="S692" s="35" t="str">
        <f>MID(Tabla1[[#This Row],[Aplicación]],6,2)</f>
        <v>07</v>
      </c>
      <c r="T692" s="35" t="str">
        <f>VLOOKUP(Tabla1[[#This Row],[AREA]],Hoja1!A:B,2,FALSE)</f>
        <v>07. Medio ambiente y desarrollo sostenible</v>
      </c>
      <c r="U692" s="35" t="str">
        <f>MID(Tabla1[[#This Row],[Aplicación]],9,4)</f>
        <v>1711</v>
      </c>
      <c r="V692" s="35" t="str">
        <f>VLOOKUP(Tabla1[[#This Row],[PROGRAMA]],Hoja1!A:B,2,FALSE)</f>
        <v>1711. Parques y jardines</v>
      </c>
      <c r="W692" s="35" t="str">
        <f>MID(Tabla1[[#This Row],[Aplicación]],14,2)</f>
        <v>21</v>
      </c>
      <c r="X692" s="35" t="str">
        <f>MID(Tabla1[[#This Row],[Aplicación]],14,6)</f>
        <v>213</v>
      </c>
    </row>
    <row r="693" spans="1:24" x14ac:dyDescent="0.25">
      <c r="A693" s="49">
        <v>220220003155</v>
      </c>
      <c r="B693" s="50" t="s">
        <v>172</v>
      </c>
      <c r="C693" s="57">
        <v>44601</v>
      </c>
      <c r="D693" s="49">
        <v>22022001184</v>
      </c>
      <c r="E693" s="50" t="s">
        <v>2020</v>
      </c>
      <c r="F693" s="58">
        <v>89.21</v>
      </c>
      <c r="G693" s="50" t="s">
        <v>85</v>
      </c>
      <c r="H693" s="50" t="s">
        <v>2135</v>
      </c>
      <c r="I693" s="49" t="s">
        <v>173</v>
      </c>
      <c r="J693" s="50" t="s">
        <v>109</v>
      </c>
      <c r="K693" s="50" t="s">
        <v>109</v>
      </c>
      <c r="L693" s="50" t="s">
        <v>15</v>
      </c>
      <c r="M693" s="50" t="s">
        <v>13</v>
      </c>
      <c r="N693" s="50" t="s">
        <v>14</v>
      </c>
      <c r="O693" s="48" t="s">
        <v>631</v>
      </c>
      <c r="P693" s="45" t="s">
        <v>453</v>
      </c>
      <c r="Q693" s="35" t="str">
        <f>MID(Tabla1[[#This Row],[Aplicación]],14,1)</f>
        <v>2</v>
      </c>
      <c r="R693" s="35" t="s">
        <v>441</v>
      </c>
      <c r="S693" s="35" t="str">
        <f>MID(Tabla1[[#This Row],[Aplicación]],6,2)</f>
        <v>10</v>
      </c>
      <c r="T693" s="35" t="str">
        <f>VLOOKUP(Tabla1[[#This Row],[AREA]],Hoja1!A:B,2,FALSE)</f>
        <v>10. Servicios sociales y mediación comunitaria</v>
      </c>
      <c r="U693" s="35" t="str">
        <f>MID(Tabla1[[#This Row],[Aplicación]],9,4)</f>
        <v>2312</v>
      </c>
      <c r="V693" s="35" t="str">
        <f>VLOOKUP(Tabla1[[#This Row],[PROGRAMA]],Hoja1!A:B,2,FALSE)</f>
        <v>2312. Iniciativas sociales</v>
      </c>
      <c r="W693" s="35" t="str">
        <f>MID(Tabla1[[#This Row],[Aplicación]],14,2)</f>
        <v>21</v>
      </c>
      <c r="X693" s="35" t="str">
        <f>MID(Tabla1[[#This Row],[Aplicación]],14,6)</f>
        <v>212</v>
      </c>
    </row>
    <row r="694" spans="1:24" x14ac:dyDescent="0.25">
      <c r="A694" s="49">
        <v>220219001113</v>
      </c>
      <c r="B694" s="50" t="s">
        <v>9</v>
      </c>
      <c r="C694" s="57">
        <v>44562</v>
      </c>
      <c r="D694" s="49">
        <v>22022001983</v>
      </c>
      <c r="E694" s="50" t="s">
        <v>1652</v>
      </c>
      <c r="F694" s="58">
        <v>219.75</v>
      </c>
      <c r="G694" s="50" t="s">
        <v>1313</v>
      </c>
      <c r="H694" s="50" t="s">
        <v>2136</v>
      </c>
      <c r="I694" s="49" t="s">
        <v>107</v>
      </c>
      <c r="J694" s="50" t="s">
        <v>171</v>
      </c>
      <c r="K694" s="50" t="s">
        <v>171</v>
      </c>
      <c r="L694" s="50" t="s">
        <v>12</v>
      </c>
      <c r="M694" s="50" t="s">
        <v>13</v>
      </c>
      <c r="N694" s="50" t="s">
        <v>14</v>
      </c>
      <c r="O694" s="48" t="s">
        <v>631</v>
      </c>
      <c r="P694" s="45" t="s">
        <v>453</v>
      </c>
      <c r="Q694" s="35" t="str">
        <f>MID(Tabla1[[#This Row],[Aplicación]],14,1)</f>
        <v>6</v>
      </c>
      <c r="R694" s="35" t="s">
        <v>442</v>
      </c>
      <c r="S694" s="35" t="str">
        <f>MID(Tabla1[[#This Row],[Aplicación]],6,2)</f>
        <v>09</v>
      </c>
      <c r="T694" s="35" t="str">
        <f>VLOOKUP(Tabla1[[#This Row],[AREA]],Hoja1!A:B,2,FALSE)</f>
        <v>09. Cultura y turismo</v>
      </c>
      <c r="U694" s="35" t="str">
        <f>MID(Tabla1[[#This Row],[Aplicación]],9,4)</f>
        <v>3341</v>
      </c>
      <c r="V694" s="35" t="str">
        <f>VLOOKUP(Tabla1[[#This Row],[PROGRAMA]],Hoja1!A:B,2,FALSE)</f>
        <v>3341. Coordinación de políticas culturales</v>
      </c>
      <c r="W694" s="35" t="str">
        <f>MID(Tabla1[[#This Row],[Aplicación]],14,2)</f>
        <v>63</v>
      </c>
      <c r="X694" s="35" t="str">
        <f>MID(Tabla1[[#This Row],[Aplicación]],14,6)</f>
        <v>632</v>
      </c>
    </row>
    <row r="695" spans="1:24" x14ac:dyDescent="0.25">
      <c r="A695" s="49">
        <v>220220007923</v>
      </c>
      <c r="B695" s="50" t="s">
        <v>9</v>
      </c>
      <c r="C695" s="57">
        <v>44627</v>
      </c>
      <c r="D695" s="49">
        <v>22022002511</v>
      </c>
      <c r="E695" s="50" t="s">
        <v>1946</v>
      </c>
      <c r="F695" s="58">
        <v>29469.09</v>
      </c>
      <c r="G695" s="50" t="s">
        <v>498</v>
      </c>
      <c r="H695" s="50" t="s">
        <v>2137</v>
      </c>
      <c r="I695" s="49" t="s">
        <v>107</v>
      </c>
      <c r="J695" s="50" t="s">
        <v>109</v>
      </c>
      <c r="K695" s="50" t="s">
        <v>109</v>
      </c>
      <c r="L695" s="50" t="s">
        <v>25</v>
      </c>
      <c r="M695" s="50" t="s">
        <v>10</v>
      </c>
      <c r="N695" s="50" t="s">
        <v>11</v>
      </c>
      <c r="O695" s="48" t="s">
        <v>632</v>
      </c>
      <c r="P695" s="45" t="s">
        <v>453</v>
      </c>
      <c r="Q695" s="35" t="str">
        <f>MID(Tabla1[[#This Row],[Aplicación]],14,1)</f>
        <v>6</v>
      </c>
      <c r="R695" s="35" t="s">
        <v>442</v>
      </c>
      <c r="S695" s="35" t="str">
        <f>MID(Tabla1[[#This Row],[Aplicación]],6,2)</f>
        <v>06</v>
      </c>
      <c r="T695" s="35" t="str">
        <f>VLOOKUP(Tabla1[[#This Row],[AREA]],Hoja1!A:B,2,FALSE)</f>
        <v>06. Educación, infancia, juventud e igualdad</v>
      </c>
      <c r="U695" s="35" t="str">
        <f>MID(Tabla1[[#This Row],[Aplicación]],9,4)</f>
        <v>3232</v>
      </c>
      <c r="V695" s="35" t="str">
        <f>VLOOKUP(Tabla1[[#This Row],[PROGRAMA]],Hoja1!A:B,2,FALSE)</f>
        <v>3232. Conservación y mantenimiento centros educación infantil y primaria</v>
      </c>
      <c r="W695" s="35" t="str">
        <f>MID(Tabla1[[#This Row],[Aplicación]],14,2)</f>
        <v>63</v>
      </c>
      <c r="X695" s="35" t="str">
        <f>MID(Tabla1[[#This Row],[Aplicación]],14,6)</f>
        <v>632</v>
      </c>
    </row>
    <row r="696" spans="1:24" x14ac:dyDescent="0.25">
      <c r="A696" s="49">
        <v>220210077195</v>
      </c>
      <c r="B696" s="50" t="s">
        <v>9</v>
      </c>
      <c r="C696" s="57">
        <v>44620</v>
      </c>
      <c r="D696" s="49">
        <v>22021007317</v>
      </c>
      <c r="E696" s="50" t="s">
        <v>1410</v>
      </c>
      <c r="F696" s="58">
        <v>13530</v>
      </c>
      <c r="G696" s="50" t="s">
        <v>498</v>
      </c>
      <c r="H696" s="50" t="s">
        <v>1217</v>
      </c>
      <c r="I696" s="49" t="s">
        <v>107</v>
      </c>
      <c r="J696" s="50" t="s">
        <v>109</v>
      </c>
      <c r="K696" s="50" t="s">
        <v>109</v>
      </c>
      <c r="L696" s="50" t="s">
        <v>25</v>
      </c>
      <c r="M696" s="50" t="s">
        <v>10</v>
      </c>
      <c r="N696" s="50" t="s">
        <v>11</v>
      </c>
      <c r="O696" s="48" t="s">
        <v>632</v>
      </c>
      <c r="P696" s="45" t="s">
        <v>453</v>
      </c>
      <c r="Q696" s="35" t="str">
        <f>MID(Tabla1[[#This Row],[Aplicación]],14,1)</f>
        <v>6</v>
      </c>
      <c r="R696" s="35" t="s">
        <v>442</v>
      </c>
      <c r="S696" s="35" t="str">
        <f>MID(Tabla1[[#This Row],[Aplicación]],6,2)</f>
        <v>03</v>
      </c>
      <c r="T696" s="35" t="str">
        <f>VLOOKUP(Tabla1[[#This Row],[AREA]],Hoja1!A:B,2,FALSE)</f>
        <v>03. Participación ciudadana y deportes</v>
      </c>
      <c r="U696" s="35" t="str">
        <f>MID(Tabla1[[#This Row],[Aplicación]],9,4)</f>
        <v>9241</v>
      </c>
      <c r="V696" s="35" t="str">
        <f>VLOOKUP(Tabla1[[#This Row],[PROGRAMA]],Hoja1!A:B,2,FALSE)</f>
        <v>9241. Participación ciudadana</v>
      </c>
      <c r="W696" s="35" t="str">
        <f>MID(Tabla1[[#This Row],[Aplicación]],14,2)</f>
        <v>63</v>
      </c>
      <c r="X696" s="35" t="str">
        <f>MID(Tabla1[[#This Row],[Aplicación]],14,6)</f>
        <v>632</v>
      </c>
    </row>
    <row r="697" spans="1:24" x14ac:dyDescent="0.25">
      <c r="A697" s="49">
        <v>220220013438</v>
      </c>
      <c r="B697" s="50" t="s">
        <v>9</v>
      </c>
      <c r="C697" s="57">
        <v>44651</v>
      </c>
      <c r="D697" s="49">
        <v>22022003075</v>
      </c>
      <c r="E697" s="50" t="s">
        <v>1496</v>
      </c>
      <c r="F697" s="58">
        <v>711.31</v>
      </c>
      <c r="G697" s="50" t="s">
        <v>498</v>
      </c>
      <c r="H697" s="50" t="s">
        <v>2138</v>
      </c>
      <c r="I697" s="49" t="s">
        <v>107</v>
      </c>
      <c r="J697" s="50" t="s">
        <v>109</v>
      </c>
      <c r="K697" s="50" t="s">
        <v>109</v>
      </c>
      <c r="L697" s="50" t="s">
        <v>12</v>
      </c>
      <c r="M697" s="50" t="s">
        <v>10</v>
      </c>
      <c r="N697" s="50" t="s">
        <v>11</v>
      </c>
      <c r="O697" s="48" t="s">
        <v>632</v>
      </c>
      <c r="P697" s="45" t="s">
        <v>453</v>
      </c>
      <c r="Q697" s="35" t="str">
        <f>MID(Tabla1[[#This Row],[Aplicación]],14,1)</f>
        <v>2</v>
      </c>
      <c r="R697" s="35" t="s">
        <v>441</v>
      </c>
      <c r="S697" s="35" t="str">
        <f>MID(Tabla1[[#This Row],[Aplicación]],6,2)</f>
        <v>10</v>
      </c>
      <c r="T697" s="35" t="str">
        <f>VLOOKUP(Tabla1[[#This Row],[AREA]],Hoja1!A:B,2,FALSE)</f>
        <v>10. Servicios sociales y mediación comunitaria</v>
      </c>
      <c r="U697" s="35" t="str">
        <f>MID(Tabla1[[#This Row],[Aplicación]],9,4)</f>
        <v>2311</v>
      </c>
      <c r="V697" s="35" t="str">
        <f>VLOOKUP(Tabla1[[#This Row],[PROGRAMA]],Hoja1!A:B,2,FALSE)</f>
        <v>2311. Intervención social</v>
      </c>
      <c r="W697" s="35" t="str">
        <f>MID(Tabla1[[#This Row],[Aplicación]],14,2)</f>
        <v>21</v>
      </c>
      <c r="X697" s="35" t="str">
        <f>MID(Tabla1[[#This Row],[Aplicación]],14,6)</f>
        <v>213</v>
      </c>
    </row>
    <row r="698" spans="1:24" x14ac:dyDescent="0.25">
      <c r="A698" s="49">
        <v>220210083444</v>
      </c>
      <c r="B698" s="50" t="s">
        <v>9</v>
      </c>
      <c r="C698" s="57">
        <v>44620</v>
      </c>
      <c r="D698" s="49">
        <v>22021005576</v>
      </c>
      <c r="E698" s="50" t="s">
        <v>1789</v>
      </c>
      <c r="F698" s="58">
        <v>712.75</v>
      </c>
      <c r="G698" s="50" t="s">
        <v>498</v>
      </c>
      <c r="H698" s="50" t="s">
        <v>1318</v>
      </c>
      <c r="I698" s="49" t="s">
        <v>107</v>
      </c>
      <c r="J698" s="50" t="s">
        <v>109</v>
      </c>
      <c r="K698" s="50" t="s">
        <v>109</v>
      </c>
      <c r="L698" s="50" t="s">
        <v>25</v>
      </c>
      <c r="M698" s="50" t="s">
        <v>10</v>
      </c>
      <c r="N698" s="50" t="s">
        <v>11</v>
      </c>
      <c r="O698" s="48" t="s">
        <v>632</v>
      </c>
      <c r="P698" s="45" t="s">
        <v>453</v>
      </c>
      <c r="Q698" s="35" t="str">
        <f>MID(Tabla1[[#This Row],[Aplicación]],14,1)</f>
        <v>6</v>
      </c>
      <c r="R698" s="35" t="s">
        <v>442</v>
      </c>
      <c r="S698" s="35" t="str">
        <f>MID(Tabla1[[#This Row],[Aplicación]],6,2)</f>
        <v>10</v>
      </c>
      <c r="T698" s="35" t="str">
        <f>VLOOKUP(Tabla1[[#This Row],[AREA]],Hoja1!A:B,2,FALSE)</f>
        <v>10. Servicios sociales y mediación comunitaria</v>
      </c>
      <c r="U698" s="35" t="str">
        <f>MID(Tabla1[[#This Row],[Aplicación]],9,4)</f>
        <v>2311</v>
      </c>
      <c r="V698" s="35" t="str">
        <f>VLOOKUP(Tabla1[[#This Row],[PROGRAMA]],Hoja1!A:B,2,FALSE)</f>
        <v>2311. Intervención social</v>
      </c>
      <c r="W698" s="35" t="str">
        <f>MID(Tabla1[[#This Row],[Aplicación]],14,2)</f>
        <v>63</v>
      </c>
      <c r="X698" s="35" t="str">
        <f>MID(Tabla1[[#This Row],[Aplicación]],14,6)</f>
        <v>632</v>
      </c>
    </row>
    <row r="699" spans="1:24" x14ac:dyDescent="0.25">
      <c r="A699" s="49">
        <v>220220002406</v>
      </c>
      <c r="B699" s="50" t="s">
        <v>172</v>
      </c>
      <c r="C699" s="57">
        <v>44594</v>
      </c>
      <c r="D699" s="49">
        <v>22022001184</v>
      </c>
      <c r="E699" s="50" t="s">
        <v>2020</v>
      </c>
      <c r="F699" s="58">
        <v>86.27</v>
      </c>
      <c r="G699" s="50" t="s">
        <v>85</v>
      </c>
      <c r="H699" s="50" t="s">
        <v>2139</v>
      </c>
      <c r="I699" s="49" t="s">
        <v>173</v>
      </c>
      <c r="J699" s="50" t="s">
        <v>109</v>
      </c>
      <c r="K699" s="50" t="s">
        <v>109</v>
      </c>
      <c r="L699" s="50" t="s">
        <v>15</v>
      </c>
      <c r="M699" s="50" t="s">
        <v>13</v>
      </c>
      <c r="N699" s="50" t="s">
        <v>14</v>
      </c>
      <c r="O699" s="48" t="s">
        <v>631</v>
      </c>
      <c r="P699" s="45" t="s">
        <v>453</v>
      </c>
      <c r="Q699" s="35" t="str">
        <f>MID(Tabla1[[#This Row],[Aplicación]],14,1)</f>
        <v>2</v>
      </c>
      <c r="R699" s="35" t="s">
        <v>441</v>
      </c>
      <c r="S699" s="35" t="str">
        <f>MID(Tabla1[[#This Row],[Aplicación]],6,2)</f>
        <v>10</v>
      </c>
      <c r="T699" s="35" t="str">
        <f>VLOOKUP(Tabla1[[#This Row],[AREA]],Hoja1!A:B,2,FALSE)</f>
        <v>10. Servicios sociales y mediación comunitaria</v>
      </c>
      <c r="U699" s="35" t="str">
        <f>MID(Tabla1[[#This Row],[Aplicación]],9,4)</f>
        <v>2312</v>
      </c>
      <c r="V699" s="35" t="str">
        <f>VLOOKUP(Tabla1[[#This Row],[PROGRAMA]],Hoja1!A:B,2,FALSE)</f>
        <v>2312. Iniciativas sociales</v>
      </c>
      <c r="W699" s="35" t="str">
        <f>MID(Tabla1[[#This Row],[Aplicación]],14,2)</f>
        <v>21</v>
      </c>
      <c r="X699" s="35" t="str">
        <f>MID(Tabla1[[#This Row],[Aplicación]],14,6)</f>
        <v>212</v>
      </c>
    </row>
    <row r="700" spans="1:24" x14ac:dyDescent="0.25">
      <c r="A700" s="49">
        <v>220220009523</v>
      </c>
      <c r="B700" s="50" t="s">
        <v>172</v>
      </c>
      <c r="C700" s="57">
        <v>44636</v>
      </c>
      <c r="D700" s="49">
        <v>22022001449</v>
      </c>
      <c r="E700" s="50" t="s">
        <v>1890</v>
      </c>
      <c r="F700" s="58">
        <v>73.45</v>
      </c>
      <c r="G700" s="50" t="s">
        <v>85</v>
      </c>
      <c r="H700" s="50" t="s">
        <v>2140</v>
      </c>
      <c r="I700" s="49" t="s">
        <v>173</v>
      </c>
      <c r="J700" s="50" t="s">
        <v>109</v>
      </c>
      <c r="K700" s="50" t="s">
        <v>109</v>
      </c>
      <c r="L700" s="50" t="s">
        <v>15</v>
      </c>
      <c r="M700" s="50" t="s">
        <v>13</v>
      </c>
      <c r="N700" s="50" t="s">
        <v>14</v>
      </c>
      <c r="O700" s="48" t="s">
        <v>631</v>
      </c>
      <c r="P700" s="45" t="s">
        <v>453</v>
      </c>
      <c r="Q700" s="35" t="str">
        <f>MID(Tabla1[[#This Row],[Aplicación]],14,1)</f>
        <v>2</v>
      </c>
      <c r="R700" s="35" t="s">
        <v>441</v>
      </c>
      <c r="S700" s="35" t="str">
        <f>MID(Tabla1[[#This Row],[Aplicación]],6,2)</f>
        <v>02</v>
      </c>
      <c r="T700" s="35" t="str">
        <f>VLOOKUP(Tabla1[[#This Row],[AREA]],Hoja1!A:B,2,FALSE)</f>
        <v>02. Planeamiento urbanístico y vivienda</v>
      </c>
      <c r="U700" s="35" t="str">
        <f>MID(Tabla1[[#This Row],[Aplicación]],9,4)</f>
        <v>9332</v>
      </c>
      <c r="V700" s="35" t="str">
        <f>VLOOKUP(Tabla1[[#This Row],[PROGRAMA]],Hoja1!A:B,2,FALSE)</f>
        <v>9332. Mantenimiento de edificios e instalaciones municipales</v>
      </c>
      <c r="W700" s="35" t="str">
        <f>MID(Tabla1[[#This Row],[Aplicación]],14,2)</f>
        <v>21</v>
      </c>
      <c r="X700" s="35" t="str">
        <f>MID(Tabla1[[#This Row],[Aplicación]],14,6)</f>
        <v>212</v>
      </c>
    </row>
    <row r="701" spans="1:24" x14ac:dyDescent="0.25">
      <c r="A701" s="49">
        <v>220220000363</v>
      </c>
      <c r="B701" s="50" t="s">
        <v>9</v>
      </c>
      <c r="C701" s="57">
        <v>44585</v>
      </c>
      <c r="D701" s="49">
        <v>22022001517</v>
      </c>
      <c r="E701" s="50" t="s">
        <v>1549</v>
      </c>
      <c r="F701" s="58">
        <v>2057</v>
      </c>
      <c r="G701" s="50" t="s">
        <v>253</v>
      </c>
      <c r="H701" s="50" t="s">
        <v>1321</v>
      </c>
      <c r="I701" s="49" t="s">
        <v>107</v>
      </c>
      <c r="J701" s="50" t="s">
        <v>562</v>
      </c>
      <c r="K701" s="50" t="s">
        <v>109</v>
      </c>
      <c r="L701" s="50" t="s">
        <v>15</v>
      </c>
      <c r="M701" s="50" t="s">
        <v>10</v>
      </c>
      <c r="N701" s="50" t="s">
        <v>11</v>
      </c>
      <c r="O701" s="48" t="s">
        <v>632</v>
      </c>
      <c r="P701" s="45" t="s">
        <v>453</v>
      </c>
      <c r="Q701" s="35" t="str">
        <f>MID(Tabla1[[#This Row],[Aplicación]],14,1)</f>
        <v>2</v>
      </c>
      <c r="R701" s="35" t="s">
        <v>441</v>
      </c>
      <c r="S701" s="35" t="str">
        <f>MID(Tabla1[[#This Row],[Aplicación]],6,2)</f>
        <v>08</v>
      </c>
      <c r="T701" s="35" t="str">
        <f>VLOOKUP(Tabla1[[#This Row],[AREA]],Hoja1!A:B,2,FALSE)</f>
        <v>08. Movilidad y espacio urbano</v>
      </c>
      <c r="U701" s="35" t="str">
        <f>MID(Tabla1[[#This Row],[Aplicación]],9,4)</f>
        <v>1532</v>
      </c>
      <c r="V701" s="35" t="str">
        <f>VLOOKUP(Tabla1[[#This Row],[PROGRAMA]],Hoja1!A:B,2,FALSE)</f>
        <v>1532. Pavimentación vias públicas y otros servicios urbanísticos</v>
      </c>
      <c r="W701" s="35" t="str">
        <f>MID(Tabla1[[#This Row],[Aplicación]],14,2)</f>
        <v>20</v>
      </c>
      <c r="X701" s="35" t="str">
        <f>MID(Tabla1[[#This Row],[Aplicación]],14,6)</f>
        <v>203</v>
      </c>
    </row>
    <row r="702" spans="1:24" x14ac:dyDescent="0.25">
      <c r="A702" s="49">
        <v>220220007108</v>
      </c>
      <c r="B702" s="50" t="s">
        <v>9</v>
      </c>
      <c r="C702" s="57">
        <v>44623</v>
      </c>
      <c r="D702" s="49">
        <v>22022002557</v>
      </c>
      <c r="E702" s="50" t="s">
        <v>1719</v>
      </c>
      <c r="F702" s="58">
        <v>1815</v>
      </c>
      <c r="G702" s="50" t="s">
        <v>253</v>
      </c>
      <c r="H702" s="50" t="s">
        <v>2141</v>
      </c>
      <c r="I702" s="49" t="s">
        <v>107</v>
      </c>
      <c r="J702" s="50" t="s">
        <v>562</v>
      </c>
      <c r="K702" s="50" t="s">
        <v>109</v>
      </c>
      <c r="L702" s="50" t="s">
        <v>15</v>
      </c>
      <c r="M702" s="50" t="s">
        <v>10</v>
      </c>
      <c r="N702" s="50" t="s">
        <v>11</v>
      </c>
      <c r="O702" s="48" t="s">
        <v>632</v>
      </c>
      <c r="P702" s="45" t="s">
        <v>453</v>
      </c>
      <c r="Q702" s="35" t="str">
        <f>MID(Tabla1[[#This Row],[Aplicación]],14,1)</f>
        <v>2</v>
      </c>
      <c r="R702" s="35" t="s">
        <v>441</v>
      </c>
      <c r="S702" s="35" t="str">
        <f>MID(Tabla1[[#This Row],[Aplicación]],6,2)</f>
        <v>06</v>
      </c>
      <c r="T702" s="35" t="str">
        <f>VLOOKUP(Tabla1[[#This Row],[AREA]],Hoja1!A:B,2,FALSE)</f>
        <v>06. Educación, infancia, juventud e igualdad</v>
      </c>
      <c r="U702" s="35" t="str">
        <f>MID(Tabla1[[#This Row],[Aplicación]],9,4)</f>
        <v>3231</v>
      </c>
      <c r="V702" s="35" t="str">
        <f>VLOOKUP(Tabla1[[#This Row],[PROGRAMA]],Hoja1!A:B,2,FALSE)</f>
        <v>3231. Escuelas infantiles</v>
      </c>
      <c r="W702" s="35" t="str">
        <f>MID(Tabla1[[#This Row],[Aplicación]],14,2)</f>
        <v>21</v>
      </c>
      <c r="X702" s="35" t="str">
        <f>MID(Tabla1[[#This Row],[Aplicación]],14,6)</f>
        <v>212</v>
      </c>
    </row>
    <row r="703" spans="1:24" x14ac:dyDescent="0.25">
      <c r="A703" s="49">
        <v>220220008289</v>
      </c>
      <c r="B703" s="50" t="s">
        <v>9</v>
      </c>
      <c r="C703" s="57">
        <v>44630</v>
      </c>
      <c r="D703" s="49">
        <v>22022002738</v>
      </c>
      <c r="E703" s="50" t="s">
        <v>1717</v>
      </c>
      <c r="F703" s="58">
        <v>565.4</v>
      </c>
      <c r="G703" s="50" t="s">
        <v>253</v>
      </c>
      <c r="H703" s="50" t="s">
        <v>2142</v>
      </c>
      <c r="I703" s="49" t="s">
        <v>107</v>
      </c>
      <c r="J703" s="50" t="s">
        <v>562</v>
      </c>
      <c r="K703" s="50" t="s">
        <v>109</v>
      </c>
      <c r="L703" s="50" t="s">
        <v>15</v>
      </c>
      <c r="M703" s="50" t="s">
        <v>10</v>
      </c>
      <c r="N703" s="50" t="s">
        <v>11</v>
      </c>
      <c r="O703" s="48" t="s">
        <v>632</v>
      </c>
      <c r="P703" s="45" t="s">
        <v>453</v>
      </c>
      <c r="Q703" s="35" t="str">
        <f>MID(Tabla1[[#This Row],[Aplicación]],14,1)</f>
        <v>2</v>
      </c>
      <c r="R703" s="35" t="s">
        <v>441</v>
      </c>
      <c r="S703" s="35" t="str">
        <f>MID(Tabla1[[#This Row],[Aplicación]],6,2)</f>
        <v>11</v>
      </c>
      <c r="T703" s="35" t="str">
        <f>VLOOKUP(Tabla1[[#This Row],[AREA]],Hoja1!A:B,2,FALSE)</f>
        <v>11. Salud pública y seguridad ciudadana</v>
      </c>
      <c r="U703" s="35" t="str">
        <f>MID(Tabla1[[#This Row],[Aplicación]],9,4)</f>
        <v>3111</v>
      </c>
      <c r="V703" s="35" t="str">
        <f>VLOOKUP(Tabla1[[#This Row],[PROGRAMA]],Hoja1!A:B,2,FALSE)</f>
        <v>3111. Protección de la salubridad pública</v>
      </c>
      <c r="W703" s="35" t="str">
        <f>MID(Tabla1[[#This Row],[Aplicación]],14,2)</f>
        <v>22</v>
      </c>
      <c r="X703" s="35" t="str">
        <f>MID(Tabla1[[#This Row],[Aplicación]],14,6)</f>
        <v>22699</v>
      </c>
    </row>
    <row r="704" spans="1:24" x14ac:dyDescent="0.25">
      <c r="A704" s="49">
        <v>220220008634</v>
      </c>
      <c r="B704" s="50" t="s">
        <v>9</v>
      </c>
      <c r="C704" s="57">
        <v>44631</v>
      </c>
      <c r="D704" s="49">
        <v>22022002740</v>
      </c>
      <c r="E704" s="50" t="s">
        <v>1765</v>
      </c>
      <c r="F704" s="58">
        <v>104.5</v>
      </c>
      <c r="G704" s="50" t="s">
        <v>253</v>
      </c>
      <c r="H704" s="50" t="s">
        <v>2143</v>
      </c>
      <c r="I704" s="49" t="s">
        <v>107</v>
      </c>
      <c r="J704" s="50" t="s">
        <v>562</v>
      </c>
      <c r="K704" s="50" t="s">
        <v>109</v>
      </c>
      <c r="L704" s="50" t="s">
        <v>12</v>
      </c>
      <c r="M704" s="50" t="s">
        <v>10</v>
      </c>
      <c r="N704" s="50" t="s">
        <v>11</v>
      </c>
      <c r="O704" s="48" t="s">
        <v>632</v>
      </c>
      <c r="P704" s="45" t="s">
        <v>453</v>
      </c>
      <c r="Q704" s="35" t="str">
        <f>MID(Tabla1[[#This Row],[Aplicación]],14,1)</f>
        <v>2</v>
      </c>
      <c r="R704" s="35" t="s">
        <v>441</v>
      </c>
      <c r="S704" s="35" t="str">
        <f>MID(Tabla1[[#This Row],[Aplicación]],6,2)</f>
        <v>11</v>
      </c>
      <c r="T704" s="35" t="str">
        <f>VLOOKUP(Tabla1[[#This Row],[AREA]],Hoja1!A:B,2,FALSE)</f>
        <v>11. Salud pública y seguridad ciudadana</v>
      </c>
      <c r="U704" s="35" t="str">
        <f>MID(Tabla1[[#This Row],[Aplicación]],9,4)</f>
        <v>1321</v>
      </c>
      <c r="V704" s="35" t="str">
        <f>VLOOKUP(Tabla1[[#This Row],[PROGRAMA]],Hoja1!A:B,2,FALSE)</f>
        <v>1321. Policía municipal</v>
      </c>
      <c r="W704" s="35" t="str">
        <f>MID(Tabla1[[#This Row],[Aplicación]],14,2)</f>
        <v>22</v>
      </c>
      <c r="X704" s="35" t="str">
        <f>MID(Tabla1[[#This Row],[Aplicación]],14,6)</f>
        <v>22699</v>
      </c>
    </row>
    <row r="705" spans="1:24" x14ac:dyDescent="0.25">
      <c r="A705" s="49">
        <v>220220008286</v>
      </c>
      <c r="B705" s="50" t="s">
        <v>9</v>
      </c>
      <c r="C705" s="57">
        <v>44630</v>
      </c>
      <c r="D705" s="49">
        <v>22022002725</v>
      </c>
      <c r="E705" s="50" t="s">
        <v>2144</v>
      </c>
      <c r="F705" s="58">
        <v>965</v>
      </c>
      <c r="G705" s="50" t="s">
        <v>92</v>
      </c>
      <c r="H705" s="50" t="s">
        <v>2145</v>
      </c>
      <c r="I705" s="49" t="s">
        <v>107</v>
      </c>
      <c r="J705" s="50" t="s">
        <v>571</v>
      </c>
      <c r="K705" s="50" t="s">
        <v>108</v>
      </c>
      <c r="L705" s="50" t="s">
        <v>15</v>
      </c>
      <c r="M705" s="50" t="s">
        <v>10</v>
      </c>
      <c r="N705" s="50" t="s">
        <v>11</v>
      </c>
      <c r="O705" s="48" t="s">
        <v>632</v>
      </c>
      <c r="P705" s="45" t="s">
        <v>453</v>
      </c>
      <c r="Q705" s="35" t="str">
        <f>MID(Tabla1[[#This Row],[Aplicación]],14,1)</f>
        <v>2</v>
      </c>
      <c r="R705" s="35" t="s">
        <v>441</v>
      </c>
      <c r="S705" s="35" t="str">
        <f>MID(Tabla1[[#This Row],[Aplicación]],6,2)</f>
        <v>11</v>
      </c>
      <c r="T705" s="35" t="str">
        <f>VLOOKUP(Tabla1[[#This Row],[AREA]],Hoja1!A:B,2,FALSE)</f>
        <v>11. Salud pública y seguridad ciudadana</v>
      </c>
      <c r="U705" s="35" t="str">
        <f>MID(Tabla1[[#This Row],[Aplicación]],9,4)</f>
        <v>1621</v>
      </c>
      <c r="V705" s="35" t="str">
        <f>VLOOKUP(Tabla1[[#This Row],[PROGRAMA]],Hoja1!A:B,2,FALSE)</f>
        <v>1621. Servicio de limpieza</v>
      </c>
      <c r="W705" s="35" t="str">
        <f>MID(Tabla1[[#This Row],[Aplicación]],14,2)</f>
        <v>21</v>
      </c>
      <c r="X705" s="35" t="str">
        <f>MID(Tabla1[[#This Row],[Aplicación]],14,6)</f>
        <v>219</v>
      </c>
    </row>
    <row r="706" spans="1:24" x14ac:dyDescent="0.25">
      <c r="A706" s="49">
        <v>220220008667</v>
      </c>
      <c r="B706" s="50" t="s">
        <v>172</v>
      </c>
      <c r="C706" s="57">
        <v>44634</v>
      </c>
      <c r="D706" s="49">
        <v>22022001455</v>
      </c>
      <c r="E706" s="50" t="s">
        <v>1471</v>
      </c>
      <c r="F706" s="58">
        <v>63.83</v>
      </c>
      <c r="G706" s="50" t="s">
        <v>85</v>
      </c>
      <c r="H706" s="50" t="s">
        <v>2133</v>
      </c>
      <c r="I706" s="49" t="s">
        <v>173</v>
      </c>
      <c r="J706" s="50" t="s">
        <v>109</v>
      </c>
      <c r="K706" s="50" t="s">
        <v>109</v>
      </c>
      <c r="L706" s="50" t="s">
        <v>12</v>
      </c>
      <c r="M706" s="50" t="s">
        <v>13</v>
      </c>
      <c r="N706" s="50" t="s">
        <v>14</v>
      </c>
      <c r="O706" s="48" t="s">
        <v>631</v>
      </c>
      <c r="P706" s="45" t="s">
        <v>453</v>
      </c>
      <c r="Q706" s="35" t="str">
        <f>MID(Tabla1[[#This Row],[Aplicación]],14,1)</f>
        <v>2</v>
      </c>
      <c r="R706" s="35" t="s">
        <v>441</v>
      </c>
      <c r="S706" s="35" t="str">
        <f>MID(Tabla1[[#This Row],[Aplicación]],6,2)</f>
        <v>11</v>
      </c>
      <c r="T706" s="35" t="str">
        <f>VLOOKUP(Tabla1[[#This Row],[AREA]],Hoja1!A:B,2,FALSE)</f>
        <v>11. Salud pública y seguridad ciudadana</v>
      </c>
      <c r="U706" s="35" t="str">
        <f>MID(Tabla1[[#This Row],[Aplicación]],9,4)</f>
        <v>1321</v>
      </c>
      <c r="V706" s="35" t="str">
        <f>VLOOKUP(Tabla1[[#This Row],[PROGRAMA]],Hoja1!A:B,2,FALSE)</f>
        <v>1321. Policía municipal</v>
      </c>
      <c r="W706" s="35" t="str">
        <f>MID(Tabla1[[#This Row],[Aplicación]],14,2)</f>
        <v>21</v>
      </c>
      <c r="X706" s="35" t="str">
        <f>MID(Tabla1[[#This Row],[Aplicación]],14,6)</f>
        <v>213</v>
      </c>
    </row>
    <row r="707" spans="1:24" x14ac:dyDescent="0.25">
      <c r="A707" s="49">
        <v>220220008352</v>
      </c>
      <c r="B707" s="50" t="s">
        <v>172</v>
      </c>
      <c r="C707" s="57">
        <v>44631</v>
      </c>
      <c r="D707" s="49">
        <v>22022001178</v>
      </c>
      <c r="E707" s="50" t="s">
        <v>1653</v>
      </c>
      <c r="F707" s="58">
        <v>50.82</v>
      </c>
      <c r="G707" s="50" t="s">
        <v>85</v>
      </c>
      <c r="H707" s="50" t="s">
        <v>2146</v>
      </c>
      <c r="I707" s="49" t="s">
        <v>173</v>
      </c>
      <c r="J707" s="50" t="s">
        <v>109</v>
      </c>
      <c r="K707" s="50" t="s">
        <v>109</v>
      </c>
      <c r="L707" s="50" t="s">
        <v>15</v>
      </c>
      <c r="M707" s="50" t="s">
        <v>13</v>
      </c>
      <c r="N707" s="50" t="s">
        <v>14</v>
      </c>
      <c r="O707" s="48" t="s">
        <v>631</v>
      </c>
      <c r="P707" s="45" t="s">
        <v>453</v>
      </c>
      <c r="Q707" s="35" t="str">
        <f>MID(Tabla1[[#This Row],[Aplicación]],14,1)</f>
        <v>2</v>
      </c>
      <c r="R707" s="35" t="s">
        <v>441</v>
      </c>
      <c r="S707" s="35" t="str">
        <f>MID(Tabla1[[#This Row],[Aplicación]],6,2)</f>
        <v>10</v>
      </c>
      <c r="T707" s="35" t="str">
        <f>VLOOKUP(Tabla1[[#This Row],[AREA]],Hoja1!A:B,2,FALSE)</f>
        <v>10. Servicios sociales y mediación comunitaria</v>
      </c>
      <c r="U707" s="35" t="str">
        <f>MID(Tabla1[[#This Row],[Aplicación]],9,4)</f>
        <v>2311</v>
      </c>
      <c r="V707" s="35" t="str">
        <f>VLOOKUP(Tabla1[[#This Row],[PROGRAMA]],Hoja1!A:B,2,FALSE)</f>
        <v>2311. Intervención social</v>
      </c>
      <c r="W707" s="35" t="str">
        <f>MID(Tabla1[[#This Row],[Aplicación]],14,2)</f>
        <v>21</v>
      </c>
      <c r="X707" s="35" t="str">
        <f>MID(Tabla1[[#This Row],[Aplicación]],14,6)</f>
        <v>212</v>
      </c>
    </row>
    <row r="708" spans="1:24" x14ac:dyDescent="0.25">
      <c r="A708" s="49">
        <v>220220004139</v>
      </c>
      <c r="B708" s="50" t="s">
        <v>172</v>
      </c>
      <c r="C708" s="57">
        <v>44610</v>
      </c>
      <c r="D708" s="49">
        <v>22022000045</v>
      </c>
      <c r="E708" s="50" t="s">
        <v>2018</v>
      </c>
      <c r="F708" s="58">
        <v>48.29</v>
      </c>
      <c r="G708" s="50" t="s">
        <v>85</v>
      </c>
      <c r="H708" s="50" t="s">
        <v>2147</v>
      </c>
      <c r="I708" s="49" t="s">
        <v>173</v>
      </c>
      <c r="J708" s="50" t="s">
        <v>109</v>
      </c>
      <c r="K708" s="50" t="s">
        <v>109</v>
      </c>
      <c r="L708" s="50" t="s">
        <v>15</v>
      </c>
      <c r="M708" s="50" t="s">
        <v>13</v>
      </c>
      <c r="N708" s="50" t="s">
        <v>14</v>
      </c>
      <c r="O708" s="48" t="s">
        <v>631</v>
      </c>
      <c r="P708" s="45" t="s">
        <v>453</v>
      </c>
      <c r="Q708" s="35" t="str">
        <f>MID(Tabla1[[#This Row],[Aplicación]],14,1)</f>
        <v>2</v>
      </c>
      <c r="R708" s="35" t="s">
        <v>441</v>
      </c>
      <c r="S708" s="35" t="str">
        <f>MID(Tabla1[[#This Row],[Aplicación]],6,2)</f>
        <v>11</v>
      </c>
      <c r="T708" s="35" t="str">
        <f>VLOOKUP(Tabla1[[#This Row],[AREA]],Hoja1!A:B,2,FALSE)</f>
        <v>11. Salud pública y seguridad ciudadana</v>
      </c>
      <c r="U708" s="35" t="str">
        <f>MID(Tabla1[[#This Row],[Aplicación]],9,4)</f>
        <v>1631</v>
      </c>
      <c r="V708" s="35" t="str">
        <f>VLOOKUP(Tabla1[[#This Row],[PROGRAMA]],Hoja1!A:B,2,FALSE)</f>
        <v>1631. Limpieza viaria</v>
      </c>
      <c r="W708" s="35" t="str">
        <f>MID(Tabla1[[#This Row],[Aplicación]],14,2)</f>
        <v>22</v>
      </c>
      <c r="X708" s="35" t="str">
        <f>MID(Tabla1[[#This Row],[Aplicación]],14,6)</f>
        <v>22199</v>
      </c>
    </row>
    <row r="709" spans="1:24" x14ac:dyDescent="0.25">
      <c r="A709" s="49">
        <v>220220009491</v>
      </c>
      <c r="B709" s="50" t="s">
        <v>172</v>
      </c>
      <c r="C709" s="57">
        <v>44636</v>
      </c>
      <c r="D709" s="49">
        <v>22022001449</v>
      </c>
      <c r="E709" s="50" t="s">
        <v>1890</v>
      </c>
      <c r="F709" s="58">
        <v>46.8</v>
      </c>
      <c r="G709" s="50" t="s">
        <v>85</v>
      </c>
      <c r="H709" s="50" t="s">
        <v>2148</v>
      </c>
      <c r="I709" s="49" t="s">
        <v>173</v>
      </c>
      <c r="J709" s="50" t="s">
        <v>109</v>
      </c>
      <c r="K709" s="50" t="s">
        <v>109</v>
      </c>
      <c r="L709" s="50" t="s">
        <v>15</v>
      </c>
      <c r="M709" s="50" t="s">
        <v>13</v>
      </c>
      <c r="N709" s="50" t="s">
        <v>14</v>
      </c>
      <c r="O709" s="48" t="s">
        <v>631</v>
      </c>
      <c r="P709" s="45" t="s">
        <v>453</v>
      </c>
      <c r="Q709" s="35" t="str">
        <f>MID(Tabla1[[#This Row],[Aplicación]],14,1)</f>
        <v>2</v>
      </c>
      <c r="R709" s="35" t="s">
        <v>441</v>
      </c>
      <c r="S709" s="35" t="str">
        <f>MID(Tabla1[[#This Row],[Aplicación]],6,2)</f>
        <v>02</v>
      </c>
      <c r="T709" s="35" t="str">
        <f>VLOOKUP(Tabla1[[#This Row],[AREA]],Hoja1!A:B,2,FALSE)</f>
        <v>02. Planeamiento urbanístico y vivienda</v>
      </c>
      <c r="U709" s="35" t="str">
        <f>MID(Tabla1[[#This Row],[Aplicación]],9,4)</f>
        <v>9332</v>
      </c>
      <c r="V709" s="35" t="str">
        <f>VLOOKUP(Tabla1[[#This Row],[PROGRAMA]],Hoja1!A:B,2,FALSE)</f>
        <v>9332. Mantenimiento de edificios e instalaciones municipales</v>
      </c>
      <c r="W709" s="35" t="str">
        <f>MID(Tabla1[[#This Row],[Aplicación]],14,2)</f>
        <v>21</v>
      </c>
      <c r="X709" s="35" t="str">
        <f>MID(Tabla1[[#This Row],[Aplicación]],14,6)</f>
        <v>212</v>
      </c>
    </row>
    <row r="710" spans="1:24" x14ac:dyDescent="0.25">
      <c r="A710" s="49">
        <v>220220002486</v>
      </c>
      <c r="B710" s="50" t="s">
        <v>172</v>
      </c>
      <c r="C710" s="57">
        <v>44594</v>
      </c>
      <c r="D710" s="49">
        <v>22022001593</v>
      </c>
      <c r="E710" s="50" t="s">
        <v>1581</v>
      </c>
      <c r="F710" s="58">
        <v>41.49</v>
      </c>
      <c r="G710" s="50" t="s">
        <v>85</v>
      </c>
      <c r="H710" s="50" t="s">
        <v>676</v>
      </c>
      <c r="I710" s="49" t="s">
        <v>173</v>
      </c>
      <c r="J710" s="50" t="s">
        <v>109</v>
      </c>
      <c r="K710" s="50" t="s">
        <v>109</v>
      </c>
      <c r="L710" s="50" t="s">
        <v>15</v>
      </c>
      <c r="M710" s="50" t="s">
        <v>13</v>
      </c>
      <c r="N710" s="50" t="s">
        <v>14</v>
      </c>
      <c r="O710" s="48" t="s">
        <v>631</v>
      </c>
      <c r="P710" s="45" t="s">
        <v>453</v>
      </c>
      <c r="Q710" s="35" t="str">
        <f>MID(Tabla1[[#This Row],[Aplicación]],14,1)</f>
        <v>2</v>
      </c>
      <c r="R710" s="35" t="s">
        <v>441</v>
      </c>
      <c r="S710" s="35" t="str">
        <f>MID(Tabla1[[#This Row],[Aplicación]],6,2)</f>
        <v>07</v>
      </c>
      <c r="T710" s="35" t="str">
        <f>VLOOKUP(Tabla1[[#This Row],[AREA]],Hoja1!A:B,2,FALSE)</f>
        <v>07. Medio ambiente y desarrollo sostenible</v>
      </c>
      <c r="U710" s="35" t="str">
        <f>MID(Tabla1[[#This Row],[Aplicación]],9,4)</f>
        <v>1711</v>
      </c>
      <c r="V710" s="35" t="str">
        <f>VLOOKUP(Tabla1[[#This Row],[PROGRAMA]],Hoja1!A:B,2,FALSE)</f>
        <v>1711. Parques y jardines</v>
      </c>
      <c r="W710" s="35" t="str">
        <f>MID(Tabla1[[#This Row],[Aplicación]],14,2)</f>
        <v>22</v>
      </c>
      <c r="X710" s="35" t="str">
        <f>MID(Tabla1[[#This Row],[Aplicación]],14,6)</f>
        <v>22199</v>
      </c>
    </row>
    <row r="711" spans="1:24" x14ac:dyDescent="0.25">
      <c r="A711" s="49">
        <v>220220013220</v>
      </c>
      <c r="B711" s="50" t="s">
        <v>172</v>
      </c>
      <c r="C711" s="57">
        <v>44650</v>
      </c>
      <c r="D711" s="49">
        <v>22022000030</v>
      </c>
      <c r="E711" s="50" t="s">
        <v>2007</v>
      </c>
      <c r="F711" s="58">
        <v>40.9</v>
      </c>
      <c r="G711" s="50" t="s">
        <v>85</v>
      </c>
      <c r="H711" s="50" t="s">
        <v>2149</v>
      </c>
      <c r="I711" s="49" t="s">
        <v>173</v>
      </c>
      <c r="J711" s="50" t="s">
        <v>109</v>
      </c>
      <c r="K711" s="50" t="s">
        <v>109</v>
      </c>
      <c r="L711" s="50" t="s">
        <v>15</v>
      </c>
      <c r="M711" s="50" t="s">
        <v>13</v>
      </c>
      <c r="N711" s="50" t="s">
        <v>14</v>
      </c>
      <c r="O711" s="48" t="s">
        <v>631</v>
      </c>
      <c r="P711" s="45" t="s">
        <v>453</v>
      </c>
      <c r="Q711" s="35" t="str">
        <f>MID(Tabla1[[#This Row],[Aplicación]],14,1)</f>
        <v>2</v>
      </c>
      <c r="R711" s="35" t="s">
        <v>441</v>
      </c>
      <c r="S711" s="35" t="str">
        <f>MID(Tabla1[[#This Row],[Aplicación]],6,2)</f>
        <v>11</v>
      </c>
      <c r="T711" s="35" t="str">
        <f>VLOOKUP(Tabla1[[#This Row],[AREA]],Hoja1!A:B,2,FALSE)</f>
        <v>11. Salud pública y seguridad ciudadana</v>
      </c>
      <c r="U711" s="35" t="str">
        <f>MID(Tabla1[[#This Row],[Aplicación]],9,4)</f>
        <v>1621</v>
      </c>
      <c r="V711" s="35" t="str">
        <f>VLOOKUP(Tabla1[[#This Row],[PROGRAMA]],Hoja1!A:B,2,FALSE)</f>
        <v>1621. Servicio de limpieza</v>
      </c>
      <c r="W711" s="35" t="str">
        <f>MID(Tabla1[[#This Row],[Aplicación]],14,2)</f>
        <v>22</v>
      </c>
      <c r="X711" s="35" t="str">
        <f>MID(Tabla1[[#This Row],[Aplicación]],14,6)</f>
        <v>22199</v>
      </c>
    </row>
    <row r="712" spans="1:24" x14ac:dyDescent="0.25">
      <c r="A712" s="49">
        <v>220220009913</v>
      </c>
      <c r="B712" s="50" t="s">
        <v>172</v>
      </c>
      <c r="C712" s="57">
        <v>44638</v>
      </c>
      <c r="D712" s="49">
        <v>22022001184</v>
      </c>
      <c r="E712" s="50" t="s">
        <v>2020</v>
      </c>
      <c r="F712" s="58">
        <v>39.200000000000003</v>
      </c>
      <c r="G712" s="50" t="s">
        <v>85</v>
      </c>
      <c r="H712" s="50" t="s">
        <v>2021</v>
      </c>
      <c r="I712" s="49" t="s">
        <v>173</v>
      </c>
      <c r="J712" s="50" t="s">
        <v>109</v>
      </c>
      <c r="K712" s="50" t="s">
        <v>109</v>
      </c>
      <c r="L712" s="50" t="s">
        <v>15</v>
      </c>
      <c r="M712" s="50" t="s">
        <v>13</v>
      </c>
      <c r="N712" s="50" t="s">
        <v>14</v>
      </c>
      <c r="O712" s="48" t="s">
        <v>631</v>
      </c>
      <c r="P712" s="45" t="s">
        <v>453</v>
      </c>
      <c r="Q712" s="35" t="str">
        <f>MID(Tabla1[[#This Row],[Aplicación]],14,1)</f>
        <v>2</v>
      </c>
      <c r="R712" s="35" t="s">
        <v>441</v>
      </c>
      <c r="S712" s="35" t="str">
        <f>MID(Tabla1[[#This Row],[Aplicación]],6,2)</f>
        <v>10</v>
      </c>
      <c r="T712" s="35" t="str">
        <f>VLOOKUP(Tabla1[[#This Row],[AREA]],Hoja1!A:B,2,FALSE)</f>
        <v>10. Servicios sociales y mediación comunitaria</v>
      </c>
      <c r="U712" s="35" t="str">
        <f>MID(Tabla1[[#This Row],[Aplicación]],9,4)</f>
        <v>2312</v>
      </c>
      <c r="V712" s="35" t="str">
        <f>VLOOKUP(Tabla1[[#This Row],[PROGRAMA]],Hoja1!A:B,2,FALSE)</f>
        <v>2312. Iniciativas sociales</v>
      </c>
      <c r="W712" s="35" t="str">
        <f>MID(Tabla1[[#This Row],[Aplicación]],14,2)</f>
        <v>21</v>
      </c>
      <c r="X712" s="35" t="str">
        <f>MID(Tabla1[[#This Row],[Aplicación]],14,6)</f>
        <v>212</v>
      </c>
    </row>
    <row r="713" spans="1:24" x14ac:dyDescent="0.25">
      <c r="A713" s="49">
        <v>220220013206</v>
      </c>
      <c r="B713" s="50" t="s">
        <v>172</v>
      </c>
      <c r="C713" s="57">
        <v>44650</v>
      </c>
      <c r="D713" s="49">
        <v>22022002690</v>
      </c>
      <c r="E713" s="50" t="s">
        <v>2150</v>
      </c>
      <c r="F713" s="58">
        <v>31.61</v>
      </c>
      <c r="G713" s="50" t="s">
        <v>85</v>
      </c>
      <c r="H713" s="50" t="s">
        <v>2151</v>
      </c>
      <c r="I713" s="49" t="s">
        <v>173</v>
      </c>
      <c r="J713" s="50" t="s">
        <v>109</v>
      </c>
      <c r="K713" s="50" t="s">
        <v>109</v>
      </c>
      <c r="L713" s="50" t="s">
        <v>15</v>
      </c>
      <c r="M713" s="50" t="s">
        <v>13</v>
      </c>
      <c r="N713" s="50" t="s">
        <v>14</v>
      </c>
      <c r="O713" s="48" t="s">
        <v>631</v>
      </c>
      <c r="P713" s="45" t="s">
        <v>453</v>
      </c>
      <c r="Q713" s="35" t="str">
        <f>MID(Tabla1[[#This Row],[Aplicación]],14,1)</f>
        <v>2</v>
      </c>
      <c r="R713" s="35" t="s">
        <v>441</v>
      </c>
      <c r="S713" s="35" t="str">
        <f>MID(Tabla1[[#This Row],[Aplicación]],6,2)</f>
        <v>09</v>
      </c>
      <c r="T713" s="35" t="str">
        <f>VLOOKUP(Tabla1[[#This Row],[AREA]],Hoja1!A:B,2,FALSE)</f>
        <v>09. Cultura y turismo</v>
      </c>
      <c r="U713" s="35" t="str">
        <f>MID(Tabla1[[#This Row],[Aplicación]],9,4)</f>
        <v>3341</v>
      </c>
      <c r="V713" s="35" t="str">
        <f>VLOOKUP(Tabla1[[#This Row],[PROGRAMA]],Hoja1!A:B,2,FALSE)</f>
        <v>3341. Coordinación de políticas culturales</v>
      </c>
      <c r="W713" s="35" t="str">
        <f>MID(Tabla1[[#This Row],[Aplicación]],14,2)</f>
        <v>21</v>
      </c>
      <c r="X713" s="35" t="str">
        <f>MID(Tabla1[[#This Row],[Aplicación]],14,6)</f>
        <v>213</v>
      </c>
    </row>
    <row r="714" spans="1:24" x14ac:dyDescent="0.25">
      <c r="A714" s="49">
        <v>220220003811</v>
      </c>
      <c r="B714" s="50" t="s">
        <v>172</v>
      </c>
      <c r="C714" s="57">
        <v>44608</v>
      </c>
      <c r="D714" s="49">
        <v>22022001593</v>
      </c>
      <c r="E714" s="50" t="s">
        <v>1581</v>
      </c>
      <c r="F714" s="58">
        <v>27.64</v>
      </c>
      <c r="G714" s="50" t="s">
        <v>85</v>
      </c>
      <c r="H714" s="50" t="s">
        <v>2152</v>
      </c>
      <c r="I714" s="49" t="s">
        <v>173</v>
      </c>
      <c r="J714" s="50" t="s">
        <v>109</v>
      </c>
      <c r="K714" s="50" t="s">
        <v>109</v>
      </c>
      <c r="L714" s="50" t="s">
        <v>15</v>
      </c>
      <c r="M714" s="50" t="s">
        <v>13</v>
      </c>
      <c r="N714" s="50" t="s">
        <v>14</v>
      </c>
      <c r="O714" s="48" t="s">
        <v>631</v>
      </c>
      <c r="P714" s="45" t="s">
        <v>453</v>
      </c>
      <c r="Q714" s="35" t="str">
        <f>MID(Tabla1[[#This Row],[Aplicación]],14,1)</f>
        <v>2</v>
      </c>
      <c r="R714" s="35" t="s">
        <v>441</v>
      </c>
      <c r="S714" s="35" t="str">
        <f>MID(Tabla1[[#This Row],[Aplicación]],6,2)</f>
        <v>07</v>
      </c>
      <c r="T714" s="35" t="str">
        <f>VLOOKUP(Tabla1[[#This Row],[AREA]],Hoja1!A:B,2,FALSE)</f>
        <v>07. Medio ambiente y desarrollo sostenible</v>
      </c>
      <c r="U714" s="35" t="str">
        <f>MID(Tabla1[[#This Row],[Aplicación]],9,4)</f>
        <v>1711</v>
      </c>
      <c r="V714" s="35" t="str">
        <f>VLOOKUP(Tabla1[[#This Row],[PROGRAMA]],Hoja1!A:B,2,FALSE)</f>
        <v>1711. Parques y jardines</v>
      </c>
      <c r="W714" s="35" t="str">
        <f>MID(Tabla1[[#This Row],[Aplicación]],14,2)</f>
        <v>22</v>
      </c>
      <c r="X714" s="35" t="str">
        <f>MID(Tabla1[[#This Row],[Aplicación]],14,6)</f>
        <v>22199</v>
      </c>
    </row>
    <row r="715" spans="1:24" x14ac:dyDescent="0.25">
      <c r="A715" s="49">
        <v>220220002282</v>
      </c>
      <c r="B715" s="50" t="s">
        <v>9</v>
      </c>
      <c r="C715" s="57">
        <v>44593</v>
      </c>
      <c r="D715" s="49">
        <v>22022001785</v>
      </c>
      <c r="E715" s="50" t="s">
        <v>2153</v>
      </c>
      <c r="F715" s="58">
        <v>600</v>
      </c>
      <c r="G715" s="50" t="s">
        <v>2154</v>
      </c>
      <c r="H715" s="50" t="s">
        <v>2155</v>
      </c>
      <c r="I715" s="49" t="s">
        <v>107</v>
      </c>
      <c r="J715" s="50" t="s">
        <v>109</v>
      </c>
      <c r="K715" s="50" t="s">
        <v>154</v>
      </c>
      <c r="L715" s="50" t="s">
        <v>12</v>
      </c>
      <c r="M715" s="50" t="s">
        <v>10</v>
      </c>
      <c r="N715" s="50" t="s">
        <v>11</v>
      </c>
      <c r="O715" s="48" t="s">
        <v>632</v>
      </c>
      <c r="P715" s="45" t="s">
        <v>453</v>
      </c>
      <c r="Q715" s="35" t="str">
        <f>MID(Tabla1[[#This Row],[Aplicación]],14,1)</f>
        <v>2</v>
      </c>
      <c r="R715" s="35" t="s">
        <v>441</v>
      </c>
      <c r="S715" s="35" t="str">
        <f>MID(Tabla1[[#This Row],[Aplicación]],6,2)</f>
        <v>10</v>
      </c>
      <c r="T715" s="35" t="str">
        <f>VLOOKUP(Tabla1[[#This Row],[AREA]],Hoja1!A:B,2,FALSE)</f>
        <v>10. Servicios sociales y mediación comunitaria</v>
      </c>
      <c r="U715" s="35" t="str">
        <f>MID(Tabla1[[#This Row],[Aplicación]],9,4)</f>
        <v>2312</v>
      </c>
      <c r="V715" s="35" t="str">
        <f>VLOOKUP(Tabla1[[#This Row],[PROGRAMA]],Hoja1!A:B,2,FALSE)</f>
        <v>2312. Iniciativas sociales</v>
      </c>
      <c r="W715" s="35" t="str">
        <f>MID(Tabla1[[#This Row],[Aplicación]],14,2)</f>
        <v>22</v>
      </c>
      <c r="X715" s="35" t="str">
        <f>MID(Tabla1[[#This Row],[Aplicación]],14,6)</f>
        <v>22612</v>
      </c>
    </row>
    <row r="716" spans="1:24" x14ac:dyDescent="0.25">
      <c r="A716" s="49">
        <v>220220005809</v>
      </c>
      <c r="B716" s="50" t="s">
        <v>9</v>
      </c>
      <c r="C716" s="57">
        <v>44615</v>
      </c>
      <c r="D716" s="49">
        <v>22022002411</v>
      </c>
      <c r="E716" s="50" t="s">
        <v>1475</v>
      </c>
      <c r="F716" s="58">
        <v>3652.02</v>
      </c>
      <c r="G716" s="50" t="s">
        <v>2156</v>
      </c>
      <c r="H716" s="50" t="s">
        <v>2157</v>
      </c>
      <c r="I716" s="49" t="s">
        <v>107</v>
      </c>
      <c r="J716" s="50" t="s">
        <v>109</v>
      </c>
      <c r="K716" s="50" t="s">
        <v>109</v>
      </c>
      <c r="L716" s="50" t="s">
        <v>12</v>
      </c>
      <c r="M716" s="50" t="s">
        <v>10</v>
      </c>
      <c r="N716" s="50" t="s">
        <v>11</v>
      </c>
      <c r="O716" s="48" t="s">
        <v>632</v>
      </c>
      <c r="P716" s="45" t="s">
        <v>453</v>
      </c>
      <c r="Q716" s="35" t="str">
        <f>MID(Tabla1[[#This Row],[Aplicación]],14,1)</f>
        <v>2</v>
      </c>
      <c r="R716" s="35" t="s">
        <v>441</v>
      </c>
      <c r="S716" s="35" t="str">
        <f>MID(Tabla1[[#This Row],[Aplicación]],6,2)</f>
        <v>06</v>
      </c>
      <c r="T716" s="35" t="str">
        <f>VLOOKUP(Tabla1[[#This Row],[AREA]],Hoja1!A:B,2,FALSE)</f>
        <v>06. Educación, infancia, juventud e igualdad</v>
      </c>
      <c r="U716" s="35" t="str">
        <f>MID(Tabla1[[#This Row],[Aplicación]],9,4)</f>
        <v>3232</v>
      </c>
      <c r="V716" s="35" t="str">
        <f>VLOOKUP(Tabla1[[#This Row],[PROGRAMA]],Hoja1!A:B,2,FALSE)</f>
        <v>3232. Conservación y mantenimiento centros educación infantil y primaria</v>
      </c>
      <c r="W716" s="35" t="str">
        <f>MID(Tabla1[[#This Row],[Aplicación]],14,2)</f>
        <v>21</v>
      </c>
      <c r="X716" s="35" t="str">
        <f>MID(Tabla1[[#This Row],[Aplicación]],14,6)</f>
        <v>213</v>
      </c>
    </row>
    <row r="717" spans="1:24" x14ac:dyDescent="0.25">
      <c r="A717" s="49">
        <v>220220002415</v>
      </c>
      <c r="B717" s="50" t="s">
        <v>172</v>
      </c>
      <c r="C717" s="57">
        <v>44594</v>
      </c>
      <c r="D717" s="49">
        <v>22022001179</v>
      </c>
      <c r="E717" s="50" t="s">
        <v>1653</v>
      </c>
      <c r="F717" s="58">
        <v>24.03</v>
      </c>
      <c r="G717" s="50" t="s">
        <v>85</v>
      </c>
      <c r="H717" s="50" t="s">
        <v>2158</v>
      </c>
      <c r="I717" s="49" t="s">
        <v>173</v>
      </c>
      <c r="J717" s="50" t="s">
        <v>109</v>
      </c>
      <c r="K717" s="50" t="s">
        <v>109</v>
      </c>
      <c r="L717" s="50" t="s">
        <v>15</v>
      </c>
      <c r="M717" s="50" t="s">
        <v>13</v>
      </c>
      <c r="N717" s="50" t="s">
        <v>14</v>
      </c>
      <c r="O717" s="48" t="s">
        <v>631</v>
      </c>
      <c r="P717" s="45" t="s">
        <v>453</v>
      </c>
      <c r="Q717" s="35" t="str">
        <f>MID(Tabla1[[#This Row],[Aplicación]],14,1)</f>
        <v>2</v>
      </c>
      <c r="R717" s="35" t="s">
        <v>441</v>
      </c>
      <c r="S717" s="35" t="str">
        <f>MID(Tabla1[[#This Row],[Aplicación]],6,2)</f>
        <v>10</v>
      </c>
      <c r="T717" s="35" t="str">
        <f>VLOOKUP(Tabla1[[#This Row],[AREA]],Hoja1!A:B,2,FALSE)</f>
        <v>10. Servicios sociales y mediación comunitaria</v>
      </c>
      <c r="U717" s="35" t="str">
        <f>MID(Tabla1[[#This Row],[Aplicación]],9,4)</f>
        <v>2311</v>
      </c>
      <c r="V717" s="35" t="str">
        <f>VLOOKUP(Tabla1[[#This Row],[PROGRAMA]],Hoja1!A:B,2,FALSE)</f>
        <v>2311. Intervención social</v>
      </c>
      <c r="W717" s="35" t="str">
        <f>MID(Tabla1[[#This Row],[Aplicación]],14,2)</f>
        <v>21</v>
      </c>
      <c r="X717" s="35" t="str">
        <f>MID(Tabla1[[#This Row],[Aplicación]],14,6)</f>
        <v>212</v>
      </c>
    </row>
    <row r="718" spans="1:24" x14ac:dyDescent="0.25">
      <c r="A718" s="49">
        <v>220220004237</v>
      </c>
      <c r="B718" s="50" t="s">
        <v>172</v>
      </c>
      <c r="C718" s="57">
        <v>44610</v>
      </c>
      <c r="D718" s="49">
        <v>22022000045</v>
      </c>
      <c r="E718" s="50" t="s">
        <v>2018</v>
      </c>
      <c r="F718" s="58">
        <v>22.39</v>
      </c>
      <c r="G718" s="50" t="s">
        <v>85</v>
      </c>
      <c r="H718" s="50" t="s">
        <v>2159</v>
      </c>
      <c r="I718" s="49" t="s">
        <v>173</v>
      </c>
      <c r="J718" s="50" t="s">
        <v>109</v>
      </c>
      <c r="K718" s="50" t="s">
        <v>109</v>
      </c>
      <c r="L718" s="50" t="s">
        <v>15</v>
      </c>
      <c r="M718" s="50" t="s">
        <v>13</v>
      </c>
      <c r="N718" s="50" t="s">
        <v>14</v>
      </c>
      <c r="O718" s="48" t="s">
        <v>631</v>
      </c>
      <c r="P718" s="45" t="s">
        <v>453</v>
      </c>
      <c r="Q718" s="35" t="str">
        <f>MID(Tabla1[[#This Row],[Aplicación]],14,1)</f>
        <v>2</v>
      </c>
      <c r="R718" s="35" t="s">
        <v>441</v>
      </c>
      <c r="S718" s="35" t="str">
        <f>MID(Tabla1[[#This Row],[Aplicación]],6,2)</f>
        <v>11</v>
      </c>
      <c r="T718" s="35" t="str">
        <f>VLOOKUP(Tabla1[[#This Row],[AREA]],Hoja1!A:B,2,FALSE)</f>
        <v>11. Salud pública y seguridad ciudadana</v>
      </c>
      <c r="U718" s="35" t="str">
        <f>MID(Tabla1[[#This Row],[Aplicación]],9,4)</f>
        <v>1631</v>
      </c>
      <c r="V718" s="35" t="str">
        <f>VLOOKUP(Tabla1[[#This Row],[PROGRAMA]],Hoja1!A:B,2,FALSE)</f>
        <v>1631. Limpieza viaria</v>
      </c>
      <c r="W718" s="35" t="str">
        <f>MID(Tabla1[[#This Row],[Aplicación]],14,2)</f>
        <v>22</v>
      </c>
      <c r="X718" s="35" t="str">
        <f>MID(Tabla1[[#This Row],[Aplicación]],14,6)</f>
        <v>22199</v>
      </c>
    </row>
    <row r="719" spans="1:24" x14ac:dyDescent="0.25">
      <c r="A719" s="49">
        <v>220220012366</v>
      </c>
      <c r="B719" s="50" t="s">
        <v>9</v>
      </c>
      <c r="C719" s="57">
        <v>44643</v>
      </c>
      <c r="D719" s="49">
        <v>22022002986</v>
      </c>
      <c r="E719" s="50" t="s">
        <v>1471</v>
      </c>
      <c r="F719" s="58">
        <v>2000</v>
      </c>
      <c r="G719" s="50" t="s">
        <v>41</v>
      </c>
      <c r="H719" s="50" t="s">
        <v>2160</v>
      </c>
      <c r="I719" s="49" t="s">
        <v>107</v>
      </c>
      <c r="J719" s="50" t="s">
        <v>109</v>
      </c>
      <c r="K719" s="50" t="s">
        <v>109</v>
      </c>
      <c r="L719" s="50" t="s">
        <v>12</v>
      </c>
      <c r="M719" s="50" t="s">
        <v>10</v>
      </c>
      <c r="N719" s="50" t="s">
        <v>11</v>
      </c>
      <c r="O719" s="48" t="s">
        <v>632</v>
      </c>
      <c r="P719" s="45" t="s">
        <v>453</v>
      </c>
      <c r="Q719" s="35" t="str">
        <f>MID(Tabla1[[#This Row],[Aplicación]],14,1)</f>
        <v>2</v>
      </c>
      <c r="R719" s="35" t="s">
        <v>441</v>
      </c>
      <c r="S719" s="35" t="str">
        <f>MID(Tabla1[[#This Row],[Aplicación]],6,2)</f>
        <v>11</v>
      </c>
      <c r="T719" s="35" t="str">
        <f>VLOOKUP(Tabla1[[#This Row],[AREA]],Hoja1!A:B,2,FALSE)</f>
        <v>11. Salud pública y seguridad ciudadana</v>
      </c>
      <c r="U719" s="35" t="str">
        <f>MID(Tabla1[[#This Row],[Aplicación]],9,4)</f>
        <v>1321</v>
      </c>
      <c r="V719" s="35" t="str">
        <f>VLOOKUP(Tabla1[[#This Row],[PROGRAMA]],Hoja1!A:B,2,FALSE)</f>
        <v>1321. Policía municipal</v>
      </c>
      <c r="W719" s="35" t="str">
        <f>MID(Tabla1[[#This Row],[Aplicación]],14,2)</f>
        <v>21</v>
      </c>
      <c r="X719" s="35" t="str">
        <f>MID(Tabla1[[#This Row],[Aplicación]],14,6)</f>
        <v>213</v>
      </c>
    </row>
    <row r="720" spans="1:24" x14ac:dyDescent="0.25">
      <c r="A720" s="49">
        <v>220220009493</v>
      </c>
      <c r="B720" s="50" t="s">
        <v>172</v>
      </c>
      <c r="C720" s="57">
        <v>44636</v>
      </c>
      <c r="D720" s="49">
        <v>22022001449</v>
      </c>
      <c r="E720" s="50" t="s">
        <v>1890</v>
      </c>
      <c r="F720" s="58">
        <v>22.26</v>
      </c>
      <c r="G720" s="50" t="s">
        <v>85</v>
      </c>
      <c r="H720" s="50" t="s">
        <v>2161</v>
      </c>
      <c r="I720" s="49" t="s">
        <v>173</v>
      </c>
      <c r="J720" s="50" t="s">
        <v>109</v>
      </c>
      <c r="K720" s="50" t="s">
        <v>109</v>
      </c>
      <c r="L720" s="50" t="s">
        <v>15</v>
      </c>
      <c r="M720" s="50" t="s">
        <v>13</v>
      </c>
      <c r="N720" s="50" t="s">
        <v>14</v>
      </c>
      <c r="O720" s="48" t="s">
        <v>631</v>
      </c>
      <c r="P720" s="45" t="s">
        <v>453</v>
      </c>
      <c r="Q720" s="35" t="str">
        <f>MID(Tabla1[[#This Row],[Aplicación]],14,1)</f>
        <v>2</v>
      </c>
      <c r="R720" s="35" t="s">
        <v>441</v>
      </c>
      <c r="S720" s="35" t="str">
        <f>MID(Tabla1[[#This Row],[Aplicación]],6,2)</f>
        <v>02</v>
      </c>
      <c r="T720" s="35" t="str">
        <f>VLOOKUP(Tabla1[[#This Row],[AREA]],Hoja1!A:B,2,FALSE)</f>
        <v>02. Planeamiento urbanístico y vivienda</v>
      </c>
      <c r="U720" s="35" t="str">
        <f>MID(Tabla1[[#This Row],[Aplicación]],9,4)</f>
        <v>9332</v>
      </c>
      <c r="V720" s="35" t="str">
        <f>VLOOKUP(Tabla1[[#This Row],[PROGRAMA]],Hoja1!A:B,2,FALSE)</f>
        <v>9332. Mantenimiento de edificios e instalaciones municipales</v>
      </c>
      <c r="W720" s="35" t="str">
        <f>MID(Tabla1[[#This Row],[Aplicación]],14,2)</f>
        <v>21</v>
      </c>
      <c r="X720" s="35" t="str">
        <f>MID(Tabla1[[#This Row],[Aplicación]],14,6)</f>
        <v>212</v>
      </c>
    </row>
    <row r="721" spans="1:24" x14ac:dyDescent="0.25">
      <c r="A721" s="49">
        <v>220220003155</v>
      </c>
      <c r="B721" s="50" t="s">
        <v>172</v>
      </c>
      <c r="C721" s="57">
        <v>44601</v>
      </c>
      <c r="D721" s="49">
        <v>22022001183</v>
      </c>
      <c r="E721" s="50" t="s">
        <v>2020</v>
      </c>
      <c r="F721" s="58">
        <v>20.79</v>
      </c>
      <c r="G721" s="50" t="s">
        <v>85</v>
      </c>
      <c r="H721" s="50" t="s">
        <v>2135</v>
      </c>
      <c r="I721" s="49" t="s">
        <v>173</v>
      </c>
      <c r="J721" s="50" t="s">
        <v>109</v>
      </c>
      <c r="K721" s="50" t="s">
        <v>109</v>
      </c>
      <c r="L721" s="50" t="s">
        <v>15</v>
      </c>
      <c r="M721" s="50" t="s">
        <v>13</v>
      </c>
      <c r="N721" s="50" t="s">
        <v>14</v>
      </c>
      <c r="O721" s="48" t="s">
        <v>631</v>
      </c>
      <c r="P721" s="45" t="s">
        <v>453</v>
      </c>
      <c r="Q721" s="35" t="str">
        <f>MID(Tabla1[[#This Row],[Aplicación]],14,1)</f>
        <v>2</v>
      </c>
      <c r="R721" s="35" t="s">
        <v>441</v>
      </c>
      <c r="S721" s="35" t="str">
        <f>MID(Tabla1[[#This Row],[Aplicación]],6,2)</f>
        <v>10</v>
      </c>
      <c r="T721" s="35" t="str">
        <f>VLOOKUP(Tabla1[[#This Row],[AREA]],Hoja1!A:B,2,FALSE)</f>
        <v>10. Servicios sociales y mediación comunitaria</v>
      </c>
      <c r="U721" s="35" t="str">
        <f>MID(Tabla1[[#This Row],[Aplicación]],9,4)</f>
        <v>2312</v>
      </c>
      <c r="V721" s="35" t="str">
        <f>VLOOKUP(Tabla1[[#This Row],[PROGRAMA]],Hoja1!A:B,2,FALSE)</f>
        <v>2312. Iniciativas sociales</v>
      </c>
      <c r="W721" s="35" t="str">
        <f>MID(Tabla1[[#This Row],[Aplicación]],14,2)</f>
        <v>21</v>
      </c>
      <c r="X721" s="35" t="str">
        <f>MID(Tabla1[[#This Row],[Aplicación]],14,6)</f>
        <v>212</v>
      </c>
    </row>
    <row r="722" spans="1:24" x14ac:dyDescent="0.25">
      <c r="A722" s="49">
        <v>220220000412</v>
      </c>
      <c r="B722" s="50" t="s">
        <v>9</v>
      </c>
      <c r="C722" s="57">
        <v>44586</v>
      </c>
      <c r="D722" s="49">
        <v>22022000731</v>
      </c>
      <c r="E722" s="50" t="s">
        <v>2162</v>
      </c>
      <c r="F722" s="58">
        <v>580.79999999999995</v>
      </c>
      <c r="G722" s="50" t="s">
        <v>41</v>
      </c>
      <c r="H722" s="50" t="s">
        <v>2163</v>
      </c>
      <c r="I722" s="49" t="s">
        <v>107</v>
      </c>
      <c r="J722" s="50" t="s">
        <v>109</v>
      </c>
      <c r="K722" s="50" t="s">
        <v>109</v>
      </c>
      <c r="L722" s="50" t="s">
        <v>12</v>
      </c>
      <c r="M722" s="50" t="s">
        <v>10</v>
      </c>
      <c r="N722" s="50" t="s">
        <v>11</v>
      </c>
      <c r="O722" s="48" t="s">
        <v>632</v>
      </c>
      <c r="P722" s="45" t="s">
        <v>453</v>
      </c>
      <c r="Q722" s="35" t="str">
        <f>MID(Tabla1[[#This Row],[Aplicación]],14,1)</f>
        <v>2</v>
      </c>
      <c r="R722" s="35" t="s">
        <v>441</v>
      </c>
      <c r="S722" s="35" t="str">
        <f>MID(Tabla1[[#This Row],[Aplicación]],6,2)</f>
        <v>09</v>
      </c>
      <c r="T722" s="35" t="str">
        <f>VLOOKUP(Tabla1[[#This Row],[AREA]],Hoja1!A:B,2,FALSE)</f>
        <v>09. Cultura y turismo</v>
      </c>
      <c r="U722" s="35" t="str">
        <f>MID(Tabla1[[#This Row],[Aplicación]],9,4)</f>
        <v>3341</v>
      </c>
      <c r="V722" s="35" t="str">
        <f>VLOOKUP(Tabla1[[#This Row],[PROGRAMA]],Hoja1!A:B,2,FALSE)</f>
        <v>3341. Coordinación de políticas culturales</v>
      </c>
      <c r="W722" s="35" t="str">
        <f>MID(Tabla1[[#This Row],[Aplicación]],14,2)</f>
        <v>22</v>
      </c>
      <c r="X722" s="35" t="str">
        <f>MID(Tabla1[[#This Row],[Aplicación]],14,6)</f>
        <v>22701</v>
      </c>
    </row>
    <row r="723" spans="1:24" x14ac:dyDescent="0.25">
      <c r="A723" s="49">
        <v>220220013245</v>
      </c>
      <c r="B723" s="50" t="s">
        <v>172</v>
      </c>
      <c r="C723" s="57">
        <v>44650</v>
      </c>
      <c r="D723" s="49">
        <v>22022001650</v>
      </c>
      <c r="E723" s="50" t="s">
        <v>2036</v>
      </c>
      <c r="F723" s="58">
        <v>18.8</v>
      </c>
      <c r="G723" s="50" t="s">
        <v>85</v>
      </c>
      <c r="H723" s="50" t="s">
        <v>2164</v>
      </c>
      <c r="I723" s="49" t="s">
        <v>173</v>
      </c>
      <c r="J723" s="50" t="s">
        <v>109</v>
      </c>
      <c r="K723" s="50" t="s">
        <v>109</v>
      </c>
      <c r="L723" s="50" t="s">
        <v>15</v>
      </c>
      <c r="M723" s="50" t="s">
        <v>13</v>
      </c>
      <c r="N723" s="50" t="s">
        <v>14</v>
      </c>
      <c r="O723" s="48" t="s">
        <v>631</v>
      </c>
      <c r="P723" s="45" t="s">
        <v>453</v>
      </c>
      <c r="Q723" s="35" t="str">
        <f>MID(Tabla1[[#This Row],[Aplicación]],14,1)</f>
        <v>2</v>
      </c>
      <c r="R723" s="35" t="s">
        <v>441</v>
      </c>
      <c r="S723" s="35" t="str">
        <f>MID(Tabla1[[#This Row],[Aplicación]],6,2)</f>
        <v>11</v>
      </c>
      <c r="T723" s="35" t="str">
        <f>VLOOKUP(Tabla1[[#This Row],[AREA]],Hoja1!A:B,2,FALSE)</f>
        <v>11. Salud pública y seguridad ciudadana</v>
      </c>
      <c r="U723" s="35" t="str">
        <f>MID(Tabla1[[#This Row],[Aplicación]],9,4)</f>
        <v>3111</v>
      </c>
      <c r="V723" s="35" t="str">
        <f>VLOOKUP(Tabla1[[#This Row],[PROGRAMA]],Hoja1!A:B,2,FALSE)</f>
        <v>3111. Protección de la salubridad pública</v>
      </c>
      <c r="W723" s="35" t="str">
        <f>MID(Tabla1[[#This Row],[Aplicación]],14,2)</f>
        <v>22</v>
      </c>
      <c r="X723" s="35" t="str">
        <f>MID(Tabla1[[#This Row],[Aplicación]],14,6)</f>
        <v>22199</v>
      </c>
    </row>
    <row r="724" spans="1:24" x14ac:dyDescent="0.25">
      <c r="A724" s="49">
        <v>220220008271</v>
      </c>
      <c r="B724" s="50" t="s">
        <v>9</v>
      </c>
      <c r="C724" s="57">
        <v>44630</v>
      </c>
      <c r="D724" s="49">
        <v>22022002567</v>
      </c>
      <c r="E724" s="50" t="s">
        <v>1606</v>
      </c>
      <c r="F724" s="58">
        <v>346.67</v>
      </c>
      <c r="G724" s="50" t="s">
        <v>41</v>
      </c>
      <c r="H724" s="50" t="s">
        <v>2165</v>
      </c>
      <c r="I724" s="49" t="s">
        <v>107</v>
      </c>
      <c r="J724" s="50" t="s">
        <v>109</v>
      </c>
      <c r="K724" s="50" t="s">
        <v>109</v>
      </c>
      <c r="L724" s="50" t="s">
        <v>12</v>
      </c>
      <c r="M724" s="50" t="s">
        <v>10</v>
      </c>
      <c r="N724" s="50" t="s">
        <v>11</v>
      </c>
      <c r="O724" s="48" t="s">
        <v>632</v>
      </c>
      <c r="P724" s="45" t="s">
        <v>453</v>
      </c>
      <c r="Q724" s="35" t="str">
        <f>MID(Tabla1[[#This Row],[Aplicación]],14,1)</f>
        <v>2</v>
      </c>
      <c r="R724" s="35" t="s">
        <v>441</v>
      </c>
      <c r="S724" s="35" t="str">
        <f>MID(Tabla1[[#This Row],[Aplicación]],6,2)</f>
        <v>11</v>
      </c>
      <c r="T724" s="35" t="str">
        <f>VLOOKUP(Tabla1[[#This Row],[AREA]],Hoja1!A:B,2,FALSE)</f>
        <v>11. Salud pública y seguridad ciudadana</v>
      </c>
      <c r="U724" s="35" t="str">
        <f>MID(Tabla1[[#This Row],[Aplicación]],9,4)</f>
        <v>1361</v>
      </c>
      <c r="V724" s="35" t="str">
        <f>VLOOKUP(Tabla1[[#This Row],[PROGRAMA]],Hoja1!A:B,2,FALSE)</f>
        <v>1361. Prevención y extinción de incencios</v>
      </c>
      <c r="W724" s="35" t="str">
        <f>MID(Tabla1[[#This Row],[Aplicación]],14,2)</f>
        <v>22</v>
      </c>
      <c r="X724" s="35" t="str">
        <f>MID(Tabla1[[#This Row],[Aplicación]],14,6)</f>
        <v>22199</v>
      </c>
    </row>
    <row r="725" spans="1:24" x14ac:dyDescent="0.25">
      <c r="A725" s="49">
        <v>220220003123</v>
      </c>
      <c r="B725" s="50" t="s">
        <v>172</v>
      </c>
      <c r="C725" s="57">
        <v>44601</v>
      </c>
      <c r="D725" s="49">
        <v>22022001178</v>
      </c>
      <c r="E725" s="50" t="s">
        <v>1653</v>
      </c>
      <c r="F725" s="58">
        <v>18.54</v>
      </c>
      <c r="G725" s="50" t="s">
        <v>85</v>
      </c>
      <c r="H725" s="50" t="s">
        <v>2166</v>
      </c>
      <c r="I725" s="49" t="s">
        <v>173</v>
      </c>
      <c r="J725" s="50" t="s">
        <v>109</v>
      </c>
      <c r="K725" s="50" t="s">
        <v>109</v>
      </c>
      <c r="L725" s="50" t="s">
        <v>12</v>
      </c>
      <c r="M725" s="50" t="s">
        <v>13</v>
      </c>
      <c r="N725" s="50" t="s">
        <v>14</v>
      </c>
      <c r="O725" s="48" t="s">
        <v>631</v>
      </c>
      <c r="P725" s="45" t="s">
        <v>453</v>
      </c>
      <c r="Q725" s="35" t="str">
        <f>MID(Tabla1[[#This Row],[Aplicación]],14,1)</f>
        <v>2</v>
      </c>
      <c r="R725" s="35" t="s">
        <v>441</v>
      </c>
      <c r="S725" s="35" t="str">
        <f>MID(Tabla1[[#This Row],[Aplicación]],6,2)</f>
        <v>10</v>
      </c>
      <c r="T725" s="35" t="str">
        <f>VLOOKUP(Tabla1[[#This Row],[AREA]],Hoja1!A:B,2,FALSE)</f>
        <v>10. Servicios sociales y mediación comunitaria</v>
      </c>
      <c r="U725" s="35" t="str">
        <f>MID(Tabla1[[#This Row],[Aplicación]],9,4)</f>
        <v>2311</v>
      </c>
      <c r="V725" s="35" t="str">
        <f>VLOOKUP(Tabla1[[#This Row],[PROGRAMA]],Hoja1!A:B,2,FALSE)</f>
        <v>2311. Intervención social</v>
      </c>
      <c r="W725" s="35" t="str">
        <f>MID(Tabla1[[#This Row],[Aplicación]],14,2)</f>
        <v>21</v>
      </c>
      <c r="X725" s="35" t="str">
        <f>MID(Tabla1[[#This Row],[Aplicación]],14,6)</f>
        <v>212</v>
      </c>
    </row>
    <row r="726" spans="1:24" x14ac:dyDescent="0.25">
      <c r="A726" s="49">
        <v>220220004077</v>
      </c>
      <c r="B726" s="50" t="s">
        <v>172</v>
      </c>
      <c r="C726" s="57">
        <v>44610</v>
      </c>
      <c r="D726" s="49">
        <v>22022000901</v>
      </c>
      <c r="E726" s="50" t="s">
        <v>1644</v>
      </c>
      <c r="F726" s="58">
        <v>514.19000000000005</v>
      </c>
      <c r="G726" s="50" t="s">
        <v>91</v>
      </c>
      <c r="H726" s="50" t="s">
        <v>2167</v>
      </c>
      <c r="I726" s="49" t="s">
        <v>173</v>
      </c>
      <c r="J726" s="50" t="s">
        <v>573</v>
      </c>
      <c r="K726" s="50" t="s">
        <v>109</v>
      </c>
      <c r="L726" s="50" t="s">
        <v>12</v>
      </c>
      <c r="M726" s="50" t="s">
        <v>13</v>
      </c>
      <c r="N726" s="50" t="s">
        <v>14</v>
      </c>
      <c r="O726" s="48" t="s">
        <v>631</v>
      </c>
      <c r="P726" s="45" t="s">
        <v>453</v>
      </c>
      <c r="Q726" s="35" t="str">
        <f>MID(Tabla1[[#This Row],[Aplicación]],14,1)</f>
        <v>2</v>
      </c>
      <c r="R726" s="35" t="s">
        <v>441</v>
      </c>
      <c r="S726" s="35" t="str">
        <f>MID(Tabla1[[#This Row],[Aplicación]],6,2)</f>
        <v>11</v>
      </c>
      <c r="T726" s="35" t="str">
        <f>VLOOKUP(Tabla1[[#This Row],[AREA]],Hoja1!A:B,2,FALSE)</f>
        <v>11. Salud pública y seguridad ciudadana</v>
      </c>
      <c r="U726" s="35" t="str">
        <f>MID(Tabla1[[#This Row],[Aplicación]],9,4)</f>
        <v>1621</v>
      </c>
      <c r="V726" s="35" t="str">
        <f>VLOOKUP(Tabla1[[#This Row],[PROGRAMA]],Hoja1!A:B,2,FALSE)</f>
        <v>1621. Servicio de limpieza</v>
      </c>
      <c r="W726" s="35" t="str">
        <f>MID(Tabla1[[#This Row],[Aplicación]],14,2)</f>
        <v>21</v>
      </c>
      <c r="X726" s="35" t="str">
        <f>MID(Tabla1[[#This Row],[Aplicación]],14,6)</f>
        <v>214</v>
      </c>
    </row>
    <row r="727" spans="1:24" x14ac:dyDescent="0.25">
      <c r="A727" s="49">
        <v>220220004208</v>
      </c>
      <c r="B727" s="50" t="s">
        <v>172</v>
      </c>
      <c r="C727" s="57">
        <v>44610</v>
      </c>
      <c r="D727" s="49">
        <v>22022000901</v>
      </c>
      <c r="E727" s="50" t="s">
        <v>1644</v>
      </c>
      <c r="F727" s="58">
        <v>910.1</v>
      </c>
      <c r="G727" s="50" t="s">
        <v>91</v>
      </c>
      <c r="H727" s="50" t="s">
        <v>2168</v>
      </c>
      <c r="I727" s="49" t="s">
        <v>173</v>
      </c>
      <c r="J727" s="50" t="s">
        <v>573</v>
      </c>
      <c r="K727" s="50" t="s">
        <v>109</v>
      </c>
      <c r="L727" s="50" t="s">
        <v>12</v>
      </c>
      <c r="M727" s="50" t="s">
        <v>13</v>
      </c>
      <c r="N727" s="50" t="s">
        <v>14</v>
      </c>
      <c r="O727" s="48" t="s">
        <v>631</v>
      </c>
      <c r="P727" s="45" t="s">
        <v>453</v>
      </c>
      <c r="Q727" s="35" t="str">
        <f>MID(Tabla1[[#This Row],[Aplicación]],14,1)</f>
        <v>2</v>
      </c>
      <c r="R727" s="35" t="s">
        <v>441</v>
      </c>
      <c r="S727" s="35" t="str">
        <f>MID(Tabla1[[#This Row],[Aplicación]],6,2)</f>
        <v>11</v>
      </c>
      <c r="T727" s="35" t="str">
        <f>VLOOKUP(Tabla1[[#This Row],[AREA]],Hoja1!A:B,2,FALSE)</f>
        <v>11. Salud pública y seguridad ciudadana</v>
      </c>
      <c r="U727" s="35" t="str">
        <f>MID(Tabla1[[#This Row],[Aplicación]],9,4)</f>
        <v>1621</v>
      </c>
      <c r="V727" s="35" t="str">
        <f>VLOOKUP(Tabla1[[#This Row],[PROGRAMA]],Hoja1!A:B,2,FALSE)</f>
        <v>1621. Servicio de limpieza</v>
      </c>
      <c r="W727" s="35" t="str">
        <f>MID(Tabla1[[#This Row],[Aplicación]],14,2)</f>
        <v>21</v>
      </c>
      <c r="X727" s="35" t="str">
        <f>MID(Tabla1[[#This Row],[Aplicación]],14,6)</f>
        <v>214</v>
      </c>
    </row>
    <row r="728" spans="1:24" x14ac:dyDescent="0.25">
      <c r="A728" s="49">
        <v>220220004222</v>
      </c>
      <c r="B728" s="50" t="s">
        <v>172</v>
      </c>
      <c r="C728" s="57">
        <v>44610</v>
      </c>
      <c r="D728" s="49">
        <v>22022000901</v>
      </c>
      <c r="E728" s="50" t="s">
        <v>1644</v>
      </c>
      <c r="F728" s="58">
        <v>1410.48</v>
      </c>
      <c r="G728" s="50" t="s">
        <v>91</v>
      </c>
      <c r="H728" s="50" t="s">
        <v>2169</v>
      </c>
      <c r="I728" s="49" t="s">
        <v>173</v>
      </c>
      <c r="J728" s="50" t="s">
        <v>573</v>
      </c>
      <c r="K728" s="50" t="s">
        <v>109</v>
      </c>
      <c r="L728" s="50" t="s">
        <v>12</v>
      </c>
      <c r="M728" s="50" t="s">
        <v>13</v>
      </c>
      <c r="N728" s="50" t="s">
        <v>14</v>
      </c>
      <c r="O728" s="48" t="s">
        <v>631</v>
      </c>
      <c r="P728" s="45" t="s">
        <v>453</v>
      </c>
      <c r="Q728" s="35" t="str">
        <f>MID(Tabla1[[#This Row],[Aplicación]],14,1)</f>
        <v>2</v>
      </c>
      <c r="R728" s="35" t="s">
        <v>441</v>
      </c>
      <c r="S728" s="35" t="str">
        <f>MID(Tabla1[[#This Row],[Aplicación]],6,2)</f>
        <v>11</v>
      </c>
      <c r="T728" s="35" t="str">
        <f>VLOOKUP(Tabla1[[#This Row],[AREA]],Hoja1!A:B,2,FALSE)</f>
        <v>11. Salud pública y seguridad ciudadana</v>
      </c>
      <c r="U728" s="35" t="str">
        <f>MID(Tabla1[[#This Row],[Aplicación]],9,4)</f>
        <v>1621</v>
      </c>
      <c r="V728" s="35" t="str">
        <f>VLOOKUP(Tabla1[[#This Row],[PROGRAMA]],Hoja1!A:B,2,FALSE)</f>
        <v>1621. Servicio de limpieza</v>
      </c>
      <c r="W728" s="35" t="str">
        <f>MID(Tabla1[[#This Row],[Aplicación]],14,2)</f>
        <v>21</v>
      </c>
      <c r="X728" s="35" t="str">
        <f>MID(Tabla1[[#This Row],[Aplicación]],14,6)</f>
        <v>214</v>
      </c>
    </row>
    <row r="729" spans="1:24" x14ac:dyDescent="0.25">
      <c r="A729" s="49">
        <v>220220007080</v>
      </c>
      <c r="B729" s="50" t="s">
        <v>172</v>
      </c>
      <c r="C729" s="57">
        <v>44623</v>
      </c>
      <c r="D729" s="49">
        <v>22022000901</v>
      </c>
      <c r="E729" s="50" t="s">
        <v>1644</v>
      </c>
      <c r="F729" s="58">
        <v>1462.09</v>
      </c>
      <c r="G729" s="50" t="s">
        <v>91</v>
      </c>
      <c r="H729" s="50" t="s">
        <v>2170</v>
      </c>
      <c r="I729" s="49" t="s">
        <v>173</v>
      </c>
      <c r="J729" s="50" t="s">
        <v>573</v>
      </c>
      <c r="K729" s="50" t="s">
        <v>109</v>
      </c>
      <c r="L729" s="50" t="s">
        <v>12</v>
      </c>
      <c r="M729" s="50" t="s">
        <v>13</v>
      </c>
      <c r="N729" s="50" t="s">
        <v>14</v>
      </c>
      <c r="O729" s="48" t="s">
        <v>631</v>
      </c>
      <c r="P729" s="45" t="s">
        <v>453</v>
      </c>
      <c r="Q729" s="35" t="str">
        <f>MID(Tabla1[[#This Row],[Aplicación]],14,1)</f>
        <v>2</v>
      </c>
      <c r="R729" s="35" t="s">
        <v>441</v>
      </c>
      <c r="S729" s="35" t="str">
        <f>MID(Tabla1[[#This Row],[Aplicación]],6,2)</f>
        <v>11</v>
      </c>
      <c r="T729" s="35" t="str">
        <f>VLOOKUP(Tabla1[[#This Row],[AREA]],Hoja1!A:B,2,FALSE)</f>
        <v>11. Salud pública y seguridad ciudadana</v>
      </c>
      <c r="U729" s="35" t="str">
        <f>MID(Tabla1[[#This Row],[Aplicación]],9,4)</f>
        <v>1621</v>
      </c>
      <c r="V729" s="35" t="str">
        <f>VLOOKUP(Tabla1[[#This Row],[PROGRAMA]],Hoja1!A:B,2,FALSE)</f>
        <v>1621. Servicio de limpieza</v>
      </c>
      <c r="W729" s="35" t="str">
        <f>MID(Tabla1[[#This Row],[Aplicación]],14,2)</f>
        <v>21</v>
      </c>
      <c r="X729" s="35" t="str">
        <f>MID(Tabla1[[#This Row],[Aplicación]],14,6)</f>
        <v>214</v>
      </c>
    </row>
    <row r="730" spans="1:24" x14ac:dyDescent="0.25">
      <c r="A730" s="49">
        <v>220220013224</v>
      </c>
      <c r="B730" s="50" t="s">
        <v>172</v>
      </c>
      <c r="C730" s="57">
        <v>44650</v>
      </c>
      <c r="D730" s="49">
        <v>22022000901</v>
      </c>
      <c r="E730" s="50" t="s">
        <v>1644</v>
      </c>
      <c r="F730" s="58">
        <v>487.18</v>
      </c>
      <c r="G730" s="50" t="s">
        <v>91</v>
      </c>
      <c r="H730" s="50" t="s">
        <v>2171</v>
      </c>
      <c r="I730" s="49" t="s">
        <v>173</v>
      </c>
      <c r="J730" s="50" t="s">
        <v>573</v>
      </c>
      <c r="K730" s="50" t="s">
        <v>109</v>
      </c>
      <c r="L730" s="50" t="s">
        <v>12</v>
      </c>
      <c r="M730" s="50" t="s">
        <v>13</v>
      </c>
      <c r="N730" s="50" t="s">
        <v>14</v>
      </c>
      <c r="O730" s="48" t="s">
        <v>631</v>
      </c>
      <c r="P730" s="45" t="s">
        <v>453</v>
      </c>
      <c r="Q730" s="35" t="str">
        <f>MID(Tabla1[[#This Row],[Aplicación]],14,1)</f>
        <v>2</v>
      </c>
      <c r="R730" s="35" t="s">
        <v>441</v>
      </c>
      <c r="S730" s="35" t="str">
        <f>MID(Tabla1[[#This Row],[Aplicación]],6,2)</f>
        <v>11</v>
      </c>
      <c r="T730" s="35" t="str">
        <f>VLOOKUP(Tabla1[[#This Row],[AREA]],Hoja1!A:B,2,FALSE)</f>
        <v>11. Salud pública y seguridad ciudadana</v>
      </c>
      <c r="U730" s="35" t="str">
        <f>MID(Tabla1[[#This Row],[Aplicación]],9,4)</f>
        <v>1621</v>
      </c>
      <c r="V730" s="35" t="str">
        <f>VLOOKUP(Tabla1[[#This Row],[PROGRAMA]],Hoja1!A:B,2,FALSE)</f>
        <v>1621. Servicio de limpieza</v>
      </c>
      <c r="W730" s="35" t="str">
        <f>MID(Tabla1[[#This Row],[Aplicación]],14,2)</f>
        <v>21</v>
      </c>
      <c r="X730" s="35" t="str">
        <f>MID(Tabla1[[#This Row],[Aplicación]],14,6)</f>
        <v>214</v>
      </c>
    </row>
    <row r="731" spans="1:24" x14ac:dyDescent="0.25">
      <c r="A731" s="49">
        <v>220220013226</v>
      </c>
      <c r="B731" s="50" t="s">
        <v>172</v>
      </c>
      <c r="C731" s="57">
        <v>44650</v>
      </c>
      <c r="D731" s="49">
        <v>22022000901</v>
      </c>
      <c r="E731" s="50" t="s">
        <v>1644</v>
      </c>
      <c r="F731" s="58">
        <v>982.54</v>
      </c>
      <c r="G731" s="50" t="s">
        <v>91</v>
      </c>
      <c r="H731" s="50" t="s">
        <v>2172</v>
      </c>
      <c r="I731" s="49" t="s">
        <v>173</v>
      </c>
      <c r="J731" s="50" t="s">
        <v>573</v>
      </c>
      <c r="K731" s="50" t="s">
        <v>109</v>
      </c>
      <c r="L731" s="50" t="s">
        <v>12</v>
      </c>
      <c r="M731" s="50" t="s">
        <v>13</v>
      </c>
      <c r="N731" s="50" t="s">
        <v>14</v>
      </c>
      <c r="O731" s="48" t="s">
        <v>631</v>
      </c>
      <c r="P731" s="45" t="s">
        <v>453</v>
      </c>
      <c r="Q731" s="35" t="str">
        <f>MID(Tabla1[[#This Row],[Aplicación]],14,1)</f>
        <v>2</v>
      </c>
      <c r="R731" s="35" t="s">
        <v>441</v>
      </c>
      <c r="S731" s="35" t="str">
        <f>MID(Tabla1[[#This Row],[Aplicación]],6,2)</f>
        <v>11</v>
      </c>
      <c r="T731" s="35" t="str">
        <f>VLOOKUP(Tabla1[[#This Row],[AREA]],Hoja1!A:B,2,FALSE)</f>
        <v>11. Salud pública y seguridad ciudadana</v>
      </c>
      <c r="U731" s="35" t="str">
        <f>MID(Tabla1[[#This Row],[Aplicación]],9,4)</f>
        <v>1621</v>
      </c>
      <c r="V731" s="35" t="str">
        <f>VLOOKUP(Tabla1[[#This Row],[PROGRAMA]],Hoja1!A:B,2,FALSE)</f>
        <v>1621. Servicio de limpieza</v>
      </c>
      <c r="W731" s="35" t="str">
        <f>MID(Tabla1[[#This Row],[Aplicación]],14,2)</f>
        <v>21</v>
      </c>
      <c r="X731" s="35" t="str">
        <f>MID(Tabla1[[#This Row],[Aplicación]],14,6)</f>
        <v>214</v>
      </c>
    </row>
    <row r="732" spans="1:24" x14ac:dyDescent="0.25">
      <c r="A732" s="49">
        <v>220220013228</v>
      </c>
      <c r="B732" s="50" t="s">
        <v>172</v>
      </c>
      <c r="C732" s="57">
        <v>44650</v>
      </c>
      <c r="D732" s="49">
        <v>22022000901</v>
      </c>
      <c r="E732" s="50" t="s">
        <v>1644</v>
      </c>
      <c r="F732" s="58">
        <v>772.62</v>
      </c>
      <c r="G732" s="50" t="s">
        <v>91</v>
      </c>
      <c r="H732" s="50" t="s">
        <v>2173</v>
      </c>
      <c r="I732" s="49" t="s">
        <v>173</v>
      </c>
      <c r="J732" s="50" t="s">
        <v>573</v>
      </c>
      <c r="K732" s="50" t="s">
        <v>109</v>
      </c>
      <c r="L732" s="50" t="s">
        <v>12</v>
      </c>
      <c r="M732" s="50" t="s">
        <v>13</v>
      </c>
      <c r="N732" s="50" t="s">
        <v>14</v>
      </c>
      <c r="O732" s="48" t="s">
        <v>631</v>
      </c>
      <c r="P732" s="45" t="s">
        <v>453</v>
      </c>
      <c r="Q732" s="35" t="str">
        <f>MID(Tabla1[[#This Row],[Aplicación]],14,1)</f>
        <v>2</v>
      </c>
      <c r="R732" s="35" t="s">
        <v>441</v>
      </c>
      <c r="S732" s="35" t="str">
        <f>MID(Tabla1[[#This Row],[Aplicación]],6,2)</f>
        <v>11</v>
      </c>
      <c r="T732" s="35" t="str">
        <f>VLOOKUP(Tabla1[[#This Row],[AREA]],Hoja1!A:B,2,FALSE)</f>
        <v>11. Salud pública y seguridad ciudadana</v>
      </c>
      <c r="U732" s="35" t="str">
        <f>MID(Tabla1[[#This Row],[Aplicación]],9,4)</f>
        <v>1621</v>
      </c>
      <c r="V732" s="35" t="str">
        <f>VLOOKUP(Tabla1[[#This Row],[PROGRAMA]],Hoja1!A:B,2,FALSE)</f>
        <v>1621. Servicio de limpieza</v>
      </c>
      <c r="W732" s="35" t="str">
        <f>MID(Tabla1[[#This Row],[Aplicación]],14,2)</f>
        <v>21</v>
      </c>
      <c r="X732" s="35" t="str">
        <f>MID(Tabla1[[#This Row],[Aplicación]],14,6)</f>
        <v>214</v>
      </c>
    </row>
    <row r="733" spans="1:24" x14ac:dyDescent="0.25">
      <c r="A733" s="49">
        <v>220220004131</v>
      </c>
      <c r="B733" s="50" t="s">
        <v>172</v>
      </c>
      <c r="C733" s="57">
        <v>44610</v>
      </c>
      <c r="D733" s="49">
        <v>22022000030</v>
      </c>
      <c r="E733" s="50" t="s">
        <v>2007</v>
      </c>
      <c r="F733" s="58">
        <v>13.66</v>
      </c>
      <c r="G733" s="50" t="s">
        <v>85</v>
      </c>
      <c r="H733" s="50" t="s">
        <v>2174</v>
      </c>
      <c r="I733" s="49" t="s">
        <v>173</v>
      </c>
      <c r="J733" s="50" t="s">
        <v>109</v>
      </c>
      <c r="K733" s="50" t="s">
        <v>109</v>
      </c>
      <c r="L733" s="50" t="s">
        <v>15</v>
      </c>
      <c r="M733" s="50" t="s">
        <v>13</v>
      </c>
      <c r="N733" s="50" t="s">
        <v>14</v>
      </c>
      <c r="O733" s="48" t="s">
        <v>631</v>
      </c>
      <c r="P733" s="45" t="s">
        <v>453</v>
      </c>
      <c r="Q733" s="35" t="str">
        <f>MID(Tabla1[[#This Row],[Aplicación]],14,1)</f>
        <v>2</v>
      </c>
      <c r="R733" s="35" t="s">
        <v>441</v>
      </c>
      <c r="S733" s="35" t="str">
        <f>MID(Tabla1[[#This Row],[Aplicación]],6,2)</f>
        <v>11</v>
      </c>
      <c r="T733" s="35" t="str">
        <f>VLOOKUP(Tabla1[[#This Row],[AREA]],Hoja1!A:B,2,FALSE)</f>
        <v>11. Salud pública y seguridad ciudadana</v>
      </c>
      <c r="U733" s="35" t="str">
        <f>MID(Tabla1[[#This Row],[Aplicación]],9,4)</f>
        <v>1621</v>
      </c>
      <c r="V733" s="35" t="str">
        <f>VLOOKUP(Tabla1[[#This Row],[PROGRAMA]],Hoja1!A:B,2,FALSE)</f>
        <v>1621. Servicio de limpieza</v>
      </c>
      <c r="W733" s="35" t="str">
        <f>MID(Tabla1[[#This Row],[Aplicación]],14,2)</f>
        <v>22</v>
      </c>
      <c r="X733" s="35" t="str">
        <f>MID(Tabla1[[#This Row],[Aplicación]],14,6)</f>
        <v>22199</v>
      </c>
    </row>
    <row r="734" spans="1:24" x14ac:dyDescent="0.25">
      <c r="A734" s="49">
        <v>220220008571</v>
      </c>
      <c r="B734" s="50" t="s">
        <v>172</v>
      </c>
      <c r="C734" s="57">
        <v>44631</v>
      </c>
      <c r="D734" s="49">
        <v>22022000030</v>
      </c>
      <c r="E734" s="50" t="s">
        <v>2007</v>
      </c>
      <c r="F734" s="58">
        <v>12.15</v>
      </c>
      <c r="G734" s="50" t="s">
        <v>85</v>
      </c>
      <c r="H734" s="50" t="s">
        <v>2175</v>
      </c>
      <c r="I734" s="49" t="s">
        <v>173</v>
      </c>
      <c r="J734" s="50" t="s">
        <v>109</v>
      </c>
      <c r="K734" s="50" t="s">
        <v>109</v>
      </c>
      <c r="L734" s="50" t="s">
        <v>15</v>
      </c>
      <c r="M734" s="50" t="s">
        <v>13</v>
      </c>
      <c r="N734" s="50" t="s">
        <v>14</v>
      </c>
      <c r="O734" s="48" t="s">
        <v>631</v>
      </c>
      <c r="P734" s="45" t="s">
        <v>453</v>
      </c>
      <c r="Q734" s="35" t="str">
        <f>MID(Tabla1[[#This Row],[Aplicación]],14,1)</f>
        <v>2</v>
      </c>
      <c r="R734" s="35" t="s">
        <v>441</v>
      </c>
      <c r="S734" s="35" t="str">
        <f>MID(Tabla1[[#This Row],[Aplicación]],6,2)</f>
        <v>11</v>
      </c>
      <c r="T734" s="35" t="str">
        <f>VLOOKUP(Tabla1[[#This Row],[AREA]],Hoja1!A:B,2,FALSE)</f>
        <v>11. Salud pública y seguridad ciudadana</v>
      </c>
      <c r="U734" s="35" t="str">
        <f>MID(Tabla1[[#This Row],[Aplicación]],9,4)</f>
        <v>1621</v>
      </c>
      <c r="V734" s="35" t="str">
        <f>VLOOKUP(Tabla1[[#This Row],[PROGRAMA]],Hoja1!A:B,2,FALSE)</f>
        <v>1621. Servicio de limpieza</v>
      </c>
      <c r="W734" s="35" t="str">
        <f>MID(Tabla1[[#This Row],[Aplicación]],14,2)</f>
        <v>22</v>
      </c>
      <c r="X734" s="35" t="str">
        <f>MID(Tabla1[[#This Row],[Aplicación]],14,6)</f>
        <v>22199</v>
      </c>
    </row>
    <row r="735" spans="1:24" x14ac:dyDescent="0.25">
      <c r="A735" s="49">
        <v>220220007017</v>
      </c>
      <c r="B735" s="50" t="s">
        <v>172</v>
      </c>
      <c r="C735" s="57">
        <v>44623</v>
      </c>
      <c r="D735" s="49">
        <v>22022001643</v>
      </c>
      <c r="E735" s="50" t="s">
        <v>2116</v>
      </c>
      <c r="F735" s="58">
        <v>9.6999999999999993</v>
      </c>
      <c r="G735" s="50" t="s">
        <v>85</v>
      </c>
      <c r="H735" s="50" t="s">
        <v>2176</v>
      </c>
      <c r="I735" s="49" t="s">
        <v>173</v>
      </c>
      <c r="J735" s="50" t="s">
        <v>109</v>
      </c>
      <c r="K735" s="50" t="s">
        <v>109</v>
      </c>
      <c r="L735" s="50" t="s">
        <v>15</v>
      </c>
      <c r="M735" s="50" t="s">
        <v>13</v>
      </c>
      <c r="N735" s="50" t="s">
        <v>14</v>
      </c>
      <c r="O735" s="48" t="s">
        <v>631</v>
      </c>
      <c r="P735" s="45" t="s">
        <v>453</v>
      </c>
      <c r="Q735" s="35" t="str">
        <f>MID(Tabla1[[#This Row],[Aplicación]],14,1)</f>
        <v>2</v>
      </c>
      <c r="R735" s="35" t="s">
        <v>441</v>
      </c>
      <c r="S735" s="35" t="str">
        <f>MID(Tabla1[[#This Row],[Aplicación]],6,2)</f>
        <v>06</v>
      </c>
      <c r="T735" s="35" t="str">
        <f>VLOOKUP(Tabla1[[#This Row],[AREA]],Hoja1!A:B,2,FALSE)</f>
        <v>06. Educación, infancia, juventud e igualdad</v>
      </c>
      <c r="U735" s="35" t="str">
        <f>MID(Tabla1[[#This Row],[Aplicación]],9,4)</f>
        <v>3321</v>
      </c>
      <c r="V735" s="35" t="str">
        <f>VLOOKUP(Tabla1[[#This Row],[PROGRAMA]],Hoja1!A:B,2,FALSE)</f>
        <v>3321. Bibliotecas públicas</v>
      </c>
      <c r="W735" s="35" t="str">
        <f>MID(Tabla1[[#This Row],[Aplicación]],14,2)</f>
        <v>21</v>
      </c>
      <c r="X735" s="35" t="str">
        <f>MID(Tabla1[[#This Row],[Aplicación]],14,6)</f>
        <v>212</v>
      </c>
    </row>
    <row r="736" spans="1:24" x14ac:dyDescent="0.25">
      <c r="A736" s="49">
        <v>220220010117</v>
      </c>
      <c r="B736" s="50" t="s">
        <v>172</v>
      </c>
      <c r="C736" s="57">
        <v>44638</v>
      </c>
      <c r="D736" s="49">
        <v>22022001641</v>
      </c>
      <c r="E736" s="50" t="s">
        <v>2034</v>
      </c>
      <c r="F736" s="58">
        <v>4674.6899999999996</v>
      </c>
      <c r="G736" s="50" t="s">
        <v>1024</v>
      </c>
      <c r="H736" s="50" t="s">
        <v>2177</v>
      </c>
      <c r="I736" s="49" t="s">
        <v>173</v>
      </c>
      <c r="J736" s="50" t="s">
        <v>547</v>
      </c>
      <c r="K736" s="50" t="s">
        <v>109</v>
      </c>
      <c r="L736" s="50" t="s">
        <v>12</v>
      </c>
      <c r="M736" s="50" t="s">
        <v>13</v>
      </c>
      <c r="N736" s="50" t="s">
        <v>16</v>
      </c>
      <c r="O736" s="48" t="s">
        <v>631</v>
      </c>
      <c r="P736" s="45" t="s">
        <v>453</v>
      </c>
      <c r="Q736" s="35" t="str">
        <f>MID(Tabla1[[#This Row],[Aplicación]],14,1)</f>
        <v>2</v>
      </c>
      <c r="R736" s="35" t="s">
        <v>441</v>
      </c>
      <c r="S736" s="35" t="str">
        <f>MID(Tabla1[[#This Row],[Aplicación]],6,2)</f>
        <v>06</v>
      </c>
      <c r="T736" s="35" t="str">
        <f>VLOOKUP(Tabla1[[#This Row],[AREA]],Hoja1!A:B,2,FALSE)</f>
        <v>06. Educación, infancia, juventud e igualdad</v>
      </c>
      <c r="U736" s="35" t="str">
        <f>MID(Tabla1[[#This Row],[Aplicación]],9,4)</f>
        <v>3232</v>
      </c>
      <c r="V736" s="35" t="str">
        <f>VLOOKUP(Tabla1[[#This Row],[PROGRAMA]],Hoja1!A:B,2,FALSE)</f>
        <v>3232. Conservación y mantenimiento centros educación infantil y primaria</v>
      </c>
      <c r="W736" s="35" t="str">
        <f>MID(Tabla1[[#This Row],[Aplicación]],14,2)</f>
        <v>21</v>
      </c>
      <c r="X736" s="35" t="str">
        <f>MID(Tabla1[[#This Row],[Aplicación]],14,6)</f>
        <v>212</v>
      </c>
    </row>
    <row r="737" spans="1:24" x14ac:dyDescent="0.25">
      <c r="A737" s="49">
        <v>220220005739</v>
      </c>
      <c r="B737" s="50" t="s">
        <v>172</v>
      </c>
      <c r="C737" s="57">
        <v>44614</v>
      </c>
      <c r="D737" s="49">
        <v>22022001552</v>
      </c>
      <c r="E737" s="50" t="s">
        <v>1975</v>
      </c>
      <c r="F737" s="58">
        <v>2867.68</v>
      </c>
      <c r="G737" s="50" t="s">
        <v>1024</v>
      </c>
      <c r="H737" s="50" t="s">
        <v>2178</v>
      </c>
      <c r="I737" s="49" t="s">
        <v>173</v>
      </c>
      <c r="J737" s="50" t="s">
        <v>547</v>
      </c>
      <c r="K737" s="50" t="s">
        <v>109</v>
      </c>
      <c r="L737" s="50" t="s">
        <v>15</v>
      </c>
      <c r="M737" s="50" t="s">
        <v>13</v>
      </c>
      <c r="N737" s="50" t="s">
        <v>14</v>
      </c>
      <c r="O737" s="48" t="s">
        <v>631</v>
      </c>
      <c r="P737" s="45" t="s">
        <v>453</v>
      </c>
      <c r="Q737" s="35" t="str">
        <f>MID(Tabla1[[#This Row],[Aplicación]],14,1)</f>
        <v>2</v>
      </c>
      <c r="R737" s="35" t="s">
        <v>441</v>
      </c>
      <c r="S737" s="35" t="str">
        <f>MID(Tabla1[[#This Row],[Aplicación]],6,2)</f>
        <v>08</v>
      </c>
      <c r="T737" s="35" t="str">
        <f>VLOOKUP(Tabla1[[#This Row],[AREA]],Hoja1!A:B,2,FALSE)</f>
        <v>08. Movilidad y espacio urbano</v>
      </c>
      <c r="U737" s="35" t="str">
        <f>MID(Tabla1[[#This Row],[Aplicación]],9,4)</f>
        <v>1532</v>
      </c>
      <c r="V737" s="35" t="str">
        <f>VLOOKUP(Tabla1[[#This Row],[PROGRAMA]],Hoja1!A:B,2,FALSE)</f>
        <v>1532. Pavimentación vias públicas y otros servicios urbanísticos</v>
      </c>
      <c r="W737" s="35" t="str">
        <f>MID(Tabla1[[#This Row],[Aplicación]],14,2)</f>
        <v>21</v>
      </c>
      <c r="X737" s="35" t="str">
        <f>MID(Tabla1[[#This Row],[Aplicación]],14,6)</f>
        <v>210</v>
      </c>
    </row>
    <row r="738" spans="1:24" x14ac:dyDescent="0.25">
      <c r="A738" s="49">
        <v>220220004121</v>
      </c>
      <c r="B738" s="50" t="s">
        <v>172</v>
      </c>
      <c r="C738" s="57">
        <v>44610</v>
      </c>
      <c r="D738" s="49">
        <v>22022001456</v>
      </c>
      <c r="E738" s="50" t="s">
        <v>2012</v>
      </c>
      <c r="F738" s="58">
        <v>644.23</v>
      </c>
      <c r="G738" s="50" t="s">
        <v>1024</v>
      </c>
      <c r="H738" s="50" t="s">
        <v>2179</v>
      </c>
      <c r="I738" s="49" t="s">
        <v>173</v>
      </c>
      <c r="J738" s="50" t="s">
        <v>547</v>
      </c>
      <c r="K738" s="50" t="s">
        <v>109</v>
      </c>
      <c r="L738" s="50" t="s">
        <v>15</v>
      </c>
      <c r="M738" s="50" t="s">
        <v>13</v>
      </c>
      <c r="N738" s="50" t="s">
        <v>14</v>
      </c>
      <c r="O738" s="48" t="s">
        <v>631</v>
      </c>
      <c r="P738" s="45" t="s">
        <v>453</v>
      </c>
      <c r="Q738" s="35" t="str">
        <f>MID(Tabla1[[#This Row],[Aplicación]],14,1)</f>
        <v>2</v>
      </c>
      <c r="R738" s="35" t="s">
        <v>441</v>
      </c>
      <c r="S738" s="35" t="str">
        <f>MID(Tabla1[[#This Row],[Aplicación]],6,2)</f>
        <v>11</v>
      </c>
      <c r="T738" s="35" t="str">
        <f>VLOOKUP(Tabla1[[#This Row],[AREA]],Hoja1!A:B,2,FALSE)</f>
        <v>11. Salud pública y seguridad ciudadana</v>
      </c>
      <c r="U738" s="35" t="str">
        <f>MID(Tabla1[[#This Row],[Aplicación]],9,4)</f>
        <v>1321</v>
      </c>
      <c r="V738" s="35" t="str">
        <f>VLOOKUP(Tabla1[[#This Row],[PROGRAMA]],Hoja1!A:B,2,FALSE)</f>
        <v>1321. Policía municipal</v>
      </c>
      <c r="W738" s="35" t="str">
        <f>MID(Tabla1[[#This Row],[Aplicación]],14,2)</f>
        <v>22</v>
      </c>
      <c r="X738" s="35" t="str">
        <f>MID(Tabla1[[#This Row],[Aplicación]],14,6)</f>
        <v>22199</v>
      </c>
    </row>
    <row r="739" spans="1:24" x14ac:dyDescent="0.25">
      <c r="A739" s="49">
        <v>220220008745</v>
      </c>
      <c r="B739" s="50" t="s">
        <v>172</v>
      </c>
      <c r="C739" s="57">
        <v>44634</v>
      </c>
      <c r="D739" s="49">
        <v>22022001626</v>
      </c>
      <c r="E739" s="50" t="s">
        <v>1635</v>
      </c>
      <c r="F739" s="58">
        <v>566.70000000000005</v>
      </c>
      <c r="G739" s="50" t="s">
        <v>1024</v>
      </c>
      <c r="H739" s="50" t="s">
        <v>2180</v>
      </c>
      <c r="I739" s="49" t="s">
        <v>173</v>
      </c>
      <c r="J739" s="50" t="s">
        <v>547</v>
      </c>
      <c r="K739" s="50" t="s">
        <v>109</v>
      </c>
      <c r="L739" s="50" t="s">
        <v>15</v>
      </c>
      <c r="M739" s="50" t="s">
        <v>13</v>
      </c>
      <c r="N739" s="50" t="s">
        <v>16</v>
      </c>
      <c r="O739" s="48" t="s">
        <v>631</v>
      </c>
      <c r="P739" s="45" t="s">
        <v>453</v>
      </c>
      <c r="Q739" s="35" t="str">
        <f>MID(Tabla1[[#This Row],[Aplicación]],14,1)</f>
        <v>2</v>
      </c>
      <c r="R739" s="35" t="s">
        <v>441</v>
      </c>
      <c r="S739" s="35" t="str">
        <f>MID(Tabla1[[#This Row],[Aplicación]],6,2)</f>
        <v>03</v>
      </c>
      <c r="T739" s="35" t="str">
        <f>VLOOKUP(Tabla1[[#This Row],[AREA]],Hoja1!A:B,2,FALSE)</f>
        <v>03. Participación ciudadana y deportes</v>
      </c>
      <c r="U739" s="35" t="str">
        <f>MID(Tabla1[[#This Row],[Aplicación]],9,4)</f>
        <v>9241</v>
      </c>
      <c r="V739" s="35" t="str">
        <f>VLOOKUP(Tabla1[[#This Row],[PROGRAMA]],Hoja1!A:B,2,FALSE)</f>
        <v>9241. Participación ciudadana</v>
      </c>
      <c r="W739" s="35" t="str">
        <f>MID(Tabla1[[#This Row],[Aplicación]],14,2)</f>
        <v>21</v>
      </c>
      <c r="X739" s="35" t="str">
        <f>MID(Tabla1[[#This Row],[Aplicación]],14,6)</f>
        <v>212</v>
      </c>
    </row>
    <row r="740" spans="1:24" x14ac:dyDescent="0.25">
      <c r="A740" s="49">
        <v>220220002462</v>
      </c>
      <c r="B740" s="50" t="s">
        <v>172</v>
      </c>
      <c r="C740" s="57">
        <v>44594</v>
      </c>
      <c r="D740" s="49">
        <v>22022001641</v>
      </c>
      <c r="E740" s="50" t="s">
        <v>2034</v>
      </c>
      <c r="F740" s="58">
        <v>550.57000000000005</v>
      </c>
      <c r="G740" s="50" t="s">
        <v>1024</v>
      </c>
      <c r="H740" s="50" t="s">
        <v>2181</v>
      </c>
      <c r="I740" s="49" t="s">
        <v>173</v>
      </c>
      <c r="J740" s="50" t="s">
        <v>547</v>
      </c>
      <c r="K740" s="50" t="s">
        <v>109</v>
      </c>
      <c r="L740" s="50" t="s">
        <v>15</v>
      </c>
      <c r="M740" s="50" t="s">
        <v>13</v>
      </c>
      <c r="N740" s="50" t="s">
        <v>14</v>
      </c>
      <c r="O740" s="48" t="s">
        <v>631</v>
      </c>
      <c r="P740" s="45" t="s">
        <v>453</v>
      </c>
      <c r="Q740" s="35" t="str">
        <f>MID(Tabla1[[#This Row],[Aplicación]],14,1)</f>
        <v>2</v>
      </c>
      <c r="R740" s="35" t="s">
        <v>441</v>
      </c>
      <c r="S740" s="35" t="str">
        <f>MID(Tabla1[[#This Row],[Aplicación]],6,2)</f>
        <v>06</v>
      </c>
      <c r="T740" s="35" t="str">
        <f>VLOOKUP(Tabla1[[#This Row],[AREA]],Hoja1!A:B,2,FALSE)</f>
        <v>06. Educación, infancia, juventud e igualdad</v>
      </c>
      <c r="U740" s="35" t="str">
        <f>MID(Tabla1[[#This Row],[Aplicación]],9,4)</f>
        <v>3232</v>
      </c>
      <c r="V740" s="35" t="str">
        <f>VLOOKUP(Tabla1[[#This Row],[PROGRAMA]],Hoja1!A:B,2,FALSE)</f>
        <v>3232. Conservación y mantenimiento centros educación infantil y primaria</v>
      </c>
      <c r="W740" s="35" t="str">
        <f>MID(Tabla1[[#This Row],[Aplicación]],14,2)</f>
        <v>21</v>
      </c>
      <c r="X740" s="35" t="str">
        <f>MID(Tabla1[[#This Row],[Aplicación]],14,6)</f>
        <v>212</v>
      </c>
    </row>
    <row r="741" spans="1:24" x14ac:dyDescent="0.25">
      <c r="A741" s="49">
        <v>220220002470</v>
      </c>
      <c r="B741" s="50" t="s">
        <v>172</v>
      </c>
      <c r="C741" s="57">
        <v>44594</v>
      </c>
      <c r="D741" s="49">
        <v>22022001626</v>
      </c>
      <c r="E741" s="50" t="s">
        <v>1635</v>
      </c>
      <c r="F741" s="58">
        <v>410.26</v>
      </c>
      <c r="G741" s="50" t="s">
        <v>1024</v>
      </c>
      <c r="H741" s="50" t="s">
        <v>2182</v>
      </c>
      <c r="I741" s="49" t="s">
        <v>173</v>
      </c>
      <c r="J741" s="50" t="s">
        <v>547</v>
      </c>
      <c r="K741" s="50" t="s">
        <v>109</v>
      </c>
      <c r="L741" s="50" t="s">
        <v>15</v>
      </c>
      <c r="M741" s="50" t="s">
        <v>13</v>
      </c>
      <c r="N741" s="50" t="s">
        <v>16</v>
      </c>
      <c r="O741" s="48" t="s">
        <v>631</v>
      </c>
      <c r="P741" s="45" t="s">
        <v>453</v>
      </c>
      <c r="Q741" s="35" t="str">
        <f>MID(Tabla1[[#This Row],[Aplicación]],14,1)</f>
        <v>2</v>
      </c>
      <c r="R741" s="35" t="s">
        <v>441</v>
      </c>
      <c r="S741" s="35" t="str">
        <f>MID(Tabla1[[#This Row],[Aplicación]],6,2)</f>
        <v>03</v>
      </c>
      <c r="T741" s="35" t="str">
        <f>VLOOKUP(Tabla1[[#This Row],[AREA]],Hoja1!A:B,2,FALSE)</f>
        <v>03. Participación ciudadana y deportes</v>
      </c>
      <c r="U741" s="35" t="str">
        <f>MID(Tabla1[[#This Row],[Aplicación]],9,4)</f>
        <v>9241</v>
      </c>
      <c r="V741" s="35" t="str">
        <f>VLOOKUP(Tabla1[[#This Row],[PROGRAMA]],Hoja1!A:B,2,FALSE)</f>
        <v>9241. Participación ciudadana</v>
      </c>
      <c r="W741" s="35" t="str">
        <f>MID(Tabla1[[#This Row],[Aplicación]],14,2)</f>
        <v>21</v>
      </c>
      <c r="X741" s="35" t="str">
        <f>MID(Tabla1[[#This Row],[Aplicación]],14,6)</f>
        <v>212</v>
      </c>
    </row>
    <row r="742" spans="1:24" x14ac:dyDescent="0.25">
      <c r="A742" s="49">
        <v>220220009968</v>
      </c>
      <c r="B742" s="50" t="s">
        <v>172</v>
      </c>
      <c r="C742" s="57">
        <v>44638</v>
      </c>
      <c r="D742" s="49">
        <v>22022001183</v>
      </c>
      <c r="E742" s="50" t="s">
        <v>2020</v>
      </c>
      <c r="F742" s="58">
        <v>110.96</v>
      </c>
      <c r="G742" s="50" t="s">
        <v>1024</v>
      </c>
      <c r="H742" s="50" t="s">
        <v>2183</v>
      </c>
      <c r="I742" s="49" t="s">
        <v>173</v>
      </c>
      <c r="J742" s="50" t="s">
        <v>547</v>
      </c>
      <c r="K742" s="50" t="s">
        <v>109</v>
      </c>
      <c r="L742" s="50" t="s">
        <v>15</v>
      </c>
      <c r="M742" s="50" t="s">
        <v>13</v>
      </c>
      <c r="N742" s="50" t="s">
        <v>14</v>
      </c>
      <c r="O742" s="48" t="s">
        <v>631</v>
      </c>
      <c r="P742" s="45" t="s">
        <v>453</v>
      </c>
      <c r="Q742" s="35" t="str">
        <f>MID(Tabla1[[#This Row],[Aplicación]],14,1)</f>
        <v>2</v>
      </c>
      <c r="R742" s="35" t="s">
        <v>441</v>
      </c>
      <c r="S742" s="35" t="str">
        <f>MID(Tabla1[[#This Row],[Aplicación]],6,2)</f>
        <v>10</v>
      </c>
      <c r="T742" s="35" t="str">
        <f>VLOOKUP(Tabla1[[#This Row],[AREA]],Hoja1!A:B,2,FALSE)</f>
        <v>10. Servicios sociales y mediación comunitaria</v>
      </c>
      <c r="U742" s="35" t="str">
        <f>MID(Tabla1[[#This Row],[Aplicación]],9,4)</f>
        <v>2312</v>
      </c>
      <c r="V742" s="35" t="str">
        <f>VLOOKUP(Tabla1[[#This Row],[PROGRAMA]],Hoja1!A:B,2,FALSE)</f>
        <v>2312. Iniciativas sociales</v>
      </c>
      <c r="W742" s="35" t="str">
        <f>MID(Tabla1[[#This Row],[Aplicación]],14,2)</f>
        <v>21</v>
      </c>
      <c r="X742" s="35" t="str">
        <f>MID(Tabla1[[#This Row],[Aplicación]],14,6)</f>
        <v>212</v>
      </c>
    </row>
    <row r="743" spans="1:24" x14ac:dyDescent="0.25">
      <c r="A743" s="49">
        <v>220220002408</v>
      </c>
      <c r="B743" s="50" t="s">
        <v>172</v>
      </c>
      <c r="C743" s="57">
        <v>44594</v>
      </c>
      <c r="D743" s="49">
        <v>22022001179</v>
      </c>
      <c r="E743" s="50" t="s">
        <v>1653</v>
      </c>
      <c r="F743" s="58">
        <v>52.41</v>
      </c>
      <c r="G743" s="50" t="s">
        <v>1024</v>
      </c>
      <c r="H743" s="50" t="s">
        <v>2184</v>
      </c>
      <c r="I743" s="49" t="s">
        <v>173</v>
      </c>
      <c r="J743" s="50" t="s">
        <v>547</v>
      </c>
      <c r="K743" s="50" t="s">
        <v>109</v>
      </c>
      <c r="L743" s="50" t="s">
        <v>15</v>
      </c>
      <c r="M743" s="50" t="s">
        <v>13</v>
      </c>
      <c r="N743" s="50" t="s">
        <v>14</v>
      </c>
      <c r="O743" s="48" t="s">
        <v>631</v>
      </c>
      <c r="P743" s="45" t="s">
        <v>453</v>
      </c>
      <c r="Q743" s="35" t="str">
        <f>MID(Tabla1[[#This Row],[Aplicación]],14,1)</f>
        <v>2</v>
      </c>
      <c r="R743" s="35" t="s">
        <v>441</v>
      </c>
      <c r="S743" s="35" t="str">
        <f>MID(Tabla1[[#This Row],[Aplicación]],6,2)</f>
        <v>10</v>
      </c>
      <c r="T743" s="35" t="str">
        <f>VLOOKUP(Tabla1[[#This Row],[AREA]],Hoja1!A:B,2,FALSE)</f>
        <v>10. Servicios sociales y mediación comunitaria</v>
      </c>
      <c r="U743" s="35" t="str">
        <f>MID(Tabla1[[#This Row],[Aplicación]],9,4)</f>
        <v>2311</v>
      </c>
      <c r="V743" s="35" t="str">
        <f>VLOOKUP(Tabla1[[#This Row],[PROGRAMA]],Hoja1!A:B,2,FALSE)</f>
        <v>2311. Intervención social</v>
      </c>
      <c r="W743" s="35" t="str">
        <f>MID(Tabla1[[#This Row],[Aplicación]],14,2)</f>
        <v>21</v>
      </c>
      <c r="X743" s="35" t="str">
        <f>MID(Tabla1[[#This Row],[Aplicación]],14,6)</f>
        <v>212</v>
      </c>
    </row>
    <row r="744" spans="1:24" x14ac:dyDescent="0.25">
      <c r="A744" s="49">
        <v>220220010019</v>
      </c>
      <c r="B744" s="50" t="s">
        <v>172</v>
      </c>
      <c r="C744" s="57">
        <v>44638</v>
      </c>
      <c r="D744" s="49">
        <v>22022001179</v>
      </c>
      <c r="E744" s="50" t="s">
        <v>1653</v>
      </c>
      <c r="F744" s="58">
        <v>52.39</v>
      </c>
      <c r="G744" s="50" t="s">
        <v>1024</v>
      </c>
      <c r="H744" s="50" t="s">
        <v>2185</v>
      </c>
      <c r="I744" s="49" t="s">
        <v>173</v>
      </c>
      <c r="J744" s="50" t="s">
        <v>547</v>
      </c>
      <c r="K744" s="50" t="s">
        <v>109</v>
      </c>
      <c r="L744" s="50" t="s">
        <v>15</v>
      </c>
      <c r="M744" s="50" t="s">
        <v>13</v>
      </c>
      <c r="N744" s="50" t="s">
        <v>14</v>
      </c>
      <c r="O744" s="48" t="s">
        <v>631</v>
      </c>
      <c r="P744" s="45" t="s">
        <v>453</v>
      </c>
      <c r="Q744" s="35" t="str">
        <f>MID(Tabla1[[#This Row],[Aplicación]],14,1)</f>
        <v>2</v>
      </c>
      <c r="R744" s="35" t="s">
        <v>441</v>
      </c>
      <c r="S744" s="35" t="str">
        <f>MID(Tabla1[[#This Row],[Aplicación]],6,2)</f>
        <v>10</v>
      </c>
      <c r="T744" s="35" t="str">
        <f>VLOOKUP(Tabla1[[#This Row],[AREA]],Hoja1!A:B,2,FALSE)</f>
        <v>10. Servicios sociales y mediación comunitaria</v>
      </c>
      <c r="U744" s="35" t="str">
        <f>MID(Tabla1[[#This Row],[Aplicación]],9,4)</f>
        <v>2311</v>
      </c>
      <c r="V744" s="35" t="str">
        <f>VLOOKUP(Tabla1[[#This Row],[PROGRAMA]],Hoja1!A:B,2,FALSE)</f>
        <v>2311. Intervención social</v>
      </c>
      <c r="W744" s="35" t="str">
        <f>MID(Tabla1[[#This Row],[Aplicación]],14,2)</f>
        <v>21</v>
      </c>
      <c r="X744" s="35" t="str">
        <f>MID(Tabla1[[#This Row],[Aplicación]],14,6)</f>
        <v>212</v>
      </c>
    </row>
    <row r="745" spans="1:24" x14ac:dyDescent="0.25">
      <c r="A745" s="49">
        <v>220220002446</v>
      </c>
      <c r="B745" s="50" t="s">
        <v>172</v>
      </c>
      <c r="C745" s="57">
        <v>44594</v>
      </c>
      <c r="D745" s="49">
        <v>22022001169</v>
      </c>
      <c r="E745" s="50" t="s">
        <v>2045</v>
      </c>
      <c r="F745" s="58">
        <v>7.87</v>
      </c>
      <c r="G745" s="50" t="s">
        <v>85</v>
      </c>
      <c r="H745" s="50" t="s">
        <v>2186</v>
      </c>
      <c r="I745" s="49" t="s">
        <v>173</v>
      </c>
      <c r="J745" s="50" t="s">
        <v>109</v>
      </c>
      <c r="K745" s="50" t="s">
        <v>109</v>
      </c>
      <c r="L745" s="50" t="s">
        <v>15</v>
      </c>
      <c r="M745" s="50" t="s">
        <v>13</v>
      </c>
      <c r="N745" s="50" t="s">
        <v>14</v>
      </c>
      <c r="O745" s="48" t="s">
        <v>631</v>
      </c>
      <c r="P745" s="45" t="s">
        <v>453</v>
      </c>
      <c r="Q745" s="35" t="str">
        <f>MID(Tabla1[[#This Row],[Aplicación]],14,1)</f>
        <v>2</v>
      </c>
      <c r="R745" s="35" t="s">
        <v>441</v>
      </c>
      <c r="S745" s="35" t="str">
        <f>MID(Tabla1[[#This Row],[Aplicación]],6,2)</f>
        <v>10</v>
      </c>
      <c r="T745" s="35" t="str">
        <f>VLOOKUP(Tabla1[[#This Row],[AREA]],Hoja1!A:B,2,FALSE)</f>
        <v>10. Servicios sociales y mediación comunitaria</v>
      </c>
      <c r="U745" s="35" t="str">
        <f>MID(Tabla1[[#This Row],[Aplicación]],9,4)</f>
        <v>2412</v>
      </c>
      <c r="V745" s="35" t="str">
        <f>VLOOKUP(Tabla1[[#This Row],[PROGRAMA]],Hoja1!A:B,2,FALSE)</f>
        <v>2412. Formación para el empleo</v>
      </c>
      <c r="W745" s="35" t="str">
        <f>MID(Tabla1[[#This Row],[Aplicación]],14,2)</f>
        <v>21</v>
      </c>
      <c r="X745" s="35" t="str">
        <f>MID(Tabla1[[#This Row],[Aplicación]],14,6)</f>
        <v>212</v>
      </c>
    </row>
    <row r="746" spans="1:24" x14ac:dyDescent="0.25">
      <c r="A746" s="49">
        <v>220220001801</v>
      </c>
      <c r="B746" s="50" t="s">
        <v>9</v>
      </c>
      <c r="C746" s="57">
        <v>44589</v>
      </c>
      <c r="D746" s="49">
        <v>22022001720</v>
      </c>
      <c r="E746" s="50" t="s">
        <v>1853</v>
      </c>
      <c r="F746" s="58">
        <v>1200</v>
      </c>
      <c r="G746" s="50" t="s">
        <v>978</v>
      </c>
      <c r="H746" s="50" t="s">
        <v>2187</v>
      </c>
      <c r="I746" s="49" t="s">
        <v>107</v>
      </c>
      <c r="J746" s="50" t="s">
        <v>109</v>
      </c>
      <c r="K746" s="50" t="s">
        <v>109</v>
      </c>
      <c r="L746" s="50" t="s">
        <v>12</v>
      </c>
      <c r="M746" s="50" t="s">
        <v>10</v>
      </c>
      <c r="N746" s="50" t="s">
        <v>11</v>
      </c>
      <c r="O746" s="48" t="s">
        <v>632</v>
      </c>
      <c r="P746" s="45" t="s">
        <v>453</v>
      </c>
      <c r="Q746" s="35" t="str">
        <f>MID(Tabla1[[#This Row],[Aplicación]],14,1)</f>
        <v>2</v>
      </c>
      <c r="R746" s="35" t="s">
        <v>441</v>
      </c>
      <c r="S746" s="35" t="str">
        <f>MID(Tabla1[[#This Row],[Aplicación]],6,2)</f>
        <v>07</v>
      </c>
      <c r="T746" s="35" t="str">
        <f>VLOOKUP(Tabla1[[#This Row],[AREA]],Hoja1!A:B,2,FALSE)</f>
        <v>07. Medio ambiente y desarrollo sostenible</v>
      </c>
      <c r="U746" s="35" t="str">
        <f>MID(Tabla1[[#This Row],[Aplicación]],9,4)</f>
        <v>1711</v>
      </c>
      <c r="V746" s="35" t="str">
        <f>VLOOKUP(Tabla1[[#This Row],[PROGRAMA]],Hoja1!A:B,2,FALSE)</f>
        <v>1711. Parques y jardines</v>
      </c>
      <c r="W746" s="35" t="str">
        <f>MID(Tabla1[[#This Row],[Aplicación]],14,2)</f>
        <v>21</v>
      </c>
      <c r="X746" s="35" t="str">
        <f>MID(Tabla1[[#This Row],[Aplicación]],14,6)</f>
        <v>213</v>
      </c>
    </row>
    <row r="747" spans="1:24" x14ac:dyDescent="0.25">
      <c r="A747" s="49">
        <v>220220010327</v>
      </c>
      <c r="B747" s="50" t="s">
        <v>9</v>
      </c>
      <c r="C747" s="57">
        <v>44641</v>
      </c>
      <c r="D747" s="49">
        <v>22022002904</v>
      </c>
      <c r="E747" s="50" t="s">
        <v>1436</v>
      </c>
      <c r="F747" s="58">
        <v>440</v>
      </c>
      <c r="G747" s="50" t="s">
        <v>1323</v>
      </c>
      <c r="H747" s="50" t="s">
        <v>2188</v>
      </c>
      <c r="I747" s="49" t="s">
        <v>107</v>
      </c>
      <c r="J747" s="50" t="s">
        <v>1289</v>
      </c>
      <c r="K747" s="50" t="s">
        <v>151</v>
      </c>
      <c r="L747" s="50" t="s">
        <v>12</v>
      </c>
      <c r="M747" s="50" t="s">
        <v>10</v>
      </c>
      <c r="N747" s="50" t="s">
        <v>11</v>
      </c>
      <c r="O747" s="48" t="s">
        <v>632</v>
      </c>
      <c r="P747" s="45" t="s">
        <v>453</v>
      </c>
      <c r="Q747" s="35" t="str">
        <f>MID(Tabla1[[#This Row],[Aplicación]],14,1)</f>
        <v>2</v>
      </c>
      <c r="R747" s="35" t="s">
        <v>441</v>
      </c>
      <c r="S747" s="35" t="str">
        <f>MID(Tabla1[[#This Row],[Aplicación]],6,2)</f>
        <v>03</v>
      </c>
      <c r="T747" s="35" t="str">
        <f>VLOOKUP(Tabla1[[#This Row],[AREA]],Hoja1!A:B,2,FALSE)</f>
        <v>03. Participación ciudadana y deportes</v>
      </c>
      <c r="U747" s="35" t="str">
        <f>MID(Tabla1[[#This Row],[Aplicación]],9,4)</f>
        <v>9241</v>
      </c>
      <c r="V747" s="35" t="str">
        <f>VLOOKUP(Tabla1[[#This Row],[PROGRAMA]],Hoja1!A:B,2,FALSE)</f>
        <v>9241. Participación ciudadana</v>
      </c>
      <c r="W747" s="35" t="str">
        <f>MID(Tabla1[[#This Row],[Aplicación]],14,2)</f>
        <v>22</v>
      </c>
      <c r="X747" s="35" t="str">
        <f>MID(Tabla1[[#This Row],[Aplicación]],14,6)</f>
        <v>22609</v>
      </c>
    </row>
    <row r="748" spans="1:24" x14ac:dyDescent="0.25">
      <c r="A748" s="49">
        <v>220219000637</v>
      </c>
      <c r="B748" s="50" t="s">
        <v>9</v>
      </c>
      <c r="C748" s="57">
        <v>44562</v>
      </c>
      <c r="D748" s="49">
        <v>22022000084</v>
      </c>
      <c r="E748" s="50" t="s">
        <v>1673</v>
      </c>
      <c r="F748" s="58">
        <v>35101.82</v>
      </c>
      <c r="G748" s="50" t="s">
        <v>1057</v>
      </c>
      <c r="H748" s="50" t="s">
        <v>2189</v>
      </c>
      <c r="I748" s="49" t="s">
        <v>107</v>
      </c>
      <c r="J748" s="50" t="s">
        <v>151</v>
      </c>
      <c r="K748" s="50" t="s">
        <v>151</v>
      </c>
      <c r="L748" s="50" t="s">
        <v>12</v>
      </c>
      <c r="M748" s="50" t="s">
        <v>13</v>
      </c>
      <c r="N748" s="50" t="s">
        <v>14</v>
      </c>
      <c r="O748" s="48" t="s">
        <v>620</v>
      </c>
      <c r="P748" s="45" t="s">
        <v>453</v>
      </c>
      <c r="Q748" s="35" t="str">
        <f>MID(Tabla1[[#This Row],[Aplicación]],14,1)</f>
        <v>2</v>
      </c>
      <c r="R748" s="35" t="s">
        <v>441</v>
      </c>
      <c r="S748" s="35" t="str">
        <f>MID(Tabla1[[#This Row],[Aplicación]],6,2)</f>
        <v>06</v>
      </c>
      <c r="T748" s="35" t="str">
        <f>VLOOKUP(Tabla1[[#This Row],[AREA]],Hoja1!A:B,2,FALSE)</f>
        <v>06. Educación, infancia, juventud e igualdad</v>
      </c>
      <c r="U748" s="35" t="str">
        <f>MID(Tabla1[[#This Row],[Aplicación]],9,4)</f>
        <v>2315</v>
      </c>
      <c r="V748" s="35" t="str">
        <f>VLOOKUP(Tabla1[[#This Row],[PROGRAMA]],Hoja1!A:B,2,FALSE)</f>
        <v>2315. Políticas de Igualdad e infancia</v>
      </c>
      <c r="W748" s="35" t="str">
        <f>MID(Tabla1[[#This Row],[Aplicación]],14,2)</f>
        <v>22</v>
      </c>
      <c r="X748" s="35" t="str">
        <f>MID(Tabla1[[#This Row],[Aplicación]],14,6)</f>
        <v>22799</v>
      </c>
    </row>
    <row r="749" spans="1:24" x14ac:dyDescent="0.25">
      <c r="A749" s="49">
        <v>220220013231</v>
      </c>
      <c r="B749" s="50" t="s">
        <v>172</v>
      </c>
      <c r="C749" s="57">
        <v>44650</v>
      </c>
      <c r="D749" s="49">
        <v>22022000045</v>
      </c>
      <c r="E749" s="50" t="s">
        <v>2018</v>
      </c>
      <c r="F749" s="58">
        <v>7.05</v>
      </c>
      <c r="G749" s="50" t="s">
        <v>85</v>
      </c>
      <c r="H749" s="50" t="s">
        <v>2190</v>
      </c>
      <c r="I749" s="49" t="s">
        <v>173</v>
      </c>
      <c r="J749" s="50" t="s">
        <v>109</v>
      </c>
      <c r="K749" s="50" t="s">
        <v>109</v>
      </c>
      <c r="L749" s="50" t="s">
        <v>15</v>
      </c>
      <c r="M749" s="50" t="s">
        <v>13</v>
      </c>
      <c r="N749" s="50" t="s">
        <v>14</v>
      </c>
      <c r="O749" s="48" t="s">
        <v>631</v>
      </c>
      <c r="P749" s="45" t="s">
        <v>453</v>
      </c>
      <c r="Q749" s="35" t="str">
        <f>MID(Tabla1[[#This Row],[Aplicación]],14,1)</f>
        <v>2</v>
      </c>
      <c r="R749" s="35" t="s">
        <v>441</v>
      </c>
      <c r="S749" s="35" t="str">
        <f>MID(Tabla1[[#This Row],[Aplicación]],6,2)</f>
        <v>11</v>
      </c>
      <c r="T749" s="35" t="str">
        <f>VLOOKUP(Tabla1[[#This Row],[AREA]],Hoja1!A:B,2,FALSE)</f>
        <v>11. Salud pública y seguridad ciudadana</v>
      </c>
      <c r="U749" s="35" t="str">
        <f>MID(Tabla1[[#This Row],[Aplicación]],9,4)</f>
        <v>1631</v>
      </c>
      <c r="V749" s="35" t="str">
        <f>VLOOKUP(Tabla1[[#This Row],[PROGRAMA]],Hoja1!A:B,2,FALSE)</f>
        <v>1631. Limpieza viaria</v>
      </c>
      <c r="W749" s="35" t="str">
        <f>MID(Tabla1[[#This Row],[Aplicación]],14,2)</f>
        <v>22</v>
      </c>
      <c r="X749" s="35" t="str">
        <f>MID(Tabla1[[#This Row],[Aplicación]],14,6)</f>
        <v>22199</v>
      </c>
    </row>
    <row r="750" spans="1:24" x14ac:dyDescent="0.25">
      <c r="A750" s="49">
        <v>220220002194</v>
      </c>
      <c r="B750" s="50" t="s">
        <v>9</v>
      </c>
      <c r="C750" s="57">
        <v>44592</v>
      </c>
      <c r="D750" s="49">
        <v>22022001770</v>
      </c>
      <c r="E750" s="50" t="s">
        <v>2191</v>
      </c>
      <c r="F750" s="58">
        <v>5679.93</v>
      </c>
      <c r="G750" s="50" t="s">
        <v>2192</v>
      </c>
      <c r="H750" s="50" t="s">
        <v>2193</v>
      </c>
      <c r="I750" s="49" t="s">
        <v>107</v>
      </c>
      <c r="J750" s="50" t="s">
        <v>109</v>
      </c>
      <c r="K750" s="50" t="s">
        <v>109</v>
      </c>
      <c r="L750" s="50" t="s">
        <v>12</v>
      </c>
      <c r="M750" s="50" t="s">
        <v>10</v>
      </c>
      <c r="N750" s="50" t="s">
        <v>11</v>
      </c>
      <c r="O750" s="48" t="s">
        <v>632</v>
      </c>
      <c r="P750" s="45" t="s">
        <v>453</v>
      </c>
      <c r="Q750" s="35" t="str">
        <f>MID(Tabla1[[#This Row],[Aplicación]],14,1)</f>
        <v>2</v>
      </c>
      <c r="R750" s="35" t="s">
        <v>441</v>
      </c>
      <c r="S750" s="35" t="str">
        <f>MID(Tabla1[[#This Row],[Aplicación]],6,2)</f>
        <v>01</v>
      </c>
      <c r="T750" s="35" t="str">
        <f>VLOOKUP(Tabla1[[#This Row],[AREA]],Hoja1!A:B,2,FALSE)</f>
        <v>01. Alcaldía</v>
      </c>
      <c r="U750" s="35" t="str">
        <f>MID(Tabla1[[#This Row],[Aplicación]],9,4)</f>
        <v>9206</v>
      </c>
      <c r="V750" s="35" t="str">
        <f>VLOOKUP(Tabla1[[#This Row],[PROGRAMA]],Hoja1!A:B,2,FALSE)</f>
        <v>9206. Archivo municipal</v>
      </c>
      <c r="W750" s="35" t="str">
        <f>MID(Tabla1[[#This Row],[Aplicación]],14,2)</f>
        <v>22</v>
      </c>
      <c r="X750" s="35" t="str">
        <f>MID(Tabla1[[#This Row],[Aplicación]],14,6)</f>
        <v>22799</v>
      </c>
    </row>
    <row r="751" spans="1:24" x14ac:dyDescent="0.25">
      <c r="A751" s="49">
        <v>220220003494</v>
      </c>
      <c r="B751" s="50" t="s">
        <v>9</v>
      </c>
      <c r="C751" s="57">
        <v>44606</v>
      </c>
      <c r="D751" s="49">
        <v>22022002136</v>
      </c>
      <c r="E751" s="50" t="s">
        <v>2194</v>
      </c>
      <c r="F751" s="58">
        <v>242</v>
      </c>
      <c r="G751" s="50" t="s">
        <v>1325</v>
      </c>
      <c r="H751" s="50" t="s">
        <v>2195</v>
      </c>
      <c r="I751" s="49" t="s">
        <v>107</v>
      </c>
      <c r="J751" s="50" t="s">
        <v>109</v>
      </c>
      <c r="K751" s="50" t="s">
        <v>109</v>
      </c>
      <c r="L751" s="50" t="s">
        <v>12</v>
      </c>
      <c r="M751" s="50" t="s">
        <v>10</v>
      </c>
      <c r="N751" s="50" t="s">
        <v>11</v>
      </c>
      <c r="O751" s="48" t="s">
        <v>632</v>
      </c>
      <c r="P751" s="45" t="s">
        <v>453</v>
      </c>
      <c r="Q751" s="35" t="str">
        <f>MID(Tabla1[[#This Row],[Aplicación]],14,1)</f>
        <v>2</v>
      </c>
      <c r="R751" s="35" t="s">
        <v>441</v>
      </c>
      <c r="S751" s="35" t="str">
        <f>MID(Tabla1[[#This Row],[Aplicación]],6,2)</f>
        <v>10</v>
      </c>
      <c r="T751" s="35" t="str">
        <f>VLOOKUP(Tabla1[[#This Row],[AREA]],Hoja1!A:B,2,FALSE)</f>
        <v>10. Servicios sociales y mediación comunitaria</v>
      </c>
      <c r="U751" s="35" t="str">
        <f>MID(Tabla1[[#This Row],[Aplicación]],9,4)</f>
        <v>2312</v>
      </c>
      <c r="V751" s="35" t="str">
        <f>VLOOKUP(Tabla1[[#This Row],[PROGRAMA]],Hoja1!A:B,2,FALSE)</f>
        <v>2312. Iniciativas sociales</v>
      </c>
      <c r="W751" s="35" t="str">
        <f>MID(Tabla1[[#This Row],[Aplicación]],14,2)</f>
        <v>22</v>
      </c>
      <c r="X751" s="35" t="str">
        <f>MID(Tabla1[[#This Row],[Aplicación]],14,6)</f>
        <v>22617</v>
      </c>
    </row>
    <row r="752" spans="1:24" x14ac:dyDescent="0.25">
      <c r="A752" s="49">
        <v>220220003441</v>
      </c>
      <c r="B752" s="50" t="s">
        <v>9</v>
      </c>
      <c r="C752" s="57">
        <v>44603</v>
      </c>
      <c r="D752" s="49">
        <v>22022002040</v>
      </c>
      <c r="E752" s="50" t="s">
        <v>2012</v>
      </c>
      <c r="F752" s="58">
        <v>1000</v>
      </c>
      <c r="G752" s="50" t="s">
        <v>981</v>
      </c>
      <c r="H752" s="50" t="s">
        <v>2196</v>
      </c>
      <c r="I752" s="49" t="s">
        <v>107</v>
      </c>
      <c r="J752" s="50" t="s">
        <v>109</v>
      </c>
      <c r="K752" s="50" t="s">
        <v>109</v>
      </c>
      <c r="L752" s="50" t="s">
        <v>15</v>
      </c>
      <c r="M752" s="50" t="s">
        <v>10</v>
      </c>
      <c r="N752" s="50" t="s">
        <v>11</v>
      </c>
      <c r="O752" s="48" t="s">
        <v>632</v>
      </c>
      <c r="P752" s="45" t="s">
        <v>453</v>
      </c>
      <c r="Q752" s="35" t="str">
        <f>MID(Tabla1[[#This Row],[Aplicación]],14,1)</f>
        <v>2</v>
      </c>
      <c r="R752" s="35" t="s">
        <v>441</v>
      </c>
      <c r="S752" s="35" t="str">
        <f>MID(Tabla1[[#This Row],[Aplicación]],6,2)</f>
        <v>11</v>
      </c>
      <c r="T752" s="35" t="str">
        <f>VLOOKUP(Tabla1[[#This Row],[AREA]],Hoja1!A:B,2,FALSE)</f>
        <v>11. Salud pública y seguridad ciudadana</v>
      </c>
      <c r="U752" s="35" t="str">
        <f>MID(Tabla1[[#This Row],[Aplicación]],9,4)</f>
        <v>1321</v>
      </c>
      <c r="V752" s="35" t="str">
        <f>VLOOKUP(Tabla1[[#This Row],[PROGRAMA]],Hoja1!A:B,2,FALSE)</f>
        <v>1321. Policía municipal</v>
      </c>
      <c r="W752" s="35" t="str">
        <f>MID(Tabla1[[#This Row],[Aplicación]],14,2)</f>
        <v>22</v>
      </c>
      <c r="X752" s="35" t="str">
        <f>MID(Tabla1[[#This Row],[Aplicación]],14,6)</f>
        <v>22199</v>
      </c>
    </row>
    <row r="753" spans="1:24" x14ac:dyDescent="0.25">
      <c r="A753" s="49">
        <v>220220000368</v>
      </c>
      <c r="B753" s="50" t="s">
        <v>9</v>
      </c>
      <c r="C753" s="57">
        <v>44585</v>
      </c>
      <c r="D753" s="49">
        <v>22022001531</v>
      </c>
      <c r="E753" s="50" t="s">
        <v>1975</v>
      </c>
      <c r="F753" s="58">
        <v>7260</v>
      </c>
      <c r="G753" s="50" t="s">
        <v>76</v>
      </c>
      <c r="H753" s="50" t="s">
        <v>2197</v>
      </c>
      <c r="I753" s="49" t="s">
        <v>107</v>
      </c>
      <c r="J753" s="50" t="s">
        <v>109</v>
      </c>
      <c r="K753" s="50" t="s">
        <v>109</v>
      </c>
      <c r="L753" s="50" t="s">
        <v>15</v>
      </c>
      <c r="M753" s="50" t="s">
        <v>10</v>
      </c>
      <c r="N753" s="50" t="s">
        <v>11</v>
      </c>
      <c r="O753" s="48" t="s">
        <v>632</v>
      </c>
      <c r="P753" s="45" t="s">
        <v>453</v>
      </c>
      <c r="Q753" s="35" t="str">
        <f>MID(Tabla1[[#This Row],[Aplicación]],14,1)</f>
        <v>2</v>
      </c>
      <c r="R753" s="35" t="s">
        <v>441</v>
      </c>
      <c r="S753" s="35" t="str">
        <f>MID(Tabla1[[#This Row],[Aplicación]],6,2)</f>
        <v>08</v>
      </c>
      <c r="T753" s="35" t="str">
        <f>VLOOKUP(Tabla1[[#This Row],[AREA]],Hoja1!A:B,2,FALSE)</f>
        <v>08. Movilidad y espacio urbano</v>
      </c>
      <c r="U753" s="35" t="str">
        <f>MID(Tabla1[[#This Row],[Aplicación]],9,4)</f>
        <v>1532</v>
      </c>
      <c r="V753" s="35" t="str">
        <f>VLOOKUP(Tabla1[[#This Row],[PROGRAMA]],Hoja1!A:B,2,FALSE)</f>
        <v>1532. Pavimentación vias públicas y otros servicios urbanísticos</v>
      </c>
      <c r="W753" s="35" t="str">
        <f>MID(Tabla1[[#This Row],[Aplicación]],14,2)</f>
        <v>21</v>
      </c>
      <c r="X753" s="35" t="str">
        <f>MID(Tabla1[[#This Row],[Aplicación]],14,6)</f>
        <v>210</v>
      </c>
    </row>
    <row r="754" spans="1:24" x14ac:dyDescent="0.25">
      <c r="A754" s="49">
        <v>220219000917</v>
      </c>
      <c r="B754" s="50" t="s">
        <v>9</v>
      </c>
      <c r="C754" s="57">
        <v>44562</v>
      </c>
      <c r="D754" s="49">
        <v>22022000113</v>
      </c>
      <c r="E754" s="50" t="s">
        <v>2198</v>
      </c>
      <c r="F754" s="58">
        <v>5000</v>
      </c>
      <c r="G754" s="50" t="s">
        <v>38</v>
      </c>
      <c r="H754" s="50" t="s">
        <v>2199</v>
      </c>
      <c r="I754" s="49" t="s">
        <v>107</v>
      </c>
      <c r="J754" s="50" t="s">
        <v>129</v>
      </c>
      <c r="K754" s="50" t="s">
        <v>170</v>
      </c>
      <c r="L754" s="50" t="s">
        <v>15</v>
      </c>
      <c r="M754" s="50" t="s">
        <v>13</v>
      </c>
      <c r="N754" s="50" t="s">
        <v>16</v>
      </c>
      <c r="O754" s="48" t="s">
        <v>620</v>
      </c>
      <c r="P754" s="45" t="s">
        <v>453</v>
      </c>
      <c r="Q754" s="35" t="str">
        <f>MID(Tabla1[[#This Row],[Aplicación]],14,1)</f>
        <v>2</v>
      </c>
      <c r="R754" s="35" t="s">
        <v>441</v>
      </c>
      <c r="S754" s="35" t="str">
        <f>MID(Tabla1[[#This Row],[Aplicación]],6,2)</f>
        <v>06</v>
      </c>
      <c r="T754" s="35" t="str">
        <f>VLOOKUP(Tabla1[[#This Row],[AREA]],Hoja1!A:B,2,FALSE)</f>
        <v>06. Educación, infancia, juventud e igualdad</v>
      </c>
      <c r="U754" s="35" t="str">
        <f>MID(Tabla1[[#This Row],[Aplicación]],9,4)</f>
        <v>3321</v>
      </c>
      <c r="V754" s="35" t="str">
        <f>VLOOKUP(Tabla1[[#This Row],[PROGRAMA]],Hoja1!A:B,2,FALSE)</f>
        <v>3321. Bibliotecas públicas</v>
      </c>
      <c r="W754" s="35" t="str">
        <f>MID(Tabla1[[#This Row],[Aplicación]],14,2)</f>
        <v>22</v>
      </c>
      <c r="X754" s="35" t="str">
        <f>MID(Tabla1[[#This Row],[Aplicación]],14,6)</f>
        <v>22100</v>
      </c>
    </row>
    <row r="755" spans="1:24" x14ac:dyDescent="0.25">
      <c r="A755" s="49">
        <v>220220005816</v>
      </c>
      <c r="B755" s="50" t="s">
        <v>9</v>
      </c>
      <c r="C755" s="57">
        <v>44615</v>
      </c>
      <c r="D755" s="49">
        <v>22022002457</v>
      </c>
      <c r="E755" s="50" t="s">
        <v>1975</v>
      </c>
      <c r="F755" s="58">
        <v>7260</v>
      </c>
      <c r="G755" s="50" t="s">
        <v>76</v>
      </c>
      <c r="H755" s="50" t="s">
        <v>1105</v>
      </c>
      <c r="I755" s="49" t="s">
        <v>107</v>
      </c>
      <c r="J755" s="50" t="s">
        <v>109</v>
      </c>
      <c r="K755" s="50" t="s">
        <v>109</v>
      </c>
      <c r="L755" s="50" t="s">
        <v>15</v>
      </c>
      <c r="M755" s="50" t="s">
        <v>10</v>
      </c>
      <c r="N755" s="50" t="s">
        <v>11</v>
      </c>
      <c r="O755" s="48" t="s">
        <v>632</v>
      </c>
      <c r="P755" s="45" t="s">
        <v>453</v>
      </c>
      <c r="Q755" s="35" t="str">
        <f>MID(Tabla1[[#This Row],[Aplicación]],14,1)</f>
        <v>2</v>
      </c>
      <c r="R755" s="35" t="s">
        <v>441</v>
      </c>
      <c r="S755" s="35" t="str">
        <f>MID(Tabla1[[#This Row],[Aplicación]],6,2)</f>
        <v>08</v>
      </c>
      <c r="T755" s="35" t="str">
        <f>VLOOKUP(Tabla1[[#This Row],[AREA]],Hoja1!A:B,2,FALSE)</f>
        <v>08. Movilidad y espacio urbano</v>
      </c>
      <c r="U755" s="35" t="str">
        <f>MID(Tabla1[[#This Row],[Aplicación]],9,4)</f>
        <v>1532</v>
      </c>
      <c r="V755" s="35" t="str">
        <f>VLOOKUP(Tabla1[[#This Row],[PROGRAMA]],Hoja1!A:B,2,FALSE)</f>
        <v>1532. Pavimentación vias públicas y otros servicios urbanísticos</v>
      </c>
      <c r="W755" s="35" t="str">
        <f>MID(Tabla1[[#This Row],[Aplicación]],14,2)</f>
        <v>21</v>
      </c>
      <c r="X755" s="35" t="str">
        <f>MID(Tabla1[[#This Row],[Aplicación]],14,6)</f>
        <v>210</v>
      </c>
    </row>
    <row r="756" spans="1:24" x14ac:dyDescent="0.25">
      <c r="A756" s="49">
        <v>220220002504</v>
      </c>
      <c r="B756" s="50" t="s">
        <v>172</v>
      </c>
      <c r="C756" s="57">
        <v>44594</v>
      </c>
      <c r="D756" s="49">
        <v>22022001628</v>
      </c>
      <c r="E756" s="50" t="s">
        <v>1742</v>
      </c>
      <c r="F756" s="58">
        <v>3.8</v>
      </c>
      <c r="G756" s="50" t="s">
        <v>85</v>
      </c>
      <c r="H756" s="50" t="s">
        <v>2200</v>
      </c>
      <c r="I756" s="49" t="s">
        <v>173</v>
      </c>
      <c r="J756" s="50" t="s">
        <v>109</v>
      </c>
      <c r="K756" s="50" t="s">
        <v>109</v>
      </c>
      <c r="L756" s="50" t="s">
        <v>15</v>
      </c>
      <c r="M756" s="50" t="s">
        <v>13</v>
      </c>
      <c r="N756" s="50" t="s">
        <v>16</v>
      </c>
      <c r="O756" s="48" t="s">
        <v>631</v>
      </c>
      <c r="P756" s="45" t="s">
        <v>453</v>
      </c>
      <c r="Q756" s="35" t="str">
        <f>MID(Tabla1[[#This Row],[Aplicación]],14,1)</f>
        <v>2</v>
      </c>
      <c r="R756" s="35" t="s">
        <v>441</v>
      </c>
      <c r="S756" s="35" t="str">
        <f>MID(Tabla1[[#This Row],[Aplicación]],6,2)</f>
        <v>03</v>
      </c>
      <c r="T756" s="35" t="str">
        <f>VLOOKUP(Tabla1[[#This Row],[AREA]],Hoja1!A:B,2,FALSE)</f>
        <v>03. Participación ciudadana y deportes</v>
      </c>
      <c r="U756" s="35" t="str">
        <f>MID(Tabla1[[#This Row],[Aplicación]],9,4)</f>
        <v>9241</v>
      </c>
      <c r="V756" s="35" t="str">
        <f>VLOOKUP(Tabla1[[#This Row],[PROGRAMA]],Hoja1!A:B,2,FALSE)</f>
        <v>9241. Participación ciudadana</v>
      </c>
      <c r="W756" s="35" t="str">
        <f>MID(Tabla1[[#This Row],[Aplicación]],14,2)</f>
        <v>21</v>
      </c>
      <c r="X756" s="35" t="str">
        <f>MID(Tabla1[[#This Row],[Aplicación]],14,6)</f>
        <v>213</v>
      </c>
    </row>
    <row r="757" spans="1:24" x14ac:dyDescent="0.25">
      <c r="A757" s="49">
        <v>220220013183</v>
      </c>
      <c r="B757" s="50" t="s">
        <v>9</v>
      </c>
      <c r="C757" s="57">
        <v>44650</v>
      </c>
      <c r="D757" s="49">
        <v>22022002337</v>
      </c>
      <c r="E757" s="50" t="s">
        <v>1659</v>
      </c>
      <c r="F757" s="58">
        <v>17545</v>
      </c>
      <c r="G757" s="50" t="s">
        <v>43</v>
      </c>
      <c r="H757" s="50" t="s">
        <v>2201</v>
      </c>
      <c r="I757" s="49" t="s">
        <v>107</v>
      </c>
      <c r="J757" s="50" t="s">
        <v>109</v>
      </c>
      <c r="K757" s="50" t="s">
        <v>109</v>
      </c>
      <c r="L757" s="50" t="s">
        <v>12</v>
      </c>
      <c r="M757" s="50" t="s">
        <v>10</v>
      </c>
      <c r="N757" s="50" t="s">
        <v>11</v>
      </c>
      <c r="O757" s="48" t="s">
        <v>632</v>
      </c>
      <c r="P757" s="45" t="s">
        <v>453</v>
      </c>
      <c r="Q757" s="35" t="str">
        <f>MID(Tabla1[[#This Row],[Aplicación]],14,1)</f>
        <v>2</v>
      </c>
      <c r="R757" s="35" t="s">
        <v>441</v>
      </c>
      <c r="S757" s="35" t="str">
        <f>MID(Tabla1[[#This Row],[Aplicación]],6,2)</f>
        <v>05</v>
      </c>
      <c r="T757" s="35" t="str">
        <f>VLOOKUP(Tabla1[[#This Row],[AREA]],Hoja1!A:B,2,FALSE)</f>
        <v>05. Innovación, desarrollo económico, empleo y comercio</v>
      </c>
      <c r="U757" s="35" t="str">
        <f>MID(Tabla1[[#This Row],[Aplicación]],9,4)</f>
        <v>4331</v>
      </c>
      <c r="V757" s="35" t="str">
        <f>VLOOKUP(Tabla1[[#This Row],[PROGRAMA]],Hoja1!A:B,2,FALSE)</f>
        <v>4331. Desarrollo empresarial</v>
      </c>
      <c r="W757" s="35" t="str">
        <f>MID(Tabla1[[#This Row],[Aplicación]],14,2)</f>
        <v>22</v>
      </c>
      <c r="X757" s="35" t="str">
        <f>MID(Tabla1[[#This Row],[Aplicación]],14,6)</f>
        <v>22799</v>
      </c>
    </row>
    <row r="758" spans="1:24" x14ac:dyDescent="0.25">
      <c r="A758" s="49">
        <v>220220012767</v>
      </c>
      <c r="B758" s="50" t="s">
        <v>9</v>
      </c>
      <c r="C758" s="57">
        <v>44644</v>
      </c>
      <c r="D758" s="49">
        <v>22022002802</v>
      </c>
      <c r="E758" s="50" t="s">
        <v>1659</v>
      </c>
      <c r="F758" s="58">
        <v>7018</v>
      </c>
      <c r="G758" s="50" t="s">
        <v>43</v>
      </c>
      <c r="H758" s="50" t="s">
        <v>2202</v>
      </c>
      <c r="I758" s="49" t="s">
        <v>107</v>
      </c>
      <c r="J758" s="50" t="s">
        <v>109</v>
      </c>
      <c r="K758" s="50" t="s">
        <v>109</v>
      </c>
      <c r="L758" s="50" t="s">
        <v>12</v>
      </c>
      <c r="M758" s="50" t="s">
        <v>10</v>
      </c>
      <c r="N758" s="50" t="s">
        <v>11</v>
      </c>
      <c r="O758" s="48" t="s">
        <v>632</v>
      </c>
      <c r="P758" s="45" t="s">
        <v>453</v>
      </c>
      <c r="Q758" s="35" t="str">
        <f>MID(Tabla1[[#This Row],[Aplicación]],14,1)</f>
        <v>2</v>
      </c>
      <c r="R758" s="35" t="s">
        <v>441</v>
      </c>
      <c r="S758" s="35" t="str">
        <f>MID(Tabla1[[#This Row],[Aplicación]],6,2)</f>
        <v>05</v>
      </c>
      <c r="T758" s="35" t="str">
        <f>VLOOKUP(Tabla1[[#This Row],[AREA]],Hoja1!A:B,2,FALSE)</f>
        <v>05. Innovación, desarrollo económico, empleo y comercio</v>
      </c>
      <c r="U758" s="35" t="str">
        <f>MID(Tabla1[[#This Row],[Aplicación]],9,4)</f>
        <v>4331</v>
      </c>
      <c r="V758" s="35" t="str">
        <f>VLOOKUP(Tabla1[[#This Row],[PROGRAMA]],Hoja1!A:B,2,FALSE)</f>
        <v>4331. Desarrollo empresarial</v>
      </c>
      <c r="W758" s="35" t="str">
        <f>MID(Tabla1[[#This Row],[Aplicación]],14,2)</f>
        <v>22</v>
      </c>
      <c r="X758" s="35" t="str">
        <f>MID(Tabla1[[#This Row],[Aplicación]],14,6)</f>
        <v>22799</v>
      </c>
    </row>
    <row r="759" spans="1:24" x14ac:dyDescent="0.25">
      <c r="A759" s="49">
        <v>220220006911</v>
      </c>
      <c r="B759" s="50" t="s">
        <v>9</v>
      </c>
      <c r="C759" s="57">
        <v>44622</v>
      </c>
      <c r="D759" s="49">
        <v>22022002436</v>
      </c>
      <c r="E759" s="50" t="s">
        <v>2203</v>
      </c>
      <c r="F759" s="58">
        <v>2662</v>
      </c>
      <c r="G759" s="50" t="s">
        <v>43</v>
      </c>
      <c r="H759" s="50" t="s">
        <v>2204</v>
      </c>
      <c r="I759" s="49" t="s">
        <v>107</v>
      </c>
      <c r="J759" s="50" t="s">
        <v>109</v>
      </c>
      <c r="K759" s="50" t="s">
        <v>109</v>
      </c>
      <c r="L759" s="50" t="s">
        <v>12</v>
      </c>
      <c r="M759" s="50" t="s">
        <v>10</v>
      </c>
      <c r="N759" s="50" t="s">
        <v>11</v>
      </c>
      <c r="O759" s="48" t="s">
        <v>632</v>
      </c>
      <c r="P759" s="45" t="s">
        <v>453</v>
      </c>
      <c r="Q759" s="35" t="str">
        <f>MID(Tabla1[[#This Row],[Aplicación]],14,1)</f>
        <v>2</v>
      </c>
      <c r="R759" s="35" t="s">
        <v>441</v>
      </c>
      <c r="S759" s="35" t="str">
        <f>MID(Tabla1[[#This Row],[Aplicación]],6,2)</f>
        <v>05</v>
      </c>
      <c r="T759" s="35" t="str">
        <f>VLOOKUP(Tabla1[[#This Row],[AREA]],Hoja1!A:B,2,FALSE)</f>
        <v>05. Innovación, desarrollo económico, empleo y comercio</v>
      </c>
      <c r="U759" s="35" t="str">
        <f>MID(Tabla1[[#This Row],[Aplicación]],9,4)</f>
        <v>4331</v>
      </c>
      <c r="V759" s="35" t="str">
        <f>VLOOKUP(Tabla1[[#This Row],[PROGRAMA]],Hoja1!A:B,2,FALSE)</f>
        <v>4331. Desarrollo empresarial</v>
      </c>
      <c r="W759" s="35" t="str">
        <f>MID(Tabla1[[#This Row],[Aplicación]],14,2)</f>
        <v>22</v>
      </c>
      <c r="X759" s="35" t="str">
        <f>MID(Tabla1[[#This Row],[Aplicación]],14,6)</f>
        <v>22602</v>
      </c>
    </row>
    <row r="760" spans="1:24" x14ac:dyDescent="0.25">
      <c r="A760" s="49">
        <v>220220010322</v>
      </c>
      <c r="B760" s="50" t="s">
        <v>9</v>
      </c>
      <c r="C760" s="57">
        <v>44641</v>
      </c>
      <c r="D760" s="49">
        <v>22022002897</v>
      </c>
      <c r="E760" s="50" t="s">
        <v>1436</v>
      </c>
      <c r="F760" s="58">
        <v>400</v>
      </c>
      <c r="G760" s="50" t="s">
        <v>2205</v>
      </c>
      <c r="H760" s="50" t="s">
        <v>2206</v>
      </c>
      <c r="I760" s="49" t="s">
        <v>107</v>
      </c>
      <c r="J760" s="50" t="s">
        <v>109</v>
      </c>
      <c r="K760" s="50" t="s">
        <v>109</v>
      </c>
      <c r="L760" s="50" t="s">
        <v>12</v>
      </c>
      <c r="M760" s="50" t="s">
        <v>10</v>
      </c>
      <c r="N760" s="50" t="s">
        <v>11</v>
      </c>
      <c r="O760" s="48" t="s">
        <v>632</v>
      </c>
      <c r="P760" s="45" t="s">
        <v>453</v>
      </c>
      <c r="Q760" s="35" t="str">
        <f>MID(Tabla1[[#This Row],[Aplicación]],14,1)</f>
        <v>2</v>
      </c>
      <c r="R760" s="35" t="s">
        <v>441</v>
      </c>
      <c r="S760" s="35" t="str">
        <f>MID(Tabla1[[#This Row],[Aplicación]],6,2)</f>
        <v>03</v>
      </c>
      <c r="T760" s="35" t="str">
        <f>VLOOKUP(Tabla1[[#This Row],[AREA]],Hoja1!A:B,2,FALSE)</f>
        <v>03. Participación ciudadana y deportes</v>
      </c>
      <c r="U760" s="35" t="str">
        <f>MID(Tabla1[[#This Row],[Aplicación]],9,4)</f>
        <v>9241</v>
      </c>
      <c r="V760" s="35" t="str">
        <f>VLOOKUP(Tabla1[[#This Row],[PROGRAMA]],Hoja1!A:B,2,FALSE)</f>
        <v>9241. Participación ciudadana</v>
      </c>
      <c r="W760" s="35" t="str">
        <f>MID(Tabla1[[#This Row],[Aplicación]],14,2)</f>
        <v>22</v>
      </c>
      <c r="X760" s="35" t="str">
        <f>MID(Tabla1[[#This Row],[Aplicación]],14,6)</f>
        <v>22609</v>
      </c>
    </row>
    <row r="761" spans="1:24" x14ac:dyDescent="0.25">
      <c r="A761" s="49">
        <v>220220009361</v>
      </c>
      <c r="B761" s="50" t="s">
        <v>9</v>
      </c>
      <c r="C761" s="57">
        <v>44636</v>
      </c>
      <c r="D761" s="49">
        <v>22022002823</v>
      </c>
      <c r="E761" s="50" t="s">
        <v>1773</v>
      </c>
      <c r="F761" s="58">
        <v>7260</v>
      </c>
      <c r="G761" s="50" t="s">
        <v>702</v>
      </c>
      <c r="H761" s="50" t="s">
        <v>2207</v>
      </c>
      <c r="I761" s="49" t="s">
        <v>107</v>
      </c>
      <c r="J761" s="50" t="s">
        <v>109</v>
      </c>
      <c r="K761" s="50" t="s">
        <v>109</v>
      </c>
      <c r="L761" s="50" t="s">
        <v>12</v>
      </c>
      <c r="M761" s="50" t="s">
        <v>10</v>
      </c>
      <c r="N761" s="50" t="s">
        <v>11</v>
      </c>
      <c r="O761" s="48" t="s">
        <v>632</v>
      </c>
      <c r="P761" s="45" t="s">
        <v>453</v>
      </c>
      <c r="Q761" s="35" t="str">
        <f>MID(Tabla1[[#This Row],[Aplicación]],14,1)</f>
        <v>2</v>
      </c>
      <c r="R761" s="35" t="s">
        <v>441</v>
      </c>
      <c r="S761" s="35" t="str">
        <f>MID(Tabla1[[#This Row],[Aplicación]],6,2)</f>
        <v>06</v>
      </c>
      <c r="T761" s="35" t="str">
        <f>VLOOKUP(Tabla1[[#This Row],[AREA]],Hoja1!A:B,2,FALSE)</f>
        <v>06. Educación, infancia, juventud e igualdad</v>
      </c>
      <c r="U761" s="35" t="str">
        <f>MID(Tabla1[[#This Row],[Aplicación]],9,4)</f>
        <v>2314</v>
      </c>
      <c r="V761" s="35" t="str">
        <f>VLOOKUP(Tabla1[[#This Row],[PROGRAMA]],Hoja1!A:B,2,FALSE)</f>
        <v>2314. Centro de programas juveniles</v>
      </c>
      <c r="W761" s="35" t="str">
        <f>MID(Tabla1[[#This Row],[Aplicación]],14,2)</f>
        <v>22</v>
      </c>
      <c r="X761" s="35" t="str">
        <f>MID(Tabla1[[#This Row],[Aplicación]],14,6)</f>
        <v>22613</v>
      </c>
    </row>
    <row r="762" spans="1:24" x14ac:dyDescent="0.25">
      <c r="A762" s="49">
        <v>220220013176</v>
      </c>
      <c r="B762" s="50" t="s">
        <v>9</v>
      </c>
      <c r="C762" s="57">
        <v>44649</v>
      </c>
      <c r="D762" s="49">
        <v>22022002960</v>
      </c>
      <c r="E762" s="50" t="s">
        <v>1762</v>
      </c>
      <c r="F762" s="58">
        <v>758.72</v>
      </c>
      <c r="G762" s="50" t="s">
        <v>201</v>
      </c>
      <c r="H762" s="50" t="s">
        <v>2208</v>
      </c>
      <c r="I762" s="49" t="s">
        <v>107</v>
      </c>
      <c r="J762" s="50" t="s">
        <v>108</v>
      </c>
      <c r="K762" s="50" t="s">
        <v>108</v>
      </c>
      <c r="L762" s="50" t="s">
        <v>15</v>
      </c>
      <c r="M762" s="50" t="s">
        <v>10</v>
      </c>
      <c r="N762" s="50" t="s">
        <v>11</v>
      </c>
      <c r="O762" s="48" t="s">
        <v>632</v>
      </c>
      <c r="P762" s="45" t="s">
        <v>453</v>
      </c>
      <c r="Q762" s="35" t="str">
        <f>MID(Tabla1[[#This Row],[Aplicación]],14,1)</f>
        <v>2</v>
      </c>
      <c r="R762" s="35" t="s">
        <v>441</v>
      </c>
      <c r="S762" s="35" t="str">
        <f>MID(Tabla1[[#This Row],[Aplicación]],6,2)</f>
        <v>06</v>
      </c>
      <c r="T762" s="35" t="str">
        <f>VLOOKUP(Tabla1[[#This Row],[AREA]],Hoja1!A:B,2,FALSE)</f>
        <v>06. Educación, infancia, juventud e igualdad</v>
      </c>
      <c r="U762" s="35" t="str">
        <f>MID(Tabla1[[#This Row],[Aplicación]],9,4)</f>
        <v>3321</v>
      </c>
      <c r="V762" s="35" t="str">
        <f>VLOOKUP(Tabla1[[#This Row],[PROGRAMA]],Hoja1!A:B,2,FALSE)</f>
        <v>3321. Bibliotecas públicas</v>
      </c>
      <c r="W762" s="35" t="str">
        <f>MID(Tabla1[[#This Row],[Aplicación]],14,2)</f>
        <v>22</v>
      </c>
      <c r="X762" s="35" t="str">
        <f>MID(Tabla1[[#This Row],[Aplicación]],14,6)</f>
        <v>22001</v>
      </c>
    </row>
    <row r="763" spans="1:24" x14ac:dyDescent="0.25">
      <c r="A763" s="49">
        <v>220220003438</v>
      </c>
      <c r="B763" s="50" t="s">
        <v>9</v>
      </c>
      <c r="C763" s="57">
        <v>44603</v>
      </c>
      <c r="D763" s="49">
        <v>22022002019</v>
      </c>
      <c r="E763" s="50" t="s">
        <v>1942</v>
      </c>
      <c r="F763" s="58">
        <v>227.48</v>
      </c>
      <c r="G763" s="50" t="s">
        <v>50</v>
      </c>
      <c r="H763" s="50" t="s">
        <v>2209</v>
      </c>
      <c r="I763" s="49" t="s">
        <v>107</v>
      </c>
      <c r="J763" s="50" t="s">
        <v>109</v>
      </c>
      <c r="K763" s="50" t="s">
        <v>109</v>
      </c>
      <c r="L763" s="50" t="s">
        <v>12</v>
      </c>
      <c r="M763" s="50" t="s">
        <v>10</v>
      </c>
      <c r="N763" s="50" t="s">
        <v>11</v>
      </c>
      <c r="O763" s="48" t="s">
        <v>632</v>
      </c>
      <c r="P763" s="45" t="s">
        <v>453</v>
      </c>
      <c r="Q763" s="35" t="str">
        <f>MID(Tabla1[[#This Row],[Aplicación]],14,1)</f>
        <v>2</v>
      </c>
      <c r="R763" s="35" t="s">
        <v>441</v>
      </c>
      <c r="S763" s="35" t="str">
        <f>MID(Tabla1[[#This Row],[Aplicación]],6,2)</f>
        <v>03</v>
      </c>
      <c r="T763" s="35" t="str">
        <f>VLOOKUP(Tabla1[[#This Row],[AREA]],Hoja1!A:B,2,FALSE)</f>
        <v>03. Participación ciudadana y deportes</v>
      </c>
      <c r="U763" s="35" t="str">
        <f>MID(Tabla1[[#This Row],[Aplicación]],9,4)</f>
        <v>9241</v>
      </c>
      <c r="V763" s="35" t="str">
        <f>VLOOKUP(Tabla1[[#This Row],[PROGRAMA]],Hoja1!A:B,2,FALSE)</f>
        <v>9241. Participación ciudadana</v>
      </c>
      <c r="W763" s="35" t="str">
        <f>MID(Tabla1[[#This Row],[Aplicación]],14,2)</f>
        <v>22</v>
      </c>
      <c r="X763" s="35" t="str">
        <f>MID(Tabla1[[#This Row],[Aplicación]],14,6)</f>
        <v>22699</v>
      </c>
    </row>
    <row r="764" spans="1:24" x14ac:dyDescent="0.25">
      <c r="A764" s="49">
        <v>220220002284</v>
      </c>
      <c r="B764" s="50" t="s">
        <v>9</v>
      </c>
      <c r="C764" s="57">
        <v>44593</v>
      </c>
      <c r="D764" s="49">
        <v>22022001712</v>
      </c>
      <c r="E764" s="50" t="s">
        <v>2210</v>
      </c>
      <c r="F764" s="58">
        <v>800</v>
      </c>
      <c r="G764" s="50" t="s">
        <v>208</v>
      </c>
      <c r="H764" s="50" t="s">
        <v>2211</v>
      </c>
      <c r="I764" s="49" t="s">
        <v>107</v>
      </c>
      <c r="J764" s="50" t="s">
        <v>109</v>
      </c>
      <c r="K764" s="50" t="s">
        <v>109</v>
      </c>
      <c r="L764" s="50" t="s">
        <v>12</v>
      </c>
      <c r="M764" s="50" t="s">
        <v>10</v>
      </c>
      <c r="N764" s="50" t="s">
        <v>11</v>
      </c>
      <c r="O764" s="48" t="s">
        <v>632</v>
      </c>
      <c r="P764" s="45" t="s">
        <v>453</v>
      </c>
      <c r="Q764" s="35" t="str">
        <f>MID(Tabla1[[#This Row],[Aplicación]],14,1)</f>
        <v>2</v>
      </c>
      <c r="R764" s="35" t="s">
        <v>441</v>
      </c>
      <c r="S764" s="35" t="str">
        <f>MID(Tabla1[[#This Row],[Aplicación]],6,2)</f>
        <v>06</v>
      </c>
      <c r="T764" s="35" t="str">
        <f>VLOOKUP(Tabla1[[#This Row],[AREA]],Hoja1!A:B,2,FALSE)</f>
        <v>06. Educación, infancia, juventud e igualdad</v>
      </c>
      <c r="U764" s="35" t="str">
        <f>MID(Tabla1[[#This Row],[Aplicación]],9,4)</f>
        <v>2314</v>
      </c>
      <c r="V764" s="35" t="str">
        <f>VLOOKUP(Tabla1[[#This Row],[PROGRAMA]],Hoja1!A:B,2,FALSE)</f>
        <v>2314. Centro de programas juveniles</v>
      </c>
      <c r="W764" s="35" t="str">
        <f>MID(Tabla1[[#This Row],[Aplicación]],14,2)</f>
        <v>22</v>
      </c>
      <c r="X764" s="35" t="str">
        <f>MID(Tabla1[[#This Row],[Aplicación]],14,6)</f>
        <v>22602</v>
      </c>
    </row>
    <row r="765" spans="1:24" x14ac:dyDescent="0.25">
      <c r="A765" s="49">
        <v>220220012883</v>
      </c>
      <c r="B765" s="50" t="s">
        <v>9</v>
      </c>
      <c r="C765" s="57">
        <v>44645</v>
      </c>
      <c r="D765" s="49">
        <v>22022002942</v>
      </c>
      <c r="E765" s="50" t="s">
        <v>1659</v>
      </c>
      <c r="F765" s="58">
        <v>437.91</v>
      </c>
      <c r="G765" s="50" t="s">
        <v>208</v>
      </c>
      <c r="H765" s="50" t="s">
        <v>2212</v>
      </c>
      <c r="I765" s="49" t="s">
        <v>107</v>
      </c>
      <c r="J765" s="50" t="s">
        <v>109</v>
      </c>
      <c r="K765" s="50" t="s">
        <v>109</v>
      </c>
      <c r="L765" s="50" t="s">
        <v>12</v>
      </c>
      <c r="M765" s="50" t="s">
        <v>10</v>
      </c>
      <c r="N765" s="50" t="s">
        <v>11</v>
      </c>
      <c r="O765" s="48" t="s">
        <v>632</v>
      </c>
      <c r="P765" s="45" t="s">
        <v>453</v>
      </c>
      <c r="Q765" s="35" t="str">
        <f>MID(Tabla1[[#This Row],[Aplicación]],14,1)</f>
        <v>2</v>
      </c>
      <c r="R765" s="35" t="s">
        <v>441</v>
      </c>
      <c r="S765" s="35" t="str">
        <f>MID(Tabla1[[#This Row],[Aplicación]],6,2)</f>
        <v>05</v>
      </c>
      <c r="T765" s="35" t="str">
        <f>VLOOKUP(Tabla1[[#This Row],[AREA]],Hoja1!A:B,2,FALSE)</f>
        <v>05. Innovación, desarrollo económico, empleo y comercio</v>
      </c>
      <c r="U765" s="35" t="str">
        <f>MID(Tabla1[[#This Row],[Aplicación]],9,4)</f>
        <v>4331</v>
      </c>
      <c r="V765" s="35" t="str">
        <f>VLOOKUP(Tabla1[[#This Row],[PROGRAMA]],Hoja1!A:B,2,FALSE)</f>
        <v>4331. Desarrollo empresarial</v>
      </c>
      <c r="W765" s="35" t="str">
        <f>MID(Tabla1[[#This Row],[Aplicación]],14,2)</f>
        <v>22</v>
      </c>
      <c r="X765" s="35" t="str">
        <f>MID(Tabla1[[#This Row],[Aplicación]],14,6)</f>
        <v>22799</v>
      </c>
    </row>
    <row r="766" spans="1:24" x14ac:dyDescent="0.25">
      <c r="A766" s="49">
        <v>220220002285</v>
      </c>
      <c r="B766" s="50" t="s">
        <v>9</v>
      </c>
      <c r="C766" s="57">
        <v>44593</v>
      </c>
      <c r="D766" s="49">
        <v>22022001715</v>
      </c>
      <c r="E766" s="50" t="s">
        <v>1673</v>
      </c>
      <c r="F766" s="58">
        <v>350.01</v>
      </c>
      <c r="G766" s="50" t="s">
        <v>208</v>
      </c>
      <c r="H766" s="50" t="s">
        <v>2213</v>
      </c>
      <c r="I766" s="49" t="s">
        <v>107</v>
      </c>
      <c r="J766" s="50" t="s">
        <v>109</v>
      </c>
      <c r="K766" s="50" t="s">
        <v>109</v>
      </c>
      <c r="L766" s="50" t="s">
        <v>12</v>
      </c>
      <c r="M766" s="50" t="s">
        <v>10</v>
      </c>
      <c r="N766" s="50" t="s">
        <v>11</v>
      </c>
      <c r="O766" s="48" t="s">
        <v>632</v>
      </c>
      <c r="P766" s="45" t="s">
        <v>453</v>
      </c>
      <c r="Q766" s="35" t="str">
        <f>MID(Tabla1[[#This Row],[Aplicación]],14,1)</f>
        <v>2</v>
      </c>
      <c r="R766" s="35" t="s">
        <v>441</v>
      </c>
      <c r="S766" s="35" t="str">
        <f>MID(Tabla1[[#This Row],[Aplicación]],6,2)</f>
        <v>06</v>
      </c>
      <c r="T766" s="35" t="str">
        <f>VLOOKUP(Tabla1[[#This Row],[AREA]],Hoja1!A:B,2,FALSE)</f>
        <v>06. Educación, infancia, juventud e igualdad</v>
      </c>
      <c r="U766" s="35" t="str">
        <f>MID(Tabla1[[#This Row],[Aplicación]],9,4)</f>
        <v>2315</v>
      </c>
      <c r="V766" s="35" t="str">
        <f>VLOOKUP(Tabla1[[#This Row],[PROGRAMA]],Hoja1!A:B,2,FALSE)</f>
        <v>2315. Políticas de Igualdad e infancia</v>
      </c>
      <c r="W766" s="35" t="str">
        <f>MID(Tabla1[[#This Row],[Aplicación]],14,2)</f>
        <v>22</v>
      </c>
      <c r="X766" s="35" t="str">
        <f>MID(Tabla1[[#This Row],[Aplicación]],14,6)</f>
        <v>22799</v>
      </c>
    </row>
    <row r="767" spans="1:24" x14ac:dyDescent="0.25">
      <c r="A767" s="49">
        <v>220220006904</v>
      </c>
      <c r="B767" s="50" t="s">
        <v>172</v>
      </c>
      <c r="C767" s="57">
        <v>44622</v>
      </c>
      <c r="D767" s="49">
        <v>22022000746</v>
      </c>
      <c r="E767" s="50" t="s">
        <v>2215</v>
      </c>
      <c r="F767" s="58">
        <v>51904.26</v>
      </c>
      <c r="G767" s="50" t="s">
        <v>2216</v>
      </c>
      <c r="H767" s="50" t="s">
        <v>2217</v>
      </c>
      <c r="I767" s="49" t="s">
        <v>173</v>
      </c>
      <c r="J767" s="50" t="s">
        <v>127</v>
      </c>
      <c r="K767" s="50" t="s">
        <v>127</v>
      </c>
      <c r="L767" s="50" t="s">
        <v>12</v>
      </c>
      <c r="M767" s="50" t="s">
        <v>13</v>
      </c>
      <c r="N767" s="50" t="s">
        <v>14</v>
      </c>
      <c r="O767" s="48" t="s">
        <v>620</v>
      </c>
      <c r="P767" s="45" t="s">
        <v>453</v>
      </c>
      <c r="Q767" s="35" t="str">
        <f>MID(Tabla1[[#This Row],[Aplicación]],14,1)</f>
        <v>2</v>
      </c>
      <c r="R767" s="35" t="s">
        <v>441</v>
      </c>
      <c r="S767" s="35" t="str">
        <f>MID(Tabla1[[#This Row],[Aplicación]],6,2)</f>
        <v>04</v>
      </c>
      <c r="T767" s="35" t="str">
        <f>VLOOKUP(Tabla1[[#This Row],[AREA]],Hoja1!A:B,2,FALSE)</f>
        <v>04. Planificación y recursos</v>
      </c>
      <c r="U767" s="35" t="str">
        <f>MID(Tabla1[[#This Row],[Aplicación]],9,4)</f>
        <v>9341</v>
      </c>
      <c r="V767" s="35" t="str">
        <f>VLOOKUP(Tabla1[[#This Row],[PROGRAMA]],Hoja1!A:B,2,FALSE)</f>
        <v>9341. Tesorería y recaudación</v>
      </c>
      <c r="W767" s="35" t="str">
        <f>MID(Tabla1[[#This Row],[Aplicación]],14,2)</f>
        <v>22</v>
      </c>
      <c r="X767" s="35" t="str">
        <f>MID(Tabla1[[#This Row],[Aplicación]],14,6)</f>
        <v>22699</v>
      </c>
    </row>
    <row r="768" spans="1:24" x14ac:dyDescent="0.25">
      <c r="A768" s="49">
        <v>220209000667</v>
      </c>
      <c r="B768" s="50" t="s">
        <v>9</v>
      </c>
      <c r="C768" s="57">
        <v>44562</v>
      </c>
      <c r="D768" s="49">
        <v>22022000229</v>
      </c>
      <c r="E768" s="50" t="s">
        <v>1475</v>
      </c>
      <c r="F768" s="58">
        <v>102835.31</v>
      </c>
      <c r="G768" s="50" t="s">
        <v>72</v>
      </c>
      <c r="H768" s="50" t="s">
        <v>677</v>
      </c>
      <c r="I768" s="49" t="s">
        <v>107</v>
      </c>
      <c r="J768" s="50" t="s">
        <v>109</v>
      </c>
      <c r="K768" s="50" t="s">
        <v>109</v>
      </c>
      <c r="L768" s="50" t="s">
        <v>12</v>
      </c>
      <c r="M768" s="50" t="s">
        <v>13</v>
      </c>
      <c r="N768" s="50" t="s">
        <v>14</v>
      </c>
      <c r="O768" s="48" t="s">
        <v>620</v>
      </c>
      <c r="P768" s="45" t="s">
        <v>453</v>
      </c>
      <c r="Q768" s="35" t="str">
        <f>MID(Tabla1[[#This Row],[Aplicación]],14,1)</f>
        <v>2</v>
      </c>
      <c r="R768" s="35" t="s">
        <v>441</v>
      </c>
      <c r="S768" s="35" t="str">
        <f>MID(Tabla1[[#This Row],[Aplicación]],6,2)</f>
        <v>06</v>
      </c>
      <c r="T768" s="35" t="str">
        <f>VLOOKUP(Tabla1[[#This Row],[AREA]],Hoja1!A:B,2,FALSE)</f>
        <v>06. Educación, infancia, juventud e igualdad</v>
      </c>
      <c r="U768" s="35" t="str">
        <f>MID(Tabla1[[#This Row],[Aplicación]],9,4)</f>
        <v>3232</v>
      </c>
      <c r="V768" s="35" t="str">
        <f>VLOOKUP(Tabla1[[#This Row],[PROGRAMA]],Hoja1!A:B,2,FALSE)</f>
        <v>3232. Conservación y mantenimiento centros educación infantil y primaria</v>
      </c>
      <c r="W768" s="35" t="str">
        <f>MID(Tabla1[[#This Row],[Aplicación]],14,2)</f>
        <v>21</v>
      </c>
      <c r="X768" s="35" t="str">
        <f>MID(Tabla1[[#This Row],[Aplicación]],14,6)</f>
        <v>213</v>
      </c>
    </row>
    <row r="769" spans="1:24" x14ac:dyDescent="0.25">
      <c r="A769" s="49">
        <v>220209000681</v>
      </c>
      <c r="B769" s="50" t="s">
        <v>9</v>
      </c>
      <c r="C769" s="57">
        <v>44562</v>
      </c>
      <c r="D769" s="49">
        <v>22022000235</v>
      </c>
      <c r="E769" s="50" t="s">
        <v>1555</v>
      </c>
      <c r="F769" s="58">
        <v>1422.32</v>
      </c>
      <c r="G769" s="50" t="s">
        <v>72</v>
      </c>
      <c r="H769" s="50" t="s">
        <v>679</v>
      </c>
      <c r="I769" s="49" t="s">
        <v>107</v>
      </c>
      <c r="J769" s="50" t="s">
        <v>109</v>
      </c>
      <c r="K769" s="50" t="s">
        <v>109</v>
      </c>
      <c r="L769" s="50" t="s">
        <v>12</v>
      </c>
      <c r="M769" s="50" t="s">
        <v>13</v>
      </c>
      <c r="N769" s="50" t="s">
        <v>14</v>
      </c>
      <c r="O769" s="48" t="s">
        <v>620</v>
      </c>
      <c r="P769" s="45" t="s">
        <v>453</v>
      </c>
      <c r="Q769" s="35" t="str">
        <f>MID(Tabla1[[#This Row],[Aplicación]],14,1)</f>
        <v>2</v>
      </c>
      <c r="R769" s="35" t="s">
        <v>441</v>
      </c>
      <c r="S769" s="35" t="str">
        <f>MID(Tabla1[[#This Row],[Aplicación]],6,2)</f>
        <v>06</v>
      </c>
      <c r="T769" s="35" t="str">
        <f>VLOOKUP(Tabla1[[#This Row],[AREA]],Hoja1!A:B,2,FALSE)</f>
        <v>06. Educación, infancia, juventud e igualdad</v>
      </c>
      <c r="U769" s="35" t="str">
        <f>MID(Tabla1[[#This Row],[Aplicación]],9,4)</f>
        <v>3321</v>
      </c>
      <c r="V769" s="35" t="str">
        <f>VLOOKUP(Tabla1[[#This Row],[PROGRAMA]],Hoja1!A:B,2,FALSE)</f>
        <v>3321. Bibliotecas públicas</v>
      </c>
      <c r="W769" s="35" t="str">
        <f>MID(Tabla1[[#This Row],[Aplicación]],14,2)</f>
        <v>21</v>
      </c>
      <c r="X769" s="35" t="str">
        <f>MID(Tabla1[[#This Row],[Aplicación]],14,6)</f>
        <v>213</v>
      </c>
    </row>
    <row r="770" spans="1:24" x14ac:dyDescent="0.25">
      <c r="A770" s="49">
        <v>220220002198</v>
      </c>
      <c r="B770" s="50" t="s">
        <v>9</v>
      </c>
      <c r="C770" s="57">
        <v>44592</v>
      </c>
      <c r="D770" s="49">
        <v>22022001646</v>
      </c>
      <c r="E770" s="50" t="s">
        <v>2218</v>
      </c>
      <c r="F770" s="58">
        <v>10853.7</v>
      </c>
      <c r="G770" s="50" t="s">
        <v>62</v>
      </c>
      <c r="H770" s="50" t="s">
        <v>2219</v>
      </c>
      <c r="I770" s="49" t="s">
        <v>107</v>
      </c>
      <c r="J770" s="50" t="s">
        <v>109</v>
      </c>
      <c r="K770" s="50" t="s">
        <v>109</v>
      </c>
      <c r="L770" s="50" t="s">
        <v>15</v>
      </c>
      <c r="M770" s="50" t="s">
        <v>10</v>
      </c>
      <c r="N770" s="50" t="s">
        <v>11</v>
      </c>
      <c r="O770" s="48" t="s">
        <v>632</v>
      </c>
      <c r="P770" s="45" t="s">
        <v>453</v>
      </c>
      <c r="Q770" s="35" t="str">
        <f>MID(Tabla1[[#This Row],[Aplicación]],14,1)</f>
        <v>2</v>
      </c>
      <c r="R770" s="35" t="s">
        <v>441</v>
      </c>
      <c r="S770" s="35" t="str">
        <f>MID(Tabla1[[#This Row],[Aplicación]],6,2)</f>
        <v>06</v>
      </c>
      <c r="T770" s="35" t="str">
        <f>VLOOKUP(Tabla1[[#This Row],[AREA]],Hoja1!A:B,2,FALSE)</f>
        <v>06. Educación, infancia, juventud e igualdad</v>
      </c>
      <c r="U770" s="35" t="str">
        <f>MID(Tabla1[[#This Row],[Aplicación]],9,4)</f>
        <v>3232</v>
      </c>
      <c r="V770" s="35" t="str">
        <f>VLOOKUP(Tabla1[[#This Row],[PROGRAMA]],Hoja1!A:B,2,FALSE)</f>
        <v>3232. Conservación y mantenimiento centros educación infantil y primaria</v>
      </c>
      <c r="W770" s="35" t="str">
        <f>MID(Tabla1[[#This Row],[Aplicación]],14,2)</f>
        <v>22</v>
      </c>
      <c r="X770" s="35" t="str">
        <f>MID(Tabla1[[#This Row],[Aplicación]],14,6)</f>
        <v>22103</v>
      </c>
    </row>
    <row r="771" spans="1:24" x14ac:dyDescent="0.25">
      <c r="A771" s="49">
        <v>220220000426</v>
      </c>
      <c r="B771" s="50" t="s">
        <v>9</v>
      </c>
      <c r="C771" s="57">
        <v>44586</v>
      </c>
      <c r="D771" s="49">
        <v>22022001618</v>
      </c>
      <c r="E771" s="50" t="s">
        <v>2220</v>
      </c>
      <c r="F771" s="58">
        <v>2985.68</v>
      </c>
      <c r="G771" s="50" t="s">
        <v>62</v>
      </c>
      <c r="H771" s="50" t="s">
        <v>2221</v>
      </c>
      <c r="I771" s="49" t="s">
        <v>107</v>
      </c>
      <c r="J771" s="50" t="s">
        <v>109</v>
      </c>
      <c r="K771" s="50" t="s">
        <v>109</v>
      </c>
      <c r="L771" s="50" t="s">
        <v>15</v>
      </c>
      <c r="M771" s="50" t="s">
        <v>10</v>
      </c>
      <c r="N771" s="50" t="s">
        <v>11</v>
      </c>
      <c r="O771" s="48" t="s">
        <v>632</v>
      </c>
      <c r="P771" s="45" t="s">
        <v>453</v>
      </c>
      <c r="Q771" s="35" t="str">
        <f>MID(Tabla1[[#This Row],[Aplicación]],14,1)</f>
        <v>2</v>
      </c>
      <c r="R771" s="35" t="s">
        <v>441</v>
      </c>
      <c r="S771" s="35" t="str">
        <f>MID(Tabla1[[#This Row],[Aplicación]],6,2)</f>
        <v>08</v>
      </c>
      <c r="T771" s="35" t="str">
        <f>VLOOKUP(Tabla1[[#This Row],[AREA]],Hoja1!A:B,2,FALSE)</f>
        <v>08. Movilidad y espacio urbano</v>
      </c>
      <c r="U771" s="35" t="str">
        <f>MID(Tabla1[[#This Row],[Aplicación]],9,4)</f>
        <v>1532</v>
      </c>
      <c r="V771" s="35" t="str">
        <f>VLOOKUP(Tabla1[[#This Row],[PROGRAMA]],Hoja1!A:B,2,FALSE)</f>
        <v>1532. Pavimentación vias públicas y otros servicios urbanísticos</v>
      </c>
      <c r="W771" s="35" t="str">
        <f>MID(Tabla1[[#This Row],[Aplicación]],14,2)</f>
        <v>22</v>
      </c>
      <c r="X771" s="35" t="str">
        <f>MID(Tabla1[[#This Row],[Aplicación]],14,6)</f>
        <v>22103</v>
      </c>
    </row>
    <row r="772" spans="1:24" x14ac:dyDescent="0.25">
      <c r="A772" s="49">
        <v>220220008636</v>
      </c>
      <c r="B772" s="50" t="s">
        <v>9</v>
      </c>
      <c r="C772" s="57">
        <v>44631</v>
      </c>
      <c r="D772" s="49">
        <v>22022002743</v>
      </c>
      <c r="E772" s="50" t="s">
        <v>2222</v>
      </c>
      <c r="F772" s="58">
        <v>1113.2</v>
      </c>
      <c r="G772" s="50" t="s">
        <v>62</v>
      </c>
      <c r="H772" s="50" t="s">
        <v>2223</v>
      </c>
      <c r="I772" s="49" t="s">
        <v>107</v>
      </c>
      <c r="J772" s="50" t="s">
        <v>109</v>
      </c>
      <c r="K772" s="50" t="s">
        <v>109</v>
      </c>
      <c r="L772" s="50" t="s">
        <v>15</v>
      </c>
      <c r="M772" s="50" t="s">
        <v>10</v>
      </c>
      <c r="N772" s="50" t="s">
        <v>11</v>
      </c>
      <c r="O772" s="48" t="s">
        <v>632</v>
      </c>
      <c r="P772" s="45" t="s">
        <v>453</v>
      </c>
      <c r="Q772" s="35" t="str">
        <f>MID(Tabla1[[#This Row],[Aplicación]],14,1)</f>
        <v>2</v>
      </c>
      <c r="R772" s="35" t="s">
        <v>441</v>
      </c>
      <c r="S772" s="35" t="str">
        <f>MID(Tabla1[[#This Row],[Aplicación]],6,2)</f>
        <v>11</v>
      </c>
      <c r="T772" s="35" t="str">
        <f>VLOOKUP(Tabla1[[#This Row],[AREA]],Hoja1!A:B,2,FALSE)</f>
        <v>11. Salud pública y seguridad ciudadana</v>
      </c>
      <c r="U772" s="35" t="str">
        <f>MID(Tabla1[[#This Row],[Aplicación]],9,4)</f>
        <v>3111</v>
      </c>
      <c r="V772" s="35" t="str">
        <f>VLOOKUP(Tabla1[[#This Row],[PROGRAMA]],Hoja1!A:B,2,FALSE)</f>
        <v>3111. Protección de la salubridad pública</v>
      </c>
      <c r="W772" s="35" t="str">
        <f>MID(Tabla1[[#This Row],[Aplicación]],14,2)</f>
        <v>22</v>
      </c>
      <c r="X772" s="35" t="str">
        <f>MID(Tabla1[[#This Row],[Aplicación]],14,6)</f>
        <v>22103</v>
      </c>
    </row>
    <row r="773" spans="1:24" x14ac:dyDescent="0.25">
      <c r="A773" s="49">
        <v>220220003436</v>
      </c>
      <c r="B773" s="50" t="s">
        <v>9</v>
      </c>
      <c r="C773" s="57">
        <v>44603</v>
      </c>
      <c r="D773" s="49">
        <v>22022002017</v>
      </c>
      <c r="E773" s="50" t="s">
        <v>2224</v>
      </c>
      <c r="F773" s="58">
        <v>834.9</v>
      </c>
      <c r="G773" s="50" t="s">
        <v>62</v>
      </c>
      <c r="H773" s="50" t="s">
        <v>2225</v>
      </c>
      <c r="I773" s="49" t="s">
        <v>107</v>
      </c>
      <c r="J773" s="50" t="s">
        <v>109</v>
      </c>
      <c r="K773" s="50" t="s">
        <v>109</v>
      </c>
      <c r="L773" s="50" t="s">
        <v>15</v>
      </c>
      <c r="M773" s="50" t="s">
        <v>10</v>
      </c>
      <c r="N773" s="50" t="s">
        <v>11</v>
      </c>
      <c r="O773" s="48" t="s">
        <v>632</v>
      </c>
      <c r="P773" s="45" t="s">
        <v>453</v>
      </c>
      <c r="Q773" s="35" t="str">
        <f>MID(Tabla1[[#This Row],[Aplicación]],14,1)</f>
        <v>2</v>
      </c>
      <c r="R773" s="35" t="s">
        <v>441</v>
      </c>
      <c r="S773" s="35" t="str">
        <f>MID(Tabla1[[#This Row],[Aplicación]],6,2)</f>
        <v>03</v>
      </c>
      <c r="T773" s="35" t="str">
        <f>VLOOKUP(Tabla1[[#This Row],[AREA]],Hoja1!A:B,2,FALSE)</f>
        <v>03. Participación ciudadana y deportes</v>
      </c>
      <c r="U773" s="35" t="str">
        <f>MID(Tabla1[[#This Row],[Aplicación]],9,4)</f>
        <v>9241</v>
      </c>
      <c r="V773" s="35" t="str">
        <f>VLOOKUP(Tabla1[[#This Row],[PROGRAMA]],Hoja1!A:B,2,FALSE)</f>
        <v>9241. Participación ciudadana</v>
      </c>
      <c r="W773" s="35" t="str">
        <f>MID(Tabla1[[#This Row],[Aplicación]],14,2)</f>
        <v>22</v>
      </c>
      <c r="X773" s="35" t="str">
        <f>MID(Tabla1[[#This Row],[Aplicación]],14,6)</f>
        <v>22103</v>
      </c>
    </row>
    <row r="774" spans="1:24" x14ac:dyDescent="0.25">
      <c r="A774" s="49">
        <v>220220010308</v>
      </c>
      <c r="B774" s="50" t="s">
        <v>9</v>
      </c>
      <c r="C774" s="57">
        <v>44641</v>
      </c>
      <c r="D774" s="49">
        <v>22022002867</v>
      </c>
      <c r="E774" s="50" t="s">
        <v>2224</v>
      </c>
      <c r="F774" s="58">
        <v>530.46</v>
      </c>
      <c r="G774" s="50" t="s">
        <v>62</v>
      </c>
      <c r="H774" s="50" t="s">
        <v>2226</v>
      </c>
      <c r="I774" s="49" t="s">
        <v>107</v>
      </c>
      <c r="J774" s="50" t="s">
        <v>109</v>
      </c>
      <c r="K774" s="50" t="s">
        <v>109</v>
      </c>
      <c r="L774" s="50" t="s">
        <v>15</v>
      </c>
      <c r="M774" s="50" t="s">
        <v>10</v>
      </c>
      <c r="N774" s="50" t="s">
        <v>11</v>
      </c>
      <c r="O774" s="48" t="s">
        <v>632</v>
      </c>
      <c r="P774" s="45" t="s">
        <v>453</v>
      </c>
      <c r="Q774" s="35" t="str">
        <f>MID(Tabla1[[#This Row],[Aplicación]],14,1)</f>
        <v>2</v>
      </c>
      <c r="R774" s="35" t="s">
        <v>441</v>
      </c>
      <c r="S774" s="35" t="str">
        <f>MID(Tabla1[[#This Row],[Aplicación]],6,2)</f>
        <v>03</v>
      </c>
      <c r="T774" s="35" t="str">
        <f>VLOOKUP(Tabla1[[#This Row],[AREA]],Hoja1!A:B,2,FALSE)</f>
        <v>03. Participación ciudadana y deportes</v>
      </c>
      <c r="U774" s="35" t="str">
        <f>MID(Tabla1[[#This Row],[Aplicación]],9,4)</f>
        <v>9241</v>
      </c>
      <c r="V774" s="35" t="str">
        <f>VLOOKUP(Tabla1[[#This Row],[PROGRAMA]],Hoja1!A:B,2,FALSE)</f>
        <v>9241. Participación ciudadana</v>
      </c>
      <c r="W774" s="35" t="str">
        <f>MID(Tabla1[[#This Row],[Aplicación]],14,2)</f>
        <v>22</v>
      </c>
      <c r="X774" s="35" t="str">
        <f>MID(Tabla1[[#This Row],[Aplicación]],14,6)</f>
        <v>22103</v>
      </c>
    </row>
    <row r="775" spans="1:24" x14ac:dyDescent="0.25">
      <c r="A775" s="49">
        <v>220220000406</v>
      </c>
      <c r="B775" s="50" t="s">
        <v>9</v>
      </c>
      <c r="C775" s="57">
        <v>44586</v>
      </c>
      <c r="D775" s="49">
        <v>22022000420</v>
      </c>
      <c r="E775" s="50" t="s">
        <v>1502</v>
      </c>
      <c r="F775" s="58">
        <v>783.95</v>
      </c>
      <c r="G775" s="50" t="s">
        <v>72</v>
      </c>
      <c r="H775" s="50" t="s">
        <v>2227</v>
      </c>
      <c r="I775" s="49" t="s">
        <v>107</v>
      </c>
      <c r="J775" s="50" t="s">
        <v>109</v>
      </c>
      <c r="K775" s="50" t="s">
        <v>109</v>
      </c>
      <c r="L775" s="50" t="s">
        <v>12</v>
      </c>
      <c r="M775" s="50" t="s">
        <v>10</v>
      </c>
      <c r="N775" s="50" t="s">
        <v>11</v>
      </c>
      <c r="O775" s="48" t="s">
        <v>632</v>
      </c>
      <c r="P775" s="45" t="s">
        <v>453</v>
      </c>
      <c r="Q775" s="35" t="str">
        <f>MID(Tabla1[[#This Row],[Aplicación]],14,1)</f>
        <v>2</v>
      </c>
      <c r="R775" s="35" t="s">
        <v>441</v>
      </c>
      <c r="S775" s="35" t="str">
        <f>MID(Tabla1[[#This Row],[Aplicación]],6,2)</f>
        <v>10</v>
      </c>
      <c r="T775" s="35" t="str">
        <f>VLOOKUP(Tabla1[[#This Row],[AREA]],Hoja1!A:B,2,FALSE)</f>
        <v>10. Servicios sociales y mediación comunitaria</v>
      </c>
      <c r="U775" s="35" t="str">
        <f>MID(Tabla1[[#This Row],[Aplicación]],9,4)</f>
        <v>2412</v>
      </c>
      <c r="V775" s="35" t="str">
        <f>VLOOKUP(Tabla1[[#This Row],[PROGRAMA]],Hoja1!A:B,2,FALSE)</f>
        <v>2412. Formación para el empleo</v>
      </c>
      <c r="W775" s="35" t="str">
        <f>MID(Tabla1[[#This Row],[Aplicación]],14,2)</f>
        <v>21</v>
      </c>
      <c r="X775" s="35" t="str">
        <f>MID(Tabla1[[#This Row],[Aplicación]],14,6)</f>
        <v>213</v>
      </c>
    </row>
    <row r="776" spans="1:24" x14ac:dyDescent="0.25">
      <c r="A776" s="49">
        <v>220209000679</v>
      </c>
      <c r="B776" s="50" t="s">
        <v>9</v>
      </c>
      <c r="C776" s="57">
        <v>44562</v>
      </c>
      <c r="D776" s="49">
        <v>22022000233</v>
      </c>
      <c r="E776" s="50" t="s">
        <v>1910</v>
      </c>
      <c r="F776" s="58">
        <v>711.16</v>
      </c>
      <c r="G776" s="50" t="s">
        <v>72</v>
      </c>
      <c r="H776" s="50" t="s">
        <v>678</v>
      </c>
      <c r="I776" s="49" t="s">
        <v>107</v>
      </c>
      <c r="J776" s="50" t="s">
        <v>109</v>
      </c>
      <c r="K776" s="50" t="s">
        <v>109</v>
      </c>
      <c r="L776" s="50" t="s">
        <v>12</v>
      </c>
      <c r="M776" s="50" t="s">
        <v>13</v>
      </c>
      <c r="N776" s="50" t="s">
        <v>14</v>
      </c>
      <c r="O776" s="48" t="s">
        <v>620</v>
      </c>
      <c r="P776" s="45" t="s">
        <v>453</v>
      </c>
      <c r="Q776" s="35" t="str">
        <f>MID(Tabla1[[#This Row],[Aplicación]],14,1)</f>
        <v>2</v>
      </c>
      <c r="R776" s="35" t="s">
        <v>441</v>
      </c>
      <c r="S776" s="35" t="str">
        <f>MID(Tabla1[[#This Row],[Aplicación]],6,2)</f>
        <v>06</v>
      </c>
      <c r="T776" s="35" t="str">
        <f>VLOOKUP(Tabla1[[#This Row],[AREA]],Hoja1!A:B,2,FALSE)</f>
        <v>06. Educación, infancia, juventud e igualdad</v>
      </c>
      <c r="U776" s="35" t="str">
        <f>MID(Tabla1[[#This Row],[Aplicación]],9,4)</f>
        <v>3261</v>
      </c>
      <c r="V776" s="35" t="str">
        <f>VLOOKUP(Tabla1[[#This Row],[PROGRAMA]],Hoja1!A:B,2,FALSE)</f>
        <v>3261. Servicios complementarios de educación</v>
      </c>
      <c r="W776" s="35" t="str">
        <f>MID(Tabla1[[#This Row],[Aplicación]],14,2)</f>
        <v>21</v>
      </c>
      <c r="X776" s="35" t="str">
        <f>MID(Tabla1[[#This Row],[Aplicación]],14,6)</f>
        <v>213</v>
      </c>
    </row>
    <row r="777" spans="1:24" x14ac:dyDescent="0.25">
      <c r="A777" s="49">
        <v>220220000107</v>
      </c>
      <c r="B777" s="50" t="s">
        <v>9</v>
      </c>
      <c r="C777" s="57">
        <v>44581</v>
      </c>
      <c r="D777" s="49">
        <v>22022001195</v>
      </c>
      <c r="E777" s="50" t="s">
        <v>1684</v>
      </c>
      <c r="F777" s="58">
        <v>7120.85</v>
      </c>
      <c r="G777" s="50" t="s">
        <v>705</v>
      </c>
      <c r="H777" s="50" t="s">
        <v>2228</v>
      </c>
      <c r="I777" s="49" t="s">
        <v>107</v>
      </c>
      <c r="J777" s="50" t="s">
        <v>109</v>
      </c>
      <c r="K777" s="50" t="s">
        <v>109</v>
      </c>
      <c r="L777" s="50" t="s">
        <v>15</v>
      </c>
      <c r="M777" s="50" t="s">
        <v>10</v>
      </c>
      <c r="N777" s="50" t="s">
        <v>11</v>
      </c>
      <c r="O777" s="48" t="s">
        <v>632</v>
      </c>
      <c r="P777" s="45" t="s">
        <v>453</v>
      </c>
      <c r="Q777" s="35" t="str">
        <f>MID(Tabla1[[#This Row],[Aplicación]],14,1)</f>
        <v>2</v>
      </c>
      <c r="R777" s="35" t="s">
        <v>441</v>
      </c>
      <c r="S777" s="35" t="str">
        <f>MID(Tabla1[[#This Row],[Aplicación]],6,2)</f>
        <v>01</v>
      </c>
      <c r="T777" s="35" t="str">
        <f>VLOOKUP(Tabla1[[#This Row],[AREA]],Hoja1!A:B,2,FALSE)</f>
        <v>01. Alcaldía</v>
      </c>
      <c r="U777" s="35" t="str">
        <f>MID(Tabla1[[#This Row],[Aplicación]],9,4)</f>
        <v>9205</v>
      </c>
      <c r="V777" s="35" t="str">
        <f>VLOOKUP(Tabla1[[#This Row],[PROGRAMA]],Hoja1!A:B,2,FALSE)</f>
        <v>9205. Imprenta municipal</v>
      </c>
      <c r="W777" s="35" t="str">
        <f>MID(Tabla1[[#This Row],[Aplicación]],14,2)</f>
        <v>22</v>
      </c>
      <c r="X777" s="35" t="str">
        <f>MID(Tabla1[[#This Row],[Aplicación]],14,6)</f>
        <v>22199</v>
      </c>
    </row>
    <row r="778" spans="1:24" x14ac:dyDescent="0.25">
      <c r="A778" s="49">
        <v>220220013169</v>
      </c>
      <c r="B778" s="50" t="s">
        <v>9</v>
      </c>
      <c r="C778" s="57">
        <v>44649</v>
      </c>
      <c r="D778" s="49">
        <v>22022002954</v>
      </c>
      <c r="E778" s="50" t="s">
        <v>2229</v>
      </c>
      <c r="F778" s="58">
        <v>1200</v>
      </c>
      <c r="G778" s="50" t="s">
        <v>705</v>
      </c>
      <c r="H778" s="50" t="s">
        <v>2230</v>
      </c>
      <c r="I778" s="49" t="s">
        <v>107</v>
      </c>
      <c r="J778" s="50" t="s">
        <v>109</v>
      </c>
      <c r="K778" s="50" t="s">
        <v>109</v>
      </c>
      <c r="L778" s="50" t="s">
        <v>15</v>
      </c>
      <c r="M778" s="50" t="s">
        <v>10</v>
      </c>
      <c r="N778" s="50" t="s">
        <v>11</v>
      </c>
      <c r="O778" s="48" t="s">
        <v>632</v>
      </c>
      <c r="P778" s="45" t="s">
        <v>453</v>
      </c>
      <c r="Q778" s="35" t="str">
        <f>MID(Tabla1[[#This Row],[Aplicación]],14,1)</f>
        <v>2</v>
      </c>
      <c r="R778" s="35" t="s">
        <v>441</v>
      </c>
      <c r="S778" s="35" t="str">
        <f>MID(Tabla1[[#This Row],[Aplicación]],6,2)</f>
        <v>06</v>
      </c>
      <c r="T778" s="35" t="str">
        <f>VLOOKUP(Tabla1[[#This Row],[AREA]],Hoja1!A:B,2,FALSE)</f>
        <v>06. Educación, infancia, juventud e igualdad</v>
      </c>
      <c r="U778" s="35" t="str">
        <f>MID(Tabla1[[#This Row],[Aplicación]],9,4)</f>
        <v>2315</v>
      </c>
      <c r="V778" s="35" t="str">
        <f>VLOOKUP(Tabla1[[#This Row],[PROGRAMA]],Hoja1!A:B,2,FALSE)</f>
        <v>2315. Políticas de Igualdad e infancia</v>
      </c>
      <c r="W778" s="35" t="str">
        <f>MID(Tabla1[[#This Row],[Aplicación]],14,2)</f>
        <v>22</v>
      </c>
      <c r="X778" s="35" t="str">
        <f>MID(Tabla1[[#This Row],[Aplicación]],14,6)</f>
        <v>22699</v>
      </c>
    </row>
    <row r="779" spans="1:24" x14ac:dyDescent="0.25">
      <c r="A779" s="49">
        <v>220220006701</v>
      </c>
      <c r="B779" s="50" t="s">
        <v>9</v>
      </c>
      <c r="C779" s="57">
        <v>44617</v>
      </c>
      <c r="D779" s="49">
        <v>22022002494</v>
      </c>
      <c r="E779" s="50" t="s">
        <v>1841</v>
      </c>
      <c r="F779" s="58">
        <v>780.23</v>
      </c>
      <c r="G779" s="50" t="s">
        <v>705</v>
      </c>
      <c r="H779" s="50" t="s">
        <v>2231</v>
      </c>
      <c r="I779" s="49" t="s">
        <v>107</v>
      </c>
      <c r="J779" s="50" t="s">
        <v>109</v>
      </c>
      <c r="K779" s="50" t="s">
        <v>109</v>
      </c>
      <c r="L779" s="50" t="s">
        <v>15</v>
      </c>
      <c r="M779" s="50" t="s">
        <v>10</v>
      </c>
      <c r="N779" s="50" t="s">
        <v>11</v>
      </c>
      <c r="O779" s="48" t="s">
        <v>632</v>
      </c>
      <c r="P779" s="45" t="s">
        <v>453</v>
      </c>
      <c r="Q779" s="35" t="str">
        <f>MID(Tabla1[[#This Row],[Aplicación]],14,1)</f>
        <v>2</v>
      </c>
      <c r="R779" s="35" t="s">
        <v>441</v>
      </c>
      <c r="S779" s="35" t="str">
        <f>MID(Tabla1[[#This Row],[Aplicación]],6,2)</f>
        <v>03</v>
      </c>
      <c r="T779" s="35" t="str">
        <f>VLOOKUP(Tabla1[[#This Row],[AREA]],Hoja1!A:B,2,FALSE)</f>
        <v>03. Participación ciudadana y deportes</v>
      </c>
      <c r="U779" s="35" t="str">
        <f>MID(Tabla1[[#This Row],[Aplicación]],9,4)</f>
        <v>9241</v>
      </c>
      <c r="V779" s="35" t="str">
        <f>VLOOKUP(Tabla1[[#This Row],[PROGRAMA]],Hoja1!A:B,2,FALSE)</f>
        <v>9241. Participación ciudadana</v>
      </c>
      <c r="W779" s="35" t="str">
        <f>MID(Tabla1[[#This Row],[Aplicación]],14,2)</f>
        <v>22</v>
      </c>
      <c r="X779" s="35" t="str">
        <f>MID(Tabla1[[#This Row],[Aplicación]],14,6)</f>
        <v>22602</v>
      </c>
    </row>
    <row r="780" spans="1:24" x14ac:dyDescent="0.25">
      <c r="A780" s="49">
        <v>220220007105</v>
      </c>
      <c r="B780" s="50" t="s">
        <v>9</v>
      </c>
      <c r="C780" s="57">
        <v>44623</v>
      </c>
      <c r="D780" s="49">
        <v>22022002533</v>
      </c>
      <c r="E780" s="50" t="s">
        <v>2232</v>
      </c>
      <c r="F780" s="58">
        <v>150</v>
      </c>
      <c r="G780" s="50" t="s">
        <v>705</v>
      </c>
      <c r="H780" s="50" t="s">
        <v>2233</v>
      </c>
      <c r="I780" s="49" t="s">
        <v>107</v>
      </c>
      <c r="J780" s="50" t="s">
        <v>109</v>
      </c>
      <c r="K780" s="50" t="s">
        <v>109</v>
      </c>
      <c r="L780" s="50" t="s">
        <v>15</v>
      </c>
      <c r="M780" s="50" t="s">
        <v>10</v>
      </c>
      <c r="N780" s="50" t="s">
        <v>11</v>
      </c>
      <c r="O780" s="48" t="s">
        <v>632</v>
      </c>
      <c r="P780" s="45" t="s">
        <v>453</v>
      </c>
      <c r="Q780" s="35" t="str">
        <f>MID(Tabla1[[#This Row],[Aplicación]],14,1)</f>
        <v>2</v>
      </c>
      <c r="R780" s="35" t="s">
        <v>441</v>
      </c>
      <c r="S780" s="35" t="str">
        <f>MID(Tabla1[[#This Row],[Aplicación]],6,2)</f>
        <v>06</v>
      </c>
      <c r="T780" s="35" t="str">
        <f>VLOOKUP(Tabla1[[#This Row],[AREA]],Hoja1!A:B,2,FALSE)</f>
        <v>06. Educación, infancia, juventud e igualdad</v>
      </c>
      <c r="U780" s="35" t="str">
        <f>MID(Tabla1[[#This Row],[Aplicación]],9,4)</f>
        <v>3231</v>
      </c>
      <c r="V780" s="35" t="str">
        <f>VLOOKUP(Tabla1[[#This Row],[PROGRAMA]],Hoja1!A:B,2,FALSE)</f>
        <v>3231. Escuelas infantiles</v>
      </c>
      <c r="W780" s="35" t="str">
        <f>MID(Tabla1[[#This Row],[Aplicación]],14,2)</f>
        <v>22</v>
      </c>
      <c r="X780" s="35" t="str">
        <f>MID(Tabla1[[#This Row],[Aplicación]],14,6)</f>
        <v>22699</v>
      </c>
    </row>
    <row r="781" spans="1:24" x14ac:dyDescent="0.25">
      <c r="A781" s="49">
        <v>220220013184</v>
      </c>
      <c r="B781" s="50" t="s">
        <v>9</v>
      </c>
      <c r="C781" s="57">
        <v>44650</v>
      </c>
      <c r="D781" s="49">
        <v>22022003047</v>
      </c>
      <c r="E781" s="50" t="s">
        <v>1644</v>
      </c>
      <c r="F781" s="58">
        <v>1413.28</v>
      </c>
      <c r="G781" s="50" t="s">
        <v>1326</v>
      </c>
      <c r="H781" s="50" t="s">
        <v>2234</v>
      </c>
      <c r="I781" s="49" t="s">
        <v>107</v>
      </c>
      <c r="J781" s="50" t="s">
        <v>1327</v>
      </c>
      <c r="K781" s="50" t="s">
        <v>1104</v>
      </c>
      <c r="L781" s="50" t="s">
        <v>15</v>
      </c>
      <c r="M781" s="50" t="s">
        <v>10</v>
      </c>
      <c r="N781" s="50" t="s">
        <v>11</v>
      </c>
      <c r="O781" s="48" t="s">
        <v>632</v>
      </c>
      <c r="P781" s="45" t="s">
        <v>453</v>
      </c>
      <c r="Q781" s="35" t="str">
        <f>MID(Tabla1[[#This Row],[Aplicación]],14,1)</f>
        <v>2</v>
      </c>
      <c r="R781" s="35" t="s">
        <v>441</v>
      </c>
      <c r="S781" s="35" t="str">
        <f>MID(Tabla1[[#This Row],[Aplicación]],6,2)</f>
        <v>11</v>
      </c>
      <c r="T781" s="35" t="str">
        <f>VLOOKUP(Tabla1[[#This Row],[AREA]],Hoja1!A:B,2,FALSE)</f>
        <v>11. Salud pública y seguridad ciudadana</v>
      </c>
      <c r="U781" s="35" t="str">
        <f>MID(Tabla1[[#This Row],[Aplicación]],9,4)</f>
        <v>1621</v>
      </c>
      <c r="V781" s="35" t="str">
        <f>VLOOKUP(Tabla1[[#This Row],[PROGRAMA]],Hoja1!A:B,2,FALSE)</f>
        <v>1621. Servicio de limpieza</v>
      </c>
      <c r="W781" s="35" t="str">
        <f>MID(Tabla1[[#This Row],[Aplicación]],14,2)</f>
        <v>21</v>
      </c>
      <c r="X781" s="35" t="str">
        <f>MID(Tabla1[[#This Row],[Aplicación]],14,6)</f>
        <v>214</v>
      </c>
    </row>
    <row r="782" spans="1:24" x14ac:dyDescent="0.25">
      <c r="A782" s="49">
        <v>220220007942</v>
      </c>
      <c r="B782" s="50" t="s">
        <v>9</v>
      </c>
      <c r="C782" s="57">
        <v>44628</v>
      </c>
      <c r="D782" s="49">
        <v>22022002535</v>
      </c>
      <c r="E782" s="50" t="s">
        <v>1953</v>
      </c>
      <c r="F782" s="58">
        <v>17811.2</v>
      </c>
      <c r="G782" s="50" t="s">
        <v>188</v>
      </c>
      <c r="H782" s="50" t="s">
        <v>2235</v>
      </c>
      <c r="I782" s="49" t="s">
        <v>107</v>
      </c>
      <c r="J782" s="50" t="s">
        <v>544</v>
      </c>
      <c r="K782" s="50" t="s">
        <v>109</v>
      </c>
      <c r="L782" s="50" t="s">
        <v>12</v>
      </c>
      <c r="M782" s="50" t="s">
        <v>10</v>
      </c>
      <c r="N782" s="50" t="s">
        <v>11</v>
      </c>
      <c r="O782" s="48" t="s">
        <v>632</v>
      </c>
      <c r="P782" s="45" t="s">
        <v>453</v>
      </c>
      <c r="Q782" s="35" t="str">
        <f>MID(Tabla1[[#This Row],[Aplicación]],14,1)</f>
        <v>2</v>
      </c>
      <c r="R782" s="35" t="s">
        <v>441</v>
      </c>
      <c r="S782" s="35" t="str">
        <f>MID(Tabla1[[#This Row],[Aplicación]],6,2)</f>
        <v>03</v>
      </c>
      <c r="T782" s="35" t="str">
        <f>VLOOKUP(Tabla1[[#This Row],[AREA]],Hoja1!A:B,2,FALSE)</f>
        <v>03. Participación ciudadana y deportes</v>
      </c>
      <c r="U782" s="35" t="str">
        <f>MID(Tabla1[[#This Row],[Aplicación]],9,4)</f>
        <v>9241</v>
      </c>
      <c r="V782" s="35" t="str">
        <f>VLOOKUP(Tabla1[[#This Row],[PROGRAMA]],Hoja1!A:B,2,FALSE)</f>
        <v>9241. Participación ciudadana</v>
      </c>
      <c r="W782" s="35" t="str">
        <f>MID(Tabla1[[#This Row],[Aplicación]],14,2)</f>
        <v>22</v>
      </c>
      <c r="X782" s="35" t="str">
        <f>MID(Tabla1[[#This Row],[Aplicación]],14,6)</f>
        <v>22706</v>
      </c>
    </row>
    <row r="783" spans="1:24" x14ac:dyDescent="0.25">
      <c r="A783" s="49">
        <v>220220006725</v>
      </c>
      <c r="B783" s="50" t="s">
        <v>9</v>
      </c>
      <c r="C783" s="57">
        <v>44620</v>
      </c>
      <c r="D783" s="49">
        <v>22021001427</v>
      </c>
      <c r="E783" s="50" t="s">
        <v>1826</v>
      </c>
      <c r="F783" s="58">
        <v>21828.400000000001</v>
      </c>
      <c r="G783" s="50" t="s">
        <v>500</v>
      </c>
      <c r="H783" s="50" t="s">
        <v>835</v>
      </c>
      <c r="I783" s="49" t="s">
        <v>107</v>
      </c>
      <c r="J783" s="50" t="s">
        <v>128</v>
      </c>
      <c r="K783" s="50" t="s">
        <v>128</v>
      </c>
      <c r="L783" s="50" t="s">
        <v>12</v>
      </c>
      <c r="M783" s="50" t="s">
        <v>23</v>
      </c>
      <c r="N783" s="50" t="s">
        <v>11</v>
      </c>
      <c r="O783" s="48" t="s">
        <v>622</v>
      </c>
      <c r="P783" s="45" t="s">
        <v>453</v>
      </c>
      <c r="Q783" s="35" t="str">
        <f>MID(Tabla1[[#This Row],[Aplicación]],14,1)</f>
        <v>6</v>
      </c>
      <c r="R783" s="35" t="s">
        <v>442</v>
      </c>
      <c r="S783" s="35" t="str">
        <f>MID(Tabla1[[#This Row],[Aplicación]],6,2)</f>
        <v>04</v>
      </c>
      <c r="T783" s="35" t="str">
        <f>VLOOKUP(Tabla1[[#This Row],[AREA]],Hoja1!A:B,2,FALSE)</f>
        <v>04. Planificación y recursos</v>
      </c>
      <c r="U783" s="35" t="str">
        <f>MID(Tabla1[[#This Row],[Aplicación]],9,4)</f>
        <v>9321</v>
      </c>
      <c r="V783" s="35" t="str">
        <f>VLOOKUP(Tabla1[[#This Row],[PROGRAMA]],Hoja1!A:B,2,FALSE)</f>
        <v>9321. Gestión de ingresos e inspección</v>
      </c>
      <c r="W783" s="35" t="str">
        <f>MID(Tabla1[[#This Row],[Aplicación]],14,2)</f>
        <v>64</v>
      </c>
      <c r="X783" s="35" t="str">
        <f>MID(Tabla1[[#This Row],[Aplicación]],14,6)</f>
        <v>641</v>
      </c>
    </row>
    <row r="784" spans="1:24" x14ac:dyDescent="0.25">
      <c r="A784" s="49">
        <v>220220000407</v>
      </c>
      <c r="B784" s="50" t="s">
        <v>9</v>
      </c>
      <c r="C784" s="57">
        <v>44586</v>
      </c>
      <c r="D784" s="49">
        <v>22022000421</v>
      </c>
      <c r="E784" s="50" t="s">
        <v>1502</v>
      </c>
      <c r="F784" s="58">
        <v>325.64999999999998</v>
      </c>
      <c r="G784" s="50" t="s">
        <v>72</v>
      </c>
      <c r="H784" s="50" t="s">
        <v>2236</v>
      </c>
      <c r="I784" s="49" t="s">
        <v>107</v>
      </c>
      <c r="J784" s="50" t="s">
        <v>109</v>
      </c>
      <c r="K784" s="50" t="s">
        <v>109</v>
      </c>
      <c r="L784" s="50" t="s">
        <v>12</v>
      </c>
      <c r="M784" s="50" t="s">
        <v>10</v>
      </c>
      <c r="N784" s="50" t="s">
        <v>11</v>
      </c>
      <c r="O784" s="48" t="s">
        <v>632</v>
      </c>
      <c r="P784" s="45" t="s">
        <v>453</v>
      </c>
      <c r="Q784" s="35" t="str">
        <f>MID(Tabla1[[#This Row],[Aplicación]],14,1)</f>
        <v>2</v>
      </c>
      <c r="R784" s="35" t="s">
        <v>441</v>
      </c>
      <c r="S784" s="35" t="str">
        <f>MID(Tabla1[[#This Row],[Aplicación]],6,2)</f>
        <v>10</v>
      </c>
      <c r="T784" s="35" t="str">
        <f>VLOOKUP(Tabla1[[#This Row],[AREA]],Hoja1!A:B,2,FALSE)</f>
        <v>10. Servicios sociales y mediación comunitaria</v>
      </c>
      <c r="U784" s="35" t="str">
        <f>MID(Tabla1[[#This Row],[Aplicación]],9,4)</f>
        <v>2412</v>
      </c>
      <c r="V784" s="35" t="str">
        <f>VLOOKUP(Tabla1[[#This Row],[PROGRAMA]],Hoja1!A:B,2,FALSE)</f>
        <v>2412. Formación para el empleo</v>
      </c>
      <c r="W784" s="35" t="str">
        <f>MID(Tabla1[[#This Row],[Aplicación]],14,2)</f>
        <v>21</v>
      </c>
      <c r="X784" s="35" t="str">
        <f>MID(Tabla1[[#This Row],[Aplicación]],14,6)</f>
        <v>213</v>
      </c>
    </row>
    <row r="785" spans="1:24" x14ac:dyDescent="0.25">
      <c r="A785" s="49">
        <v>220220000405</v>
      </c>
      <c r="B785" s="50" t="s">
        <v>9</v>
      </c>
      <c r="C785" s="57">
        <v>44586</v>
      </c>
      <c r="D785" s="49">
        <v>22022000419</v>
      </c>
      <c r="E785" s="50" t="s">
        <v>1502</v>
      </c>
      <c r="F785" s="58">
        <v>198.73</v>
      </c>
      <c r="G785" s="50" t="s">
        <v>72</v>
      </c>
      <c r="H785" s="50" t="s">
        <v>2237</v>
      </c>
      <c r="I785" s="49" t="s">
        <v>107</v>
      </c>
      <c r="J785" s="50" t="s">
        <v>109</v>
      </c>
      <c r="K785" s="50" t="s">
        <v>109</v>
      </c>
      <c r="L785" s="50" t="s">
        <v>12</v>
      </c>
      <c r="M785" s="50" t="s">
        <v>10</v>
      </c>
      <c r="N785" s="50" t="s">
        <v>11</v>
      </c>
      <c r="O785" s="48" t="s">
        <v>632</v>
      </c>
      <c r="P785" s="45" t="s">
        <v>453</v>
      </c>
      <c r="Q785" s="35" t="str">
        <f>MID(Tabla1[[#This Row],[Aplicación]],14,1)</f>
        <v>2</v>
      </c>
      <c r="R785" s="35" t="s">
        <v>441</v>
      </c>
      <c r="S785" s="35" t="str">
        <f>MID(Tabla1[[#This Row],[Aplicación]],6,2)</f>
        <v>10</v>
      </c>
      <c r="T785" s="35" t="str">
        <f>VLOOKUP(Tabla1[[#This Row],[AREA]],Hoja1!A:B,2,FALSE)</f>
        <v>10. Servicios sociales y mediación comunitaria</v>
      </c>
      <c r="U785" s="35" t="str">
        <f>MID(Tabla1[[#This Row],[Aplicación]],9,4)</f>
        <v>2412</v>
      </c>
      <c r="V785" s="35" t="str">
        <f>VLOOKUP(Tabla1[[#This Row],[PROGRAMA]],Hoja1!A:B,2,FALSE)</f>
        <v>2412. Formación para el empleo</v>
      </c>
      <c r="W785" s="35" t="str">
        <f>MID(Tabla1[[#This Row],[Aplicación]],14,2)</f>
        <v>21</v>
      </c>
      <c r="X785" s="35" t="str">
        <f>MID(Tabla1[[#This Row],[Aplicación]],14,6)</f>
        <v>213</v>
      </c>
    </row>
    <row r="786" spans="1:24" x14ac:dyDescent="0.25">
      <c r="A786" s="49">
        <v>220210063233</v>
      </c>
      <c r="B786" s="50" t="s">
        <v>9</v>
      </c>
      <c r="C786" s="57">
        <v>44631</v>
      </c>
      <c r="D786" s="49">
        <v>22021006723</v>
      </c>
      <c r="E786" s="50" t="s">
        <v>2238</v>
      </c>
      <c r="F786" s="58">
        <v>0.5</v>
      </c>
      <c r="G786" s="50" t="s">
        <v>189</v>
      </c>
      <c r="H786" s="50" t="s">
        <v>1226</v>
      </c>
      <c r="I786" s="49" t="s">
        <v>107</v>
      </c>
      <c r="J786" s="50" t="s">
        <v>108</v>
      </c>
      <c r="K786" s="50" t="s">
        <v>108</v>
      </c>
      <c r="L786" s="50" t="s">
        <v>12</v>
      </c>
      <c r="M786" s="50" t="s">
        <v>10</v>
      </c>
      <c r="N786" s="50" t="s">
        <v>11</v>
      </c>
      <c r="O786" s="48" t="s">
        <v>632</v>
      </c>
      <c r="P786" s="45" t="s">
        <v>453</v>
      </c>
      <c r="Q786" s="35" t="str">
        <f>MID(Tabla1[[#This Row],[Aplicación]],14,1)</f>
        <v>6</v>
      </c>
      <c r="R786" s="35" t="s">
        <v>442</v>
      </c>
      <c r="S786" s="35" t="str">
        <f>MID(Tabla1[[#This Row],[Aplicación]],6,2)</f>
        <v>11</v>
      </c>
      <c r="T786" s="35" t="str">
        <f>VLOOKUP(Tabla1[[#This Row],[AREA]],Hoja1!A:B,2,FALSE)</f>
        <v>11. Salud pública y seguridad ciudadana</v>
      </c>
      <c r="U786" s="35" t="str">
        <f>MID(Tabla1[[#This Row],[Aplicación]],9,4)</f>
        <v>1361</v>
      </c>
      <c r="V786" s="35" t="str">
        <f>VLOOKUP(Tabla1[[#This Row],[PROGRAMA]],Hoja1!A:B,2,FALSE)</f>
        <v>1361. Prevención y extinción de incencios</v>
      </c>
      <c r="W786" s="35" t="str">
        <f>MID(Tabla1[[#This Row],[Aplicación]],14,2)</f>
        <v>62</v>
      </c>
      <c r="X786" s="35" t="str">
        <f>MID(Tabla1[[#This Row],[Aplicación]],14,6)</f>
        <v>623</v>
      </c>
    </row>
    <row r="787" spans="1:24" x14ac:dyDescent="0.25">
      <c r="A787" s="49">
        <v>220220000408</v>
      </c>
      <c r="B787" s="50" t="s">
        <v>9</v>
      </c>
      <c r="C787" s="57">
        <v>44586</v>
      </c>
      <c r="D787" s="49">
        <v>22022000422</v>
      </c>
      <c r="E787" s="50" t="s">
        <v>1502</v>
      </c>
      <c r="F787" s="58">
        <v>191.67</v>
      </c>
      <c r="G787" s="50" t="s">
        <v>72</v>
      </c>
      <c r="H787" s="50" t="s">
        <v>2239</v>
      </c>
      <c r="I787" s="49" t="s">
        <v>107</v>
      </c>
      <c r="J787" s="50" t="s">
        <v>109</v>
      </c>
      <c r="K787" s="50" t="s">
        <v>109</v>
      </c>
      <c r="L787" s="50" t="s">
        <v>12</v>
      </c>
      <c r="M787" s="50" t="s">
        <v>10</v>
      </c>
      <c r="N787" s="50" t="s">
        <v>11</v>
      </c>
      <c r="O787" s="48" t="s">
        <v>632</v>
      </c>
      <c r="P787" s="45" t="s">
        <v>453</v>
      </c>
      <c r="Q787" s="35" t="str">
        <f>MID(Tabla1[[#This Row],[Aplicación]],14,1)</f>
        <v>2</v>
      </c>
      <c r="R787" s="35" t="s">
        <v>441</v>
      </c>
      <c r="S787" s="35" t="str">
        <f>MID(Tabla1[[#This Row],[Aplicación]],6,2)</f>
        <v>10</v>
      </c>
      <c r="T787" s="35" t="str">
        <f>VLOOKUP(Tabla1[[#This Row],[AREA]],Hoja1!A:B,2,FALSE)</f>
        <v>10. Servicios sociales y mediación comunitaria</v>
      </c>
      <c r="U787" s="35" t="str">
        <f>MID(Tabla1[[#This Row],[Aplicación]],9,4)</f>
        <v>2412</v>
      </c>
      <c r="V787" s="35" t="str">
        <f>VLOOKUP(Tabla1[[#This Row],[PROGRAMA]],Hoja1!A:B,2,FALSE)</f>
        <v>2412. Formación para el empleo</v>
      </c>
      <c r="W787" s="35" t="str">
        <f>MID(Tabla1[[#This Row],[Aplicación]],14,2)</f>
        <v>21</v>
      </c>
      <c r="X787" s="35" t="str">
        <f>MID(Tabla1[[#This Row],[Aplicación]],14,6)</f>
        <v>213</v>
      </c>
    </row>
    <row r="788" spans="1:24" x14ac:dyDescent="0.25">
      <c r="A788" s="49">
        <v>220220012875</v>
      </c>
      <c r="B788" s="50" t="s">
        <v>172</v>
      </c>
      <c r="C788" s="57">
        <v>44645</v>
      </c>
      <c r="D788" s="49">
        <v>22022002249</v>
      </c>
      <c r="E788" s="50" t="s">
        <v>1492</v>
      </c>
      <c r="F788" s="58">
        <v>4167</v>
      </c>
      <c r="G788" s="50" t="s">
        <v>2240</v>
      </c>
      <c r="H788" s="50" t="s">
        <v>2241</v>
      </c>
      <c r="I788" s="49" t="s">
        <v>173</v>
      </c>
      <c r="J788" s="50" t="s">
        <v>109</v>
      </c>
      <c r="K788" s="50" t="s">
        <v>109</v>
      </c>
      <c r="L788" s="50" t="s">
        <v>12</v>
      </c>
      <c r="M788" s="50" t="s">
        <v>13</v>
      </c>
      <c r="N788" s="50" t="s">
        <v>14</v>
      </c>
      <c r="O788" s="48" t="s">
        <v>620</v>
      </c>
      <c r="P788" s="45" t="s">
        <v>453</v>
      </c>
      <c r="Q788" s="35" t="str">
        <f>MID(Tabla1[[#This Row],[Aplicación]],14,1)</f>
        <v>2</v>
      </c>
      <c r="R788" s="35" t="s">
        <v>441</v>
      </c>
      <c r="S788" s="35" t="str">
        <f>MID(Tabla1[[#This Row],[Aplicación]],6,2)</f>
        <v>11</v>
      </c>
      <c r="T788" s="35" t="str">
        <f>VLOOKUP(Tabla1[[#This Row],[AREA]],Hoja1!A:B,2,FALSE)</f>
        <v>11. Salud pública y seguridad ciudadana</v>
      </c>
      <c r="U788" s="35" t="str">
        <f>MID(Tabla1[[#This Row],[Aplicación]],9,4)</f>
        <v>1361</v>
      </c>
      <c r="V788" s="35" t="str">
        <f>VLOOKUP(Tabla1[[#This Row],[PROGRAMA]],Hoja1!A:B,2,FALSE)</f>
        <v>1361. Prevención y extinción de incencios</v>
      </c>
      <c r="W788" s="35" t="str">
        <f>MID(Tabla1[[#This Row],[Aplicación]],14,2)</f>
        <v>21</v>
      </c>
      <c r="X788" s="35" t="str">
        <f>MID(Tabla1[[#This Row],[Aplicación]],14,6)</f>
        <v>213</v>
      </c>
    </row>
    <row r="789" spans="1:24" x14ac:dyDescent="0.25">
      <c r="A789" s="49">
        <v>220220000311</v>
      </c>
      <c r="B789" s="50" t="s">
        <v>26</v>
      </c>
      <c r="C789" s="57">
        <v>44582</v>
      </c>
      <c r="D789" s="49">
        <v>22022001241</v>
      </c>
      <c r="E789" s="50" t="s">
        <v>1465</v>
      </c>
      <c r="F789" s="58">
        <v>242.3</v>
      </c>
      <c r="G789" s="50" t="s">
        <v>58</v>
      </c>
      <c r="H789" s="50" t="s">
        <v>2242</v>
      </c>
      <c r="I789" s="49" t="s">
        <v>197</v>
      </c>
      <c r="J789" s="50" t="s">
        <v>109</v>
      </c>
      <c r="K789" s="50" t="s">
        <v>109</v>
      </c>
      <c r="L789" s="50" t="s">
        <v>12</v>
      </c>
      <c r="M789" s="50" t="s">
        <v>13</v>
      </c>
      <c r="N789" s="50" t="s">
        <v>14</v>
      </c>
      <c r="O789" s="48" t="s">
        <v>620</v>
      </c>
      <c r="P789" s="45" t="s">
        <v>453</v>
      </c>
      <c r="Q789" s="35" t="str">
        <f>MID(Tabla1[[#This Row],[Aplicación]],14,1)</f>
        <v>2</v>
      </c>
      <c r="R789" s="35" t="s">
        <v>441</v>
      </c>
      <c r="S789" s="35" t="str">
        <f>MID(Tabla1[[#This Row],[Aplicación]],6,2)</f>
        <v>02</v>
      </c>
      <c r="T789" s="35" t="str">
        <f>VLOOKUP(Tabla1[[#This Row],[AREA]],Hoja1!A:B,2,FALSE)</f>
        <v>02. Planeamiento urbanístico y vivienda</v>
      </c>
      <c r="U789" s="35" t="str">
        <f>MID(Tabla1[[#This Row],[Aplicación]],9,4)</f>
        <v>9331</v>
      </c>
      <c r="V789" s="35" t="str">
        <f>VLOOKUP(Tabla1[[#This Row],[PROGRAMA]],Hoja1!A:B,2,FALSE)</f>
        <v>9331. Gestión del patrimonio</v>
      </c>
      <c r="W789" s="35" t="str">
        <f>MID(Tabla1[[#This Row],[Aplicación]],14,2)</f>
        <v>21</v>
      </c>
      <c r="X789" s="35" t="str">
        <f>MID(Tabla1[[#This Row],[Aplicación]],14,6)</f>
        <v>213</v>
      </c>
    </row>
    <row r="790" spans="1:24" x14ac:dyDescent="0.25">
      <c r="A790" s="49">
        <v>220220006690</v>
      </c>
      <c r="B790" s="50" t="s">
        <v>9</v>
      </c>
      <c r="C790" s="57">
        <v>44617</v>
      </c>
      <c r="D790" s="49">
        <v>22022002348</v>
      </c>
      <c r="E790" s="50" t="s">
        <v>1614</v>
      </c>
      <c r="F790" s="58">
        <v>2108.54</v>
      </c>
      <c r="G790" s="50" t="s">
        <v>582</v>
      </c>
      <c r="H790" s="50" t="s">
        <v>2243</v>
      </c>
      <c r="I790" s="49" t="s">
        <v>107</v>
      </c>
      <c r="J790" s="50" t="s">
        <v>583</v>
      </c>
      <c r="K790" s="50" t="s">
        <v>180</v>
      </c>
      <c r="L790" s="50" t="s">
        <v>15</v>
      </c>
      <c r="M790" s="50" t="s">
        <v>10</v>
      </c>
      <c r="N790" s="50" t="s">
        <v>11</v>
      </c>
      <c r="O790" s="48" t="s">
        <v>632</v>
      </c>
      <c r="P790" s="45" t="s">
        <v>453</v>
      </c>
      <c r="Q790" s="35" t="str">
        <f>MID(Tabla1[[#This Row],[Aplicación]],14,1)</f>
        <v>2</v>
      </c>
      <c r="R790" s="35" t="s">
        <v>441</v>
      </c>
      <c r="S790" s="35" t="str">
        <f>MID(Tabla1[[#This Row],[Aplicación]],6,2)</f>
        <v>07</v>
      </c>
      <c r="T790" s="35" t="str">
        <f>VLOOKUP(Tabla1[[#This Row],[AREA]],Hoja1!A:B,2,FALSE)</f>
        <v>07. Medio ambiente y desarrollo sostenible</v>
      </c>
      <c r="U790" s="35" t="str">
        <f>MID(Tabla1[[#This Row],[Aplicación]],9,4)</f>
        <v>1721</v>
      </c>
      <c r="V790" s="35" t="str">
        <f>VLOOKUP(Tabla1[[#This Row],[PROGRAMA]],Hoja1!A:B,2,FALSE)</f>
        <v>1721. Protección del medio ambiente</v>
      </c>
      <c r="W790" s="35" t="str">
        <f>MID(Tabla1[[#This Row],[Aplicación]],14,2)</f>
        <v>22</v>
      </c>
      <c r="X790" s="35" t="str">
        <f>MID(Tabla1[[#This Row],[Aplicación]],14,6)</f>
        <v>22199</v>
      </c>
    </row>
    <row r="791" spans="1:24" x14ac:dyDescent="0.25">
      <c r="A791" s="49">
        <v>220220010184</v>
      </c>
      <c r="B791" s="50" t="s">
        <v>9</v>
      </c>
      <c r="C791" s="57">
        <v>44638</v>
      </c>
      <c r="D791" s="49">
        <v>22022002851</v>
      </c>
      <c r="E791" s="50" t="s">
        <v>1614</v>
      </c>
      <c r="F791" s="58">
        <v>72</v>
      </c>
      <c r="G791" s="50" t="s">
        <v>582</v>
      </c>
      <c r="H791" s="50" t="s">
        <v>2244</v>
      </c>
      <c r="I791" s="49" t="s">
        <v>107</v>
      </c>
      <c r="J791" s="50" t="s">
        <v>583</v>
      </c>
      <c r="K791" s="50" t="s">
        <v>180</v>
      </c>
      <c r="L791" s="50" t="s">
        <v>15</v>
      </c>
      <c r="M791" s="50" t="s">
        <v>10</v>
      </c>
      <c r="N791" s="50" t="s">
        <v>11</v>
      </c>
      <c r="O791" s="48" t="s">
        <v>632</v>
      </c>
      <c r="P791" s="45" t="s">
        <v>453</v>
      </c>
      <c r="Q791" s="35" t="str">
        <f>MID(Tabla1[[#This Row],[Aplicación]],14,1)</f>
        <v>2</v>
      </c>
      <c r="R791" s="35" t="s">
        <v>441</v>
      </c>
      <c r="S791" s="35" t="str">
        <f>MID(Tabla1[[#This Row],[Aplicación]],6,2)</f>
        <v>07</v>
      </c>
      <c r="T791" s="35" t="str">
        <f>VLOOKUP(Tabla1[[#This Row],[AREA]],Hoja1!A:B,2,FALSE)</f>
        <v>07. Medio ambiente y desarrollo sostenible</v>
      </c>
      <c r="U791" s="35" t="str">
        <f>MID(Tabla1[[#This Row],[Aplicación]],9,4)</f>
        <v>1721</v>
      </c>
      <c r="V791" s="35" t="str">
        <f>VLOOKUP(Tabla1[[#This Row],[PROGRAMA]],Hoja1!A:B,2,FALSE)</f>
        <v>1721. Protección del medio ambiente</v>
      </c>
      <c r="W791" s="35" t="str">
        <f>MID(Tabla1[[#This Row],[Aplicación]],14,2)</f>
        <v>22</v>
      </c>
      <c r="X791" s="35" t="str">
        <f>MID(Tabla1[[#This Row],[Aplicación]],14,6)</f>
        <v>22199</v>
      </c>
    </row>
    <row r="792" spans="1:24" x14ac:dyDescent="0.25">
      <c r="A792" s="49">
        <v>220220001711</v>
      </c>
      <c r="B792" s="50" t="s">
        <v>9</v>
      </c>
      <c r="C792" s="57">
        <v>44588</v>
      </c>
      <c r="D792" s="49">
        <v>22022001644</v>
      </c>
      <c r="E792" s="50" t="s">
        <v>1412</v>
      </c>
      <c r="F792" s="58">
        <v>1874.4</v>
      </c>
      <c r="G792" s="50" t="s">
        <v>709</v>
      </c>
      <c r="H792" s="50" t="s">
        <v>2245</v>
      </c>
      <c r="I792" s="49" t="s">
        <v>107</v>
      </c>
      <c r="J792" s="50" t="s">
        <v>109</v>
      </c>
      <c r="K792" s="50" t="s">
        <v>109</v>
      </c>
      <c r="L792" s="50" t="s">
        <v>12</v>
      </c>
      <c r="M792" s="50" t="s">
        <v>10</v>
      </c>
      <c r="N792" s="50" t="s">
        <v>11</v>
      </c>
      <c r="O792" s="48" t="s">
        <v>632</v>
      </c>
      <c r="P792" s="45" t="s">
        <v>453</v>
      </c>
      <c r="Q792" s="35" t="str">
        <f>MID(Tabla1[[#This Row],[Aplicación]],14,1)</f>
        <v>2</v>
      </c>
      <c r="R792" s="35" t="s">
        <v>441</v>
      </c>
      <c r="S792" s="35" t="str">
        <f>MID(Tabla1[[#This Row],[Aplicación]],6,2)</f>
        <v>11</v>
      </c>
      <c r="T792" s="35" t="str">
        <f>VLOOKUP(Tabla1[[#This Row],[AREA]],Hoja1!A:B,2,FALSE)</f>
        <v>11. Salud pública y seguridad ciudadana</v>
      </c>
      <c r="U792" s="35" t="str">
        <f>MID(Tabla1[[#This Row],[Aplicación]],9,4)</f>
        <v>1321</v>
      </c>
      <c r="V792" s="35" t="str">
        <f>VLOOKUP(Tabla1[[#This Row],[PROGRAMA]],Hoja1!A:B,2,FALSE)</f>
        <v>1321. Policía municipal</v>
      </c>
      <c r="W792" s="35" t="str">
        <f>MID(Tabla1[[#This Row],[Aplicación]],14,2)</f>
        <v>22</v>
      </c>
      <c r="X792" s="35" t="str">
        <f>MID(Tabla1[[#This Row],[Aplicación]],14,6)</f>
        <v>22799</v>
      </c>
    </row>
    <row r="793" spans="1:24" x14ac:dyDescent="0.25">
      <c r="A793" s="49">
        <v>220220002259</v>
      </c>
      <c r="B793" s="50" t="s">
        <v>9</v>
      </c>
      <c r="C793" s="57">
        <v>44592</v>
      </c>
      <c r="D793" s="49">
        <v>22022001697</v>
      </c>
      <c r="E793" s="50" t="s">
        <v>2246</v>
      </c>
      <c r="F793" s="58">
        <v>900</v>
      </c>
      <c r="G793" s="50" t="s">
        <v>709</v>
      </c>
      <c r="H793" s="50" t="s">
        <v>2247</v>
      </c>
      <c r="I793" s="49" t="s">
        <v>107</v>
      </c>
      <c r="J793" s="50" t="s">
        <v>109</v>
      </c>
      <c r="K793" s="50" t="s">
        <v>109</v>
      </c>
      <c r="L793" s="50" t="s">
        <v>12</v>
      </c>
      <c r="M793" s="50" t="s">
        <v>10</v>
      </c>
      <c r="N793" s="50" t="s">
        <v>11</v>
      </c>
      <c r="O793" s="48" t="s">
        <v>632</v>
      </c>
      <c r="P793" s="45" t="s">
        <v>453</v>
      </c>
      <c r="Q793" s="35" t="str">
        <f>MID(Tabla1[[#This Row],[Aplicación]],14,1)</f>
        <v>2</v>
      </c>
      <c r="R793" s="35" t="s">
        <v>441</v>
      </c>
      <c r="S793" s="35" t="str">
        <f>MID(Tabla1[[#This Row],[Aplicación]],6,2)</f>
        <v>10</v>
      </c>
      <c r="T793" s="35" t="str">
        <f>VLOOKUP(Tabla1[[#This Row],[AREA]],Hoja1!A:B,2,FALSE)</f>
        <v>10. Servicios sociales y mediación comunitaria</v>
      </c>
      <c r="U793" s="35" t="str">
        <f>MID(Tabla1[[#This Row],[Aplicación]],9,4)</f>
        <v>2412</v>
      </c>
      <c r="V793" s="35" t="str">
        <f>VLOOKUP(Tabla1[[#This Row],[PROGRAMA]],Hoja1!A:B,2,FALSE)</f>
        <v>2412. Formación para el empleo</v>
      </c>
      <c r="W793" s="35" t="str">
        <f>MID(Tabla1[[#This Row],[Aplicación]],14,2)</f>
        <v>22</v>
      </c>
      <c r="X793" s="35" t="str">
        <f>MID(Tabla1[[#This Row],[Aplicación]],14,6)</f>
        <v>223</v>
      </c>
    </row>
    <row r="794" spans="1:24" x14ac:dyDescent="0.25">
      <c r="A794" s="49">
        <v>220220002259</v>
      </c>
      <c r="B794" s="50" t="s">
        <v>9</v>
      </c>
      <c r="C794" s="57">
        <v>44592</v>
      </c>
      <c r="D794" s="49">
        <v>22022001696</v>
      </c>
      <c r="E794" s="50" t="s">
        <v>2246</v>
      </c>
      <c r="F794" s="58">
        <v>700</v>
      </c>
      <c r="G794" s="50" t="s">
        <v>709</v>
      </c>
      <c r="H794" s="50" t="s">
        <v>2247</v>
      </c>
      <c r="I794" s="49" t="s">
        <v>107</v>
      </c>
      <c r="J794" s="50" t="s">
        <v>109</v>
      </c>
      <c r="K794" s="50" t="s">
        <v>109</v>
      </c>
      <c r="L794" s="50" t="s">
        <v>12</v>
      </c>
      <c r="M794" s="50" t="s">
        <v>10</v>
      </c>
      <c r="N794" s="50" t="s">
        <v>11</v>
      </c>
      <c r="O794" s="48" t="s">
        <v>632</v>
      </c>
      <c r="P794" s="45" t="s">
        <v>453</v>
      </c>
      <c r="Q794" s="35" t="str">
        <f>MID(Tabla1[[#This Row],[Aplicación]],14,1)</f>
        <v>2</v>
      </c>
      <c r="R794" s="35" t="s">
        <v>441</v>
      </c>
      <c r="S794" s="35" t="str">
        <f>MID(Tabla1[[#This Row],[Aplicación]],6,2)</f>
        <v>10</v>
      </c>
      <c r="T794" s="35" t="str">
        <f>VLOOKUP(Tabla1[[#This Row],[AREA]],Hoja1!A:B,2,FALSE)</f>
        <v>10. Servicios sociales y mediación comunitaria</v>
      </c>
      <c r="U794" s="35" t="str">
        <f>MID(Tabla1[[#This Row],[Aplicación]],9,4)</f>
        <v>2412</v>
      </c>
      <c r="V794" s="35" t="str">
        <f>VLOOKUP(Tabla1[[#This Row],[PROGRAMA]],Hoja1!A:B,2,FALSE)</f>
        <v>2412. Formación para el empleo</v>
      </c>
      <c r="W794" s="35" t="str">
        <f>MID(Tabla1[[#This Row],[Aplicación]],14,2)</f>
        <v>22</v>
      </c>
      <c r="X794" s="35" t="str">
        <f>MID(Tabla1[[#This Row],[Aplicación]],14,6)</f>
        <v>223</v>
      </c>
    </row>
    <row r="795" spans="1:24" x14ac:dyDescent="0.25">
      <c r="A795" s="49">
        <v>220220012874</v>
      </c>
      <c r="B795" s="50" t="s">
        <v>172</v>
      </c>
      <c r="C795" s="57">
        <v>44645</v>
      </c>
      <c r="D795" s="49">
        <v>22022002248</v>
      </c>
      <c r="E795" s="50" t="s">
        <v>1492</v>
      </c>
      <c r="F795" s="58">
        <v>3227</v>
      </c>
      <c r="G795" s="50" t="s">
        <v>2240</v>
      </c>
      <c r="H795" s="50" t="s">
        <v>2248</v>
      </c>
      <c r="I795" s="49" t="s">
        <v>173</v>
      </c>
      <c r="J795" s="50" t="s">
        <v>109</v>
      </c>
      <c r="K795" s="50" t="s">
        <v>109</v>
      </c>
      <c r="L795" s="50" t="s">
        <v>12</v>
      </c>
      <c r="M795" s="50" t="s">
        <v>13</v>
      </c>
      <c r="N795" s="50" t="s">
        <v>14</v>
      </c>
      <c r="O795" s="48" t="s">
        <v>620</v>
      </c>
      <c r="P795" s="45" t="s">
        <v>453</v>
      </c>
      <c r="Q795" s="35" t="str">
        <f>MID(Tabla1[[#This Row],[Aplicación]],14,1)</f>
        <v>2</v>
      </c>
      <c r="R795" s="35" t="s">
        <v>441</v>
      </c>
      <c r="S795" s="35" t="str">
        <f>MID(Tabla1[[#This Row],[Aplicación]],6,2)</f>
        <v>11</v>
      </c>
      <c r="T795" s="35" t="str">
        <f>VLOOKUP(Tabla1[[#This Row],[AREA]],Hoja1!A:B,2,FALSE)</f>
        <v>11. Salud pública y seguridad ciudadana</v>
      </c>
      <c r="U795" s="35" t="str">
        <f>MID(Tabla1[[#This Row],[Aplicación]],9,4)</f>
        <v>1361</v>
      </c>
      <c r="V795" s="35" t="str">
        <f>VLOOKUP(Tabla1[[#This Row],[PROGRAMA]],Hoja1!A:B,2,FALSE)</f>
        <v>1361. Prevención y extinción de incencios</v>
      </c>
      <c r="W795" s="35" t="str">
        <f>MID(Tabla1[[#This Row],[Aplicación]],14,2)</f>
        <v>21</v>
      </c>
      <c r="X795" s="35" t="str">
        <f>MID(Tabla1[[#This Row],[Aplicación]],14,6)</f>
        <v>213</v>
      </c>
    </row>
    <row r="796" spans="1:24" x14ac:dyDescent="0.25">
      <c r="A796" s="49">
        <v>220220001737</v>
      </c>
      <c r="B796" s="50" t="s">
        <v>26</v>
      </c>
      <c r="C796" s="57">
        <v>44588</v>
      </c>
      <c r="D796" s="49">
        <v>22022001663</v>
      </c>
      <c r="E796" s="50" t="s">
        <v>1942</v>
      </c>
      <c r="F796" s="58">
        <v>330</v>
      </c>
      <c r="G796" s="50" t="s">
        <v>709</v>
      </c>
      <c r="H796" s="50" t="s">
        <v>2249</v>
      </c>
      <c r="I796" s="49" t="s">
        <v>197</v>
      </c>
      <c r="J796" s="50" t="s">
        <v>109</v>
      </c>
      <c r="K796" s="50" t="s">
        <v>109</v>
      </c>
      <c r="L796" s="50" t="s">
        <v>12</v>
      </c>
      <c r="M796" s="50" t="s">
        <v>10</v>
      </c>
      <c r="N796" s="50" t="s">
        <v>11</v>
      </c>
      <c r="O796" s="48" t="s">
        <v>632</v>
      </c>
      <c r="P796" s="45" t="s">
        <v>453</v>
      </c>
      <c r="Q796" s="35" t="str">
        <f>MID(Tabla1[[#This Row],[Aplicación]],14,1)</f>
        <v>2</v>
      </c>
      <c r="R796" s="35" t="s">
        <v>441</v>
      </c>
      <c r="S796" s="35" t="str">
        <f>MID(Tabla1[[#This Row],[Aplicación]],6,2)</f>
        <v>03</v>
      </c>
      <c r="T796" s="35" t="str">
        <f>VLOOKUP(Tabla1[[#This Row],[AREA]],Hoja1!A:B,2,FALSE)</f>
        <v>03. Participación ciudadana y deportes</v>
      </c>
      <c r="U796" s="35" t="str">
        <f>MID(Tabla1[[#This Row],[Aplicación]],9,4)</f>
        <v>9241</v>
      </c>
      <c r="V796" s="35" t="str">
        <f>VLOOKUP(Tabla1[[#This Row],[PROGRAMA]],Hoja1!A:B,2,FALSE)</f>
        <v>9241. Participación ciudadana</v>
      </c>
      <c r="W796" s="35" t="str">
        <f>MID(Tabla1[[#This Row],[Aplicación]],14,2)</f>
        <v>22</v>
      </c>
      <c r="X796" s="35" t="str">
        <f>MID(Tabla1[[#This Row],[Aplicación]],14,6)</f>
        <v>22699</v>
      </c>
    </row>
    <row r="797" spans="1:24" x14ac:dyDescent="0.25">
      <c r="A797" s="49">
        <v>220220002259</v>
      </c>
      <c r="B797" s="50" t="s">
        <v>9</v>
      </c>
      <c r="C797" s="57">
        <v>44592</v>
      </c>
      <c r="D797" s="49">
        <v>22022001698</v>
      </c>
      <c r="E797" s="50" t="s">
        <v>2246</v>
      </c>
      <c r="F797" s="58">
        <v>200</v>
      </c>
      <c r="G797" s="50" t="s">
        <v>709</v>
      </c>
      <c r="H797" s="50" t="s">
        <v>2247</v>
      </c>
      <c r="I797" s="49" t="s">
        <v>107</v>
      </c>
      <c r="J797" s="50" t="s">
        <v>109</v>
      </c>
      <c r="K797" s="50" t="s">
        <v>109</v>
      </c>
      <c r="L797" s="50" t="s">
        <v>12</v>
      </c>
      <c r="M797" s="50" t="s">
        <v>10</v>
      </c>
      <c r="N797" s="50" t="s">
        <v>11</v>
      </c>
      <c r="O797" s="48" t="s">
        <v>632</v>
      </c>
      <c r="P797" s="45" t="s">
        <v>453</v>
      </c>
      <c r="Q797" s="35" t="str">
        <f>MID(Tabla1[[#This Row],[Aplicación]],14,1)</f>
        <v>2</v>
      </c>
      <c r="R797" s="35" t="s">
        <v>441</v>
      </c>
      <c r="S797" s="35" t="str">
        <f>MID(Tabla1[[#This Row],[Aplicación]],6,2)</f>
        <v>10</v>
      </c>
      <c r="T797" s="35" t="str">
        <f>VLOOKUP(Tabla1[[#This Row],[AREA]],Hoja1!A:B,2,FALSE)</f>
        <v>10. Servicios sociales y mediación comunitaria</v>
      </c>
      <c r="U797" s="35" t="str">
        <f>MID(Tabla1[[#This Row],[Aplicación]],9,4)</f>
        <v>2412</v>
      </c>
      <c r="V797" s="35" t="str">
        <f>VLOOKUP(Tabla1[[#This Row],[PROGRAMA]],Hoja1!A:B,2,FALSE)</f>
        <v>2412. Formación para el empleo</v>
      </c>
      <c r="W797" s="35" t="str">
        <f>MID(Tabla1[[#This Row],[Aplicación]],14,2)</f>
        <v>22</v>
      </c>
      <c r="X797" s="35" t="str">
        <f>MID(Tabla1[[#This Row],[Aplicación]],14,6)</f>
        <v>223</v>
      </c>
    </row>
    <row r="798" spans="1:24" x14ac:dyDescent="0.25">
      <c r="A798" s="49">
        <v>220220012873</v>
      </c>
      <c r="B798" s="50" t="s">
        <v>172</v>
      </c>
      <c r="C798" s="57">
        <v>44645</v>
      </c>
      <c r="D798" s="49">
        <v>22022000700</v>
      </c>
      <c r="E798" s="50" t="s">
        <v>1461</v>
      </c>
      <c r="F798" s="58">
        <v>2420</v>
      </c>
      <c r="G798" s="50" t="s">
        <v>2240</v>
      </c>
      <c r="H798" s="50" t="s">
        <v>2250</v>
      </c>
      <c r="I798" s="49" t="s">
        <v>173</v>
      </c>
      <c r="J798" s="50" t="s">
        <v>109</v>
      </c>
      <c r="K798" s="50" t="s">
        <v>109</v>
      </c>
      <c r="L798" s="50" t="s">
        <v>12</v>
      </c>
      <c r="M798" s="50" t="s">
        <v>13</v>
      </c>
      <c r="N798" s="50" t="s">
        <v>14</v>
      </c>
      <c r="O798" s="48" t="s">
        <v>620</v>
      </c>
      <c r="P798" s="45" t="s">
        <v>453</v>
      </c>
      <c r="Q798" s="35" t="str">
        <f>MID(Tabla1[[#This Row],[Aplicación]],14,1)</f>
        <v>2</v>
      </c>
      <c r="R798" s="35" t="s">
        <v>441</v>
      </c>
      <c r="S798" s="35" t="str">
        <f>MID(Tabla1[[#This Row],[Aplicación]],6,2)</f>
        <v>11</v>
      </c>
      <c r="T798" s="35" t="str">
        <f>VLOOKUP(Tabla1[[#This Row],[AREA]],Hoja1!A:B,2,FALSE)</f>
        <v>11. Salud pública y seguridad ciudadana</v>
      </c>
      <c r="U798" s="35" t="str">
        <f>MID(Tabla1[[#This Row],[Aplicación]],9,4)</f>
        <v>1621</v>
      </c>
      <c r="V798" s="35" t="str">
        <f>VLOOKUP(Tabla1[[#This Row],[PROGRAMA]],Hoja1!A:B,2,FALSE)</f>
        <v>1621. Servicio de limpieza</v>
      </c>
      <c r="W798" s="35" t="str">
        <f>MID(Tabla1[[#This Row],[Aplicación]],14,2)</f>
        <v>21</v>
      </c>
      <c r="X798" s="35" t="str">
        <f>MID(Tabla1[[#This Row],[Aplicación]],14,6)</f>
        <v>213</v>
      </c>
    </row>
    <row r="799" spans="1:24" x14ac:dyDescent="0.25">
      <c r="A799" s="49">
        <v>220220003289</v>
      </c>
      <c r="B799" s="50" t="s">
        <v>9</v>
      </c>
      <c r="C799" s="57">
        <v>44602</v>
      </c>
      <c r="D799" s="49">
        <v>22022000907</v>
      </c>
      <c r="E799" s="50" t="s">
        <v>2080</v>
      </c>
      <c r="F799" s="58">
        <v>9317</v>
      </c>
      <c r="G799" s="50" t="s">
        <v>2251</v>
      </c>
      <c r="H799" s="50" t="s">
        <v>2252</v>
      </c>
      <c r="I799" s="49" t="s">
        <v>107</v>
      </c>
      <c r="J799" s="50" t="s">
        <v>542</v>
      </c>
      <c r="K799" s="50" t="s">
        <v>109</v>
      </c>
      <c r="L799" s="50" t="s">
        <v>12</v>
      </c>
      <c r="M799" s="50" t="s">
        <v>10</v>
      </c>
      <c r="N799" s="50" t="s">
        <v>11</v>
      </c>
      <c r="O799" s="48" t="s">
        <v>632</v>
      </c>
      <c r="P799" s="45" t="s">
        <v>453</v>
      </c>
      <c r="Q799" s="35" t="str">
        <f>MID(Tabla1[[#This Row],[Aplicación]],14,1)</f>
        <v>2</v>
      </c>
      <c r="R799" s="35" t="s">
        <v>441</v>
      </c>
      <c r="S799" s="35" t="str">
        <f>MID(Tabla1[[#This Row],[Aplicación]],6,2)</f>
        <v>04</v>
      </c>
      <c r="T799" s="35" t="str">
        <f>VLOOKUP(Tabla1[[#This Row],[AREA]],Hoja1!A:B,2,FALSE)</f>
        <v>04. Planificación y recursos</v>
      </c>
      <c r="U799" s="35" t="str">
        <f>MID(Tabla1[[#This Row],[Aplicación]],9,4)</f>
        <v>9321</v>
      </c>
      <c r="V799" s="35" t="str">
        <f>VLOOKUP(Tabla1[[#This Row],[PROGRAMA]],Hoja1!A:B,2,FALSE)</f>
        <v>9321. Gestión de ingresos e inspección</v>
      </c>
      <c r="W799" s="35" t="str">
        <f>MID(Tabla1[[#This Row],[Aplicación]],14,2)</f>
        <v>22</v>
      </c>
      <c r="X799" s="35" t="str">
        <f>MID(Tabla1[[#This Row],[Aplicación]],14,6)</f>
        <v>22799</v>
      </c>
    </row>
    <row r="800" spans="1:24" x14ac:dyDescent="0.25">
      <c r="A800" s="49">
        <v>220220012872</v>
      </c>
      <c r="B800" s="50" t="s">
        <v>172</v>
      </c>
      <c r="C800" s="57">
        <v>44645</v>
      </c>
      <c r="D800" s="49">
        <v>22022000701</v>
      </c>
      <c r="E800" s="50" t="s">
        <v>1461</v>
      </c>
      <c r="F800" s="58">
        <v>2083</v>
      </c>
      <c r="G800" s="50" t="s">
        <v>2240</v>
      </c>
      <c r="H800" s="50" t="s">
        <v>2253</v>
      </c>
      <c r="I800" s="49" t="s">
        <v>173</v>
      </c>
      <c r="J800" s="50" t="s">
        <v>109</v>
      </c>
      <c r="K800" s="50" t="s">
        <v>109</v>
      </c>
      <c r="L800" s="50" t="s">
        <v>12</v>
      </c>
      <c r="M800" s="50" t="s">
        <v>13</v>
      </c>
      <c r="N800" s="50" t="s">
        <v>14</v>
      </c>
      <c r="O800" s="48" t="s">
        <v>620</v>
      </c>
      <c r="P800" s="45" t="s">
        <v>453</v>
      </c>
      <c r="Q800" s="35" t="str">
        <f>MID(Tabla1[[#This Row],[Aplicación]],14,1)</f>
        <v>2</v>
      </c>
      <c r="R800" s="35" t="s">
        <v>441</v>
      </c>
      <c r="S800" s="35" t="str">
        <f>MID(Tabla1[[#This Row],[Aplicación]],6,2)</f>
        <v>11</v>
      </c>
      <c r="T800" s="35" t="str">
        <f>VLOOKUP(Tabla1[[#This Row],[AREA]],Hoja1!A:B,2,FALSE)</f>
        <v>11. Salud pública y seguridad ciudadana</v>
      </c>
      <c r="U800" s="35" t="str">
        <f>MID(Tabla1[[#This Row],[Aplicación]],9,4)</f>
        <v>1621</v>
      </c>
      <c r="V800" s="35" t="str">
        <f>VLOOKUP(Tabla1[[#This Row],[PROGRAMA]],Hoja1!A:B,2,FALSE)</f>
        <v>1621. Servicio de limpieza</v>
      </c>
      <c r="W800" s="35" t="str">
        <f>MID(Tabla1[[#This Row],[Aplicación]],14,2)</f>
        <v>21</v>
      </c>
      <c r="X800" s="35" t="str">
        <f>MID(Tabla1[[#This Row],[Aplicación]],14,6)</f>
        <v>213</v>
      </c>
    </row>
    <row r="801" spans="1:24" x14ac:dyDescent="0.25">
      <c r="A801" s="49">
        <v>220219001266</v>
      </c>
      <c r="B801" s="50" t="s">
        <v>9</v>
      </c>
      <c r="C801" s="57">
        <v>44562</v>
      </c>
      <c r="D801" s="49">
        <v>22022001681</v>
      </c>
      <c r="E801" s="50" t="s">
        <v>1458</v>
      </c>
      <c r="F801" s="58">
        <v>805.86</v>
      </c>
      <c r="G801" s="50" t="s">
        <v>2240</v>
      </c>
      <c r="H801" s="50" t="s">
        <v>2254</v>
      </c>
      <c r="I801" s="49" t="s">
        <v>107</v>
      </c>
      <c r="J801" s="50" t="s">
        <v>109</v>
      </c>
      <c r="K801" s="50" t="s">
        <v>109</v>
      </c>
      <c r="L801" s="50" t="s">
        <v>12</v>
      </c>
      <c r="M801" s="50" t="s">
        <v>13</v>
      </c>
      <c r="N801" s="50" t="s">
        <v>14</v>
      </c>
      <c r="O801" s="48" t="s">
        <v>620</v>
      </c>
      <c r="P801" s="45" t="s">
        <v>453</v>
      </c>
      <c r="Q801" s="35" t="str">
        <f>MID(Tabla1[[#This Row],[Aplicación]],14,1)</f>
        <v>2</v>
      </c>
      <c r="R801" s="35" t="s">
        <v>441</v>
      </c>
      <c r="S801" s="35" t="str">
        <f>MID(Tabla1[[#This Row],[Aplicación]],6,2)</f>
        <v>04</v>
      </c>
      <c r="T801" s="35" t="str">
        <f>VLOOKUP(Tabla1[[#This Row],[AREA]],Hoja1!A:B,2,FALSE)</f>
        <v>04. Planificación y recursos</v>
      </c>
      <c r="U801" s="35" t="str">
        <f>MID(Tabla1[[#This Row],[Aplicación]],9,4)</f>
        <v>9204</v>
      </c>
      <c r="V801" s="35" t="str">
        <f>VLOOKUP(Tabla1[[#This Row],[PROGRAMA]],Hoja1!A:B,2,FALSE)</f>
        <v>9204. Tecnologías de la información y comunicación</v>
      </c>
      <c r="W801" s="35" t="str">
        <f>MID(Tabla1[[#This Row],[Aplicación]],14,2)</f>
        <v>21</v>
      </c>
      <c r="X801" s="35" t="str">
        <f>MID(Tabla1[[#This Row],[Aplicación]],14,6)</f>
        <v>213</v>
      </c>
    </row>
    <row r="802" spans="1:24" x14ac:dyDescent="0.25">
      <c r="A802" s="49">
        <v>220209000471</v>
      </c>
      <c r="B802" s="50" t="s">
        <v>9</v>
      </c>
      <c r="C802" s="57">
        <v>44562</v>
      </c>
      <c r="D802" s="49">
        <v>22022000201</v>
      </c>
      <c r="E802" s="50" t="s">
        <v>2255</v>
      </c>
      <c r="F802" s="58">
        <v>10768.55</v>
      </c>
      <c r="G802" s="50" t="s">
        <v>77</v>
      </c>
      <c r="H802" s="50" t="s">
        <v>680</v>
      </c>
      <c r="I802" s="49" t="s">
        <v>107</v>
      </c>
      <c r="J802" s="50" t="s">
        <v>109</v>
      </c>
      <c r="K802" s="50" t="s">
        <v>109</v>
      </c>
      <c r="L802" s="50" t="s">
        <v>15</v>
      </c>
      <c r="M802" s="50" t="s">
        <v>13</v>
      </c>
      <c r="N802" s="50" t="s">
        <v>14</v>
      </c>
      <c r="O802" s="48" t="s">
        <v>620</v>
      </c>
      <c r="P802" s="45" t="s">
        <v>453</v>
      </c>
      <c r="Q802" s="35" t="str">
        <f>MID(Tabla1[[#This Row],[Aplicación]],14,1)</f>
        <v>2</v>
      </c>
      <c r="R802" s="35" t="s">
        <v>441</v>
      </c>
      <c r="S802" s="35" t="str">
        <f>MID(Tabla1[[#This Row],[Aplicación]],6,2)</f>
        <v>11</v>
      </c>
      <c r="T802" s="35" t="str">
        <f>VLOOKUP(Tabla1[[#This Row],[AREA]],Hoja1!A:B,2,FALSE)</f>
        <v>11. Salud pública y seguridad ciudadana</v>
      </c>
      <c r="U802" s="35" t="str">
        <f>MID(Tabla1[[#This Row],[Aplicación]],9,4)</f>
        <v>3111</v>
      </c>
      <c r="V802" s="35" t="str">
        <f>VLOOKUP(Tabla1[[#This Row],[PROGRAMA]],Hoja1!A:B,2,FALSE)</f>
        <v>3111. Protección de la salubridad pública</v>
      </c>
      <c r="W802" s="35" t="str">
        <f>MID(Tabla1[[#This Row],[Aplicación]],14,2)</f>
        <v>22</v>
      </c>
      <c r="X802" s="35" t="str">
        <f>MID(Tabla1[[#This Row],[Aplicación]],14,6)</f>
        <v>22113</v>
      </c>
    </row>
    <row r="803" spans="1:24" x14ac:dyDescent="0.25">
      <c r="A803" s="49">
        <v>220220006914</v>
      </c>
      <c r="B803" s="50" t="s">
        <v>9</v>
      </c>
      <c r="C803" s="57">
        <v>44622</v>
      </c>
      <c r="D803" s="49">
        <v>22022001181</v>
      </c>
      <c r="E803" s="50" t="s">
        <v>2214</v>
      </c>
      <c r="F803" s="58">
        <v>5000</v>
      </c>
      <c r="G803" s="50" t="s">
        <v>458</v>
      </c>
      <c r="H803" s="50" t="s">
        <v>2256</v>
      </c>
      <c r="I803" s="49" t="s">
        <v>107</v>
      </c>
      <c r="J803" s="50" t="s">
        <v>109</v>
      </c>
      <c r="K803" s="50" t="s">
        <v>109</v>
      </c>
      <c r="L803" s="50" t="s">
        <v>12</v>
      </c>
      <c r="M803" s="50" t="s">
        <v>13</v>
      </c>
      <c r="N803" s="50" t="s">
        <v>14</v>
      </c>
      <c r="O803" s="48" t="s">
        <v>631</v>
      </c>
      <c r="P803" s="45" t="s">
        <v>453</v>
      </c>
      <c r="Q803" s="35" t="str">
        <f>MID(Tabla1[[#This Row],[Aplicación]],14,1)</f>
        <v>2</v>
      </c>
      <c r="R803" s="35" t="s">
        <v>441</v>
      </c>
      <c r="S803" s="35" t="str">
        <f>MID(Tabla1[[#This Row],[Aplicación]],6,2)</f>
        <v>04</v>
      </c>
      <c r="T803" s="35" t="str">
        <f>VLOOKUP(Tabla1[[#This Row],[AREA]],Hoja1!A:B,2,FALSE)</f>
        <v>04. Planificación y recursos</v>
      </c>
      <c r="U803" s="35" t="str">
        <f>MID(Tabla1[[#This Row],[Aplicación]],9,4)</f>
        <v>9321</v>
      </c>
      <c r="V803" s="35" t="str">
        <f>VLOOKUP(Tabla1[[#This Row],[PROGRAMA]],Hoja1!A:B,2,FALSE)</f>
        <v>9321. Gestión de ingresos e inspección</v>
      </c>
      <c r="W803" s="35" t="str">
        <f>MID(Tabla1[[#This Row],[Aplicación]],14,2)</f>
        <v>22</v>
      </c>
      <c r="X803" s="35" t="str">
        <f>MID(Tabla1[[#This Row],[Aplicación]],14,6)</f>
        <v>22602</v>
      </c>
    </row>
    <row r="804" spans="1:24" x14ac:dyDescent="0.25">
      <c r="A804" s="49">
        <v>220219000845</v>
      </c>
      <c r="B804" s="50" t="s">
        <v>9</v>
      </c>
      <c r="C804" s="57">
        <v>44562</v>
      </c>
      <c r="D804" s="49">
        <v>22022000603</v>
      </c>
      <c r="E804" s="50" t="s">
        <v>1492</v>
      </c>
      <c r="F804" s="58">
        <v>4122.37</v>
      </c>
      <c r="G804" s="50" t="s">
        <v>684</v>
      </c>
      <c r="H804" s="50" t="s">
        <v>2257</v>
      </c>
      <c r="I804" s="49" t="s">
        <v>107</v>
      </c>
      <c r="J804" s="50" t="s">
        <v>109</v>
      </c>
      <c r="K804" s="50" t="s">
        <v>109</v>
      </c>
      <c r="L804" s="50" t="s">
        <v>12</v>
      </c>
      <c r="M804" s="50" t="s">
        <v>13</v>
      </c>
      <c r="N804" s="50" t="s">
        <v>14</v>
      </c>
      <c r="O804" s="48" t="s">
        <v>620</v>
      </c>
      <c r="P804" s="45" t="s">
        <v>453</v>
      </c>
      <c r="Q804" s="35" t="str">
        <f>MID(Tabla1[[#This Row],[Aplicación]],14,1)</f>
        <v>2</v>
      </c>
      <c r="R804" s="35" t="s">
        <v>441</v>
      </c>
      <c r="S804" s="35" t="str">
        <f>MID(Tabla1[[#This Row],[Aplicación]],6,2)</f>
        <v>11</v>
      </c>
      <c r="T804" s="35" t="str">
        <f>VLOOKUP(Tabla1[[#This Row],[AREA]],Hoja1!A:B,2,FALSE)</f>
        <v>11. Salud pública y seguridad ciudadana</v>
      </c>
      <c r="U804" s="35" t="str">
        <f>MID(Tabla1[[#This Row],[Aplicación]],9,4)</f>
        <v>1361</v>
      </c>
      <c r="V804" s="35" t="str">
        <f>VLOOKUP(Tabla1[[#This Row],[PROGRAMA]],Hoja1!A:B,2,FALSE)</f>
        <v>1361. Prevención y extinción de incencios</v>
      </c>
      <c r="W804" s="35" t="str">
        <f>MID(Tabla1[[#This Row],[Aplicación]],14,2)</f>
        <v>21</v>
      </c>
      <c r="X804" s="35" t="str">
        <f>MID(Tabla1[[#This Row],[Aplicación]],14,6)</f>
        <v>213</v>
      </c>
    </row>
    <row r="805" spans="1:24" x14ac:dyDescent="0.25">
      <c r="A805" s="49">
        <v>220220002287</v>
      </c>
      <c r="B805" s="50" t="s">
        <v>9</v>
      </c>
      <c r="C805" s="57">
        <v>44593</v>
      </c>
      <c r="D805" s="49">
        <v>22022001775</v>
      </c>
      <c r="E805" s="50" t="s">
        <v>2258</v>
      </c>
      <c r="F805" s="58">
        <v>300</v>
      </c>
      <c r="G805" s="50" t="s">
        <v>245</v>
      </c>
      <c r="H805" s="50" t="s">
        <v>2259</v>
      </c>
      <c r="I805" s="49" t="s">
        <v>107</v>
      </c>
      <c r="J805" s="50" t="s">
        <v>109</v>
      </c>
      <c r="K805" s="50" t="s">
        <v>109</v>
      </c>
      <c r="L805" s="50" t="s">
        <v>12</v>
      </c>
      <c r="M805" s="50" t="s">
        <v>10</v>
      </c>
      <c r="N805" s="50" t="s">
        <v>11</v>
      </c>
      <c r="O805" s="48" t="s">
        <v>632</v>
      </c>
      <c r="P805" s="45" t="s">
        <v>453</v>
      </c>
      <c r="Q805" s="35" t="str">
        <f>MID(Tabla1[[#This Row],[Aplicación]],14,1)</f>
        <v>2</v>
      </c>
      <c r="R805" s="35" t="s">
        <v>441</v>
      </c>
      <c r="S805" s="35" t="str">
        <f>MID(Tabla1[[#This Row],[Aplicación]],6,2)</f>
        <v>06</v>
      </c>
      <c r="T805" s="35" t="str">
        <f>VLOOKUP(Tabla1[[#This Row],[AREA]],Hoja1!A:B,2,FALSE)</f>
        <v>06. Educación, infancia, juventud e igualdad</v>
      </c>
      <c r="U805" s="35" t="str">
        <f>MID(Tabla1[[#This Row],[Aplicación]],9,4)</f>
        <v>3321</v>
      </c>
      <c r="V805" s="35" t="str">
        <f>VLOOKUP(Tabla1[[#This Row],[PROGRAMA]],Hoja1!A:B,2,FALSE)</f>
        <v>3321. Bibliotecas públicas</v>
      </c>
      <c r="W805" s="35" t="str">
        <f>MID(Tabla1[[#This Row],[Aplicación]],14,2)</f>
        <v>22</v>
      </c>
      <c r="X805" s="35" t="str">
        <f>MID(Tabla1[[#This Row],[Aplicación]],14,6)</f>
        <v>223</v>
      </c>
    </row>
    <row r="806" spans="1:24" x14ac:dyDescent="0.25">
      <c r="A806" s="49">
        <v>220220000362</v>
      </c>
      <c r="B806" s="50" t="s">
        <v>9</v>
      </c>
      <c r="C806" s="57">
        <v>44585</v>
      </c>
      <c r="D806" s="49">
        <v>22022001493</v>
      </c>
      <c r="E806" s="50" t="s">
        <v>2034</v>
      </c>
      <c r="F806" s="58">
        <v>3000</v>
      </c>
      <c r="G806" s="50" t="s">
        <v>223</v>
      </c>
      <c r="H806" s="50" t="s">
        <v>2260</v>
      </c>
      <c r="I806" s="49" t="s">
        <v>107</v>
      </c>
      <c r="J806" s="50" t="s">
        <v>1009</v>
      </c>
      <c r="K806" s="50" t="s">
        <v>109</v>
      </c>
      <c r="L806" s="50" t="s">
        <v>15</v>
      </c>
      <c r="M806" s="50" t="s">
        <v>10</v>
      </c>
      <c r="N806" s="50" t="s">
        <v>11</v>
      </c>
      <c r="O806" s="48" t="s">
        <v>632</v>
      </c>
      <c r="P806" s="45" t="s">
        <v>453</v>
      </c>
      <c r="Q806" s="35" t="str">
        <f>MID(Tabla1[[#This Row],[Aplicación]],14,1)</f>
        <v>2</v>
      </c>
      <c r="R806" s="35" t="s">
        <v>441</v>
      </c>
      <c r="S806" s="35" t="str">
        <f>MID(Tabla1[[#This Row],[Aplicación]],6,2)</f>
        <v>06</v>
      </c>
      <c r="T806" s="35" t="str">
        <f>VLOOKUP(Tabla1[[#This Row],[AREA]],Hoja1!A:B,2,FALSE)</f>
        <v>06. Educación, infancia, juventud e igualdad</v>
      </c>
      <c r="U806" s="35" t="str">
        <f>MID(Tabla1[[#This Row],[Aplicación]],9,4)</f>
        <v>3232</v>
      </c>
      <c r="V806" s="35" t="str">
        <f>VLOOKUP(Tabla1[[#This Row],[PROGRAMA]],Hoja1!A:B,2,FALSE)</f>
        <v>3232. Conservación y mantenimiento centros educación infantil y primaria</v>
      </c>
      <c r="W806" s="35" t="str">
        <f>MID(Tabla1[[#This Row],[Aplicación]],14,2)</f>
        <v>21</v>
      </c>
      <c r="X806" s="35" t="str">
        <f>MID(Tabla1[[#This Row],[Aplicación]],14,6)</f>
        <v>212</v>
      </c>
    </row>
    <row r="807" spans="1:24" x14ac:dyDescent="0.25">
      <c r="A807" s="49">
        <v>220220001788</v>
      </c>
      <c r="B807" s="50" t="s">
        <v>9</v>
      </c>
      <c r="C807" s="57">
        <v>44589</v>
      </c>
      <c r="D807" s="49">
        <v>22022001639</v>
      </c>
      <c r="E807" s="50" t="s">
        <v>1759</v>
      </c>
      <c r="F807" s="58">
        <v>71.09</v>
      </c>
      <c r="G807" s="50" t="s">
        <v>64</v>
      </c>
      <c r="H807" s="50" t="s">
        <v>2261</v>
      </c>
      <c r="I807" s="49" t="s">
        <v>107</v>
      </c>
      <c r="J807" s="50" t="s">
        <v>109</v>
      </c>
      <c r="K807" s="50" t="s">
        <v>109</v>
      </c>
      <c r="L807" s="50" t="s">
        <v>15</v>
      </c>
      <c r="M807" s="50" t="s">
        <v>10</v>
      </c>
      <c r="N807" s="50" t="s">
        <v>11</v>
      </c>
      <c r="O807" s="48" t="s">
        <v>632</v>
      </c>
      <c r="P807" s="45" t="s">
        <v>453</v>
      </c>
      <c r="Q807" s="35" t="str">
        <f>MID(Tabla1[[#This Row],[Aplicación]],14,1)</f>
        <v>2</v>
      </c>
      <c r="R807" s="35" t="s">
        <v>441</v>
      </c>
      <c r="S807" s="35" t="str">
        <f>MID(Tabla1[[#This Row],[Aplicación]],6,2)</f>
        <v>02</v>
      </c>
      <c r="T807" s="35" t="str">
        <f>VLOOKUP(Tabla1[[#This Row],[AREA]],Hoja1!A:B,2,FALSE)</f>
        <v>02. Planeamiento urbanístico y vivienda</v>
      </c>
      <c r="U807" s="35" t="str">
        <f>MID(Tabla1[[#This Row],[Aplicación]],9,4)</f>
        <v>9332</v>
      </c>
      <c r="V807" s="35" t="str">
        <f>VLOOKUP(Tabla1[[#This Row],[PROGRAMA]],Hoja1!A:B,2,FALSE)</f>
        <v>9332. Mantenimiento de edificios e instalaciones municipales</v>
      </c>
      <c r="W807" s="35" t="str">
        <f>MID(Tabla1[[#This Row],[Aplicación]],14,2)</f>
        <v>21</v>
      </c>
      <c r="X807" s="35" t="str">
        <f>MID(Tabla1[[#This Row],[Aplicación]],14,6)</f>
        <v>213</v>
      </c>
    </row>
    <row r="808" spans="1:24" x14ac:dyDescent="0.25">
      <c r="A808" s="49">
        <v>220219000769</v>
      </c>
      <c r="B808" s="50" t="s">
        <v>9</v>
      </c>
      <c r="C808" s="57">
        <v>44562</v>
      </c>
      <c r="D808" s="49">
        <v>22022000095</v>
      </c>
      <c r="E808" s="50" t="s">
        <v>1759</v>
      </c>
      <c r="F808" s="58">
        <v>18545.13</v>
      </c>
      <c r="G808" s="50" t="s">
        <v>153</v>
      </c>
      <c r="H808" s="50" t="s">
        <v>2262</v>
      </c>
      <c r="I808" s="49" t="s">
        <v>107</v>
      </c>
      <c r="J808" s="50" t="s">
        <v>126</v>
      </c>
      <c r="K808" s="50" t="s">
        <v>126</v>
      </c>
      <c r="L808" s="55" t="s">
        <v>12</v>
      </c>
      <c r="M808" s="55" t="s">
        <v>13</v>
      </c>
      <c r="N808" s="55" t="s">
        <v>14</v>
      </c>
      <c r="O808" s="48" t="s">
        <v>620</v>
      </c>
      <c r="P808" s="45" t="s">
        <v>453</v>
      </c>
      <c r="Q808" s="35" t="str">
        <f>MID(Tabla1[[#This Row],[Aplicación]],14,1)</f>
        <v>2</v>
      </c>
      <c r="R808" s="35" t="s">
        <v>441</v>
      </c>
      <c r="S808" s="35" t="str">
        <f>MID(Tabla1[[#This Row],[Aplicación]],6,2)</f>
        <v>02</v>
      </c>
      <c r="T808" s="35" t="str">
        <f>VLOOKUP(Tabla1[[#This Row],[AREA]],Hoja1!A:B,2,FALSE)</f>
        <v>02. Planeamiento urbanístico y vivienda</v>
      </c>
      <c r="U808" s="35" t="str">
        <f>MID(Tabla1[[#This Row],[Aplicación]],9,4)</f>
        <v>9332</v>
      </c>
      <c r="V808" s="35" t="str">
        <f>VLOOKUP(Tabla1[[#This Row],[PROGRAMA]],Hoja1!A:B,2,FALSE)</f>
        <v>9332. Mantenimiento de edificios e instalaciones municipales</v>
      </c>
      <c r="W808" s="35" t="str">
        <f>MID(Tabla1[[#This Row],[Aplicación]],14,2)</f>
        <v>21</v>
      </c>
      <c r="X808" s="35" t="str">
        <f>MID(Tabla1[[#This Row],[Aplicación]],14,6)</f>
        <v>213</v>
      </c>
    </row>
    <row r="809" spans="1:24" x14ac:dyDescent="0.25">
      <c r="A809" s="49">
        <v>220220003105</v>
      </c>
      <c r="B809" s="50" t="s">
        <v>9</v>
      </c>
      <c r="C809" s="57">
        <v>44601</v>
      </c>
      <c r="D809" s="49">
        <v>22022002015</v>
      </c>
      <c r="E809" s="50" t="s">
        <v>2150</v>
      </c>
      <c r="F809" s="58">
        <v>4299.8100000000004</v>
      </c>
      <c r="G809" s="50" t="s">
        <v>153</v>
      </c>
      <c r="H809" s="50" t="s">
        <v>2263</v>
      </c>
      <c r="I809" s="49" t="s">
        <v>107</v>
      </c>
      <c r="J809" s="50" t="s">
        <v>126</v>
      </c>
      <c r="K809" s="50" t="s">
        <v>126</v>
      </c>
      <c r="L809" s="50" t="s">
        <v>17</v>
      </c>
      <c r="M809" s="50" t="s">
        <v>10</v>
      </c>
      <c r="N809" s="50" t="s">
        <v>11</v>
      </c>
      <c r="O809" s="48" t="s">
        <v>632</v>
      </c>
      <c r="P809" s="45" t="s">
        <v>453</v>
      </c>
      <c r="Q809" s="35" t="str">
        <f>MID(Tabla1[[#This Row],[Aplicación]],14,1)</f>
        <v>2</v>
      </c>
      <c r="R809" s="35" t="s">
        <v>441</v>
      </c>
      <c r="S809" s="35" t="str">
        <f>MID(Tabla1[[#This Row],[Aplicación]],6,2)</f>
        <v>09</v>
      </c>
      <c r="T809" s="35" t="str">
        <f>VLOOKUP(Tabla1[[#This Row],[AREA]],Hoja1!A:B,2,FALSE)</f>
        <v>09. Cultura y turismo</v>
      </c>
      <c r="U809" s="35" t="str">
        <f>MID(Tabla1[[#This Row],[Aplicación]],9,4)</f>
        <v>3341</v>
      </c>
      <c r="V809" s="35" t="str">
        <f>VLOOKUP(Tabla1[[#This Row],[PROGRAMA]],Hoja1!A:B,2,FALSE)</f>
        <v>3341. Coordinación de políticas culturales</v>
      </c>
      <c r="W809" s="35" t="str">
        <f>MID(Tabla1[[#This Row],[Aplicación]],14,2)</f>
        <v>21</v>
      </c>
      <c r="X809" s="35" t="str">
        <f>MID(Tabla1[[#This Row],[Aplicación]],14,6)</f>
        <v>213</v>
      </c>
    </row>
    <row r="810" spans="1:24" x14ac:dyDescent="0.25">
      <c r="A810" s="49">
        <v>220209000777</v>
      </c>
      <c r="B810" s="50" t="s">
        <v>9</v>
      </c>
      <c r="C810" s="57">
        <v>44562</v>
      </c>
      <c r="D810" s="49">
        <v>22022000282</v>
      </c>
      <c r="E810" s="50" t="s">
        <v>1408</v>
      </c>
      <c r="F810" s="58">
        <v>13227</v>
      </c>
      <c r="G810" s="50" t="s">
        <v>166</v>
      </c>
      <c r="H810" s="50" t="s">
        <v>682</v>
      </c>
      <c r="I810" s="49" t="s">
        <v>107</v>
      </c>
      <c r="J810" s="50" t="s">
        <v>167</v>
      </c>
      <c r="K810" s="50" t="s">
        <v>167</v>
      </c>
      <c r="L810" s="50" t="s">
        <v>12</v>
      </c>
      <c r="M810" s="50" t="s">
        <v>13</v>
      </c>
      <c r="N810" s="50" t="s">
        <v>14</v>
      </c>
      <c r="O810" s="48" t="s">
        <v>620</v>
      </c>
      <c r="P810" s="45" t="s">
        <v>453</v>
      </c>
      <c r="Q810" s="35" t="str">
        <f>MID(Tabla1[[#This Row],[Aplicación]],14,1)</f>
        <v>2</v>
      </c>
      <c r="R810" s="35" t="s">
        <v>441</v>
      </c>
      <c r="S810" s="35" t="str">
        <f>MID(Tabla1[[#This Row],[Aplicación]],6,2)</f>
        <v>04</v>
      </c>
      <c r="T810" s="35" t="str">
        <f>VLOOKUP(Tabla1[[#This Row],[AREA]],Hoja1!A:B,2,FALSE)</f>
        <v>04. Planificación y recursos</v>
      </c>
      <c r="U810" s="35" t="str">
        <f>MID(Tabla1[[#This Row],[Aplicación]],9,4)</f>
        <v>9204</v>
      </c>
      <c r="V810" s="35" t="str">
        <f>VLOOKUP(Tabla1[[#This Row],[PROGRAMA]],Hoja1!A:B,2,FALSE)</f>
        <v>9204. Tecnologías de la información y comunicación</v>
      </c>
      <c r="W810" s="35" t="str">
        <f>MID(Tabla1[[#This Row],[Aplicación]],14,2)</f>
        <v>21</v>
      </c>
      <c r="X810" s="35" t="str">
        <f>MID(Tabla1[[#This Row],[Aplicación]],14,6)</f>
        <v>216</v>
      </c>
    </row>
    <row r="811" spans="1:24" x14ac:dyDescent="0.25">
      <c r="A811" s="49">
        <v>220219000983</v>
      </c>
      <c r="B811" s="50" t="s">
        <v>9</v>
      </c>
      <c r="C811" s="57">
        <v>44562</v>
      </c>
      <c r="D811" s="49">
        <v>22022000624</v>
      </c>
      <c r="E811" s="50" t="s">
        <v>1886</v>
      </c>
      <c r="F811" s="58">
        <v>1307.8</v>
      </c>
      <c r="G811" s="50" t="s">
        <v>153</v>
      </c>
      <c r="H811" s="50" t="s">
        <v>1227</v>
      </c>
      <c r="I811" s="49" t="s">
        <v>107</v>
      </c>
      <c r="J811" s="50" t="s">
        <v>126</v>
      </c>
      <c r="K811" s="50" t="s">
        <v>126</v>
      </c>
      <c r="L811" s="50" t="s">
        <v>12</v>
      </c>
      <c r="M811" s="50" t="s">
        <v>10</v>
      </c>
      <c r="N811" s="50" t="s">
        <v>11</v>
      </c>
      <c r="O811" s="48" t="s">
        <v>632</v>
      </c>
      <c r="P811" s="45" t="s">
        <v>453</v>
      </c>
      <c r="Q811" s="35" t="str">
        <f>MID(Tabla1[[#This Row],[Aplicación]],14,1)</f>
        <v>2</v>
      </c>
      <c r="R811" s="35" t="s">
        <v>441</v>
      </c>
      <c r="S811" s="35" t="str">
        <f>MID(Tabla1[[#This Row],[Aplicación]],6,2)</f>
        <v>09</v>
      </c>
      <c r="T811" s="35" t="str">
        <f>VLOOKUP(Tabla1[[#This Row],[AREA]],Hoja1!A:B,2,FALSE)</f>
        <v>09. Cultura y turismo</v>
      </c>
      <c r="U811" s="35" t="str">
        <f>MID(Tabla1[[#This Row],[Aplicación]],9,4)</f>
        <v>3341</v>
      </c>
      <c r="V811" s="35" t="str">
        <f>VLOOKUP(Tabla1[[#This Row],[PROGRAMA]],Hoja1!A:B,2,FALSE)</f>
        <v>3341. Coordinación de políticas culturales</v>
      </c>
      <c r="W811" s="35" t="str">
        <f>MID(Tabla1[[#This Row],[Aplicación]],14,2)</f>
        <v>22</v>
      </c>
      <c r="X811" s="35" t="str">
        <f>MID(Tabla1[[#This Row],[Aplicación]],14,6)</f>
        <v>22799</v>
      </c>
    </row>
    <row r="812" spans="1:24" x14ac:dyDescent="0.25">
      <c r="A812" s="49">
        <v>220219000547</v>
      </c>
      <c r="B812" s="50" t="s">
        <v>9</v>
      </c>
      <c r="C812" s="57">
        <v>44562</v>
      </c>
      <c r="D812" s="49">
        <v>22022000563</v>
      </c>
      <c r="E812" s="50" t="s">
        <v>1408</v>
      </c>
      <c r="F812" s="58">
        <v>3448.13</v>
      </c>
      <c r="G812" s="50" t="s">
        <v>166</v>
      </c>
      <c r="H812" s="50" t="s">
        <v>2264</v>
      </c>
      <c r="I812" s="49" t="s">
        <v>107</v>
      </c>
      <c r="J812" s="50" t="s">
        <v>167</v>
      </c>
      <c r="K812" s="50" t="s">
        <v>167</v>
      </c>
      <c r="L812" s="50" t="s">
        <v>12</v>
      </c>
      <c r="M812" s="50" t="s">
        <v>13</v>
      </c>
      <c r="N812" s="50" t="s">
        <v>14</v>
      </c>
      <c r="O812" s="48" t="s">
        <v>620</v>
      </c>
      <c r="P812" s="45" t="s">
        <v>453</v>
      </c>
      <c r="Q812" s="35" t="str">
        <f>MID(Tabla1[[#This Row],[Aplicación]],14,1)</f>
        <v>2</v>
      </c>
      <c r="R812" s="35" t="s">
        <v>441</v>
      </c>
      <c r="S812" s="35" t="str">
        <f>MID(Tabla1[[#This Row],[Aplicación]],6,2)</f>
        <v>04</v>
      </c>
      <c r="T812" s="35" t="str">
        <f>VLOOKUP(Tabla1[[#This Row],[AREA]],Hoja1!A:B,2,FALSE)</f>
        <v>04. Planificación y recursos</v>
      </c>
      <c r="U812" s="35" t="str">
        <f>MID(Tabla1[[#This Row],[Aplicación]],9,4)</f>
        <v>9204</v>
      </c>
      <c r="V812" s="35" t="str">
        <f>VLOOKUP(Tabla1[[#This Row],[PROGRAMA]],Hoja1!A:B,2,FALSE)</f>
        <v>9204. Tecnologías de la información y comunicación</v>
      </c>
      <c r="W812" s="35" t="str">
        <f>MID(Tabla1[[#This Row],[Aplicación]],14,2)</f>
        <v>21</v>
      </c>
      <c r="X812" s="35" t="str">
        <f>MID(Tabla1[[#This Row],[Aplicación]],14,6)</f>
        <v>216</v>
      </c>
    </row>
    <row r="813" spans="1:24" x14ac:dyDescent="0.25">
      <c r="A813" s="49">
        <v>220219001111</v>
      </c>
      <c r="B813" s="50" t="s">
        <v>9</v>
      </c>
      <c r="C813" s="57">
        <v>44562</v>
      </c>
      <c r="D813" s="49">
        <v>22022000522</v>
      </c>
      <c r="E813" s="50" t="s">
        <v>1659</v>
      </c>
      <c r="F813" s="58">
        <v>13390.67</v>
      </c>
      <c r="G813" s="50" t="s">
        <v>502</v>
      </c>
      <c r="H813" s="50" t="s">
        <v>548</v>
      </c>
      <c r="I813" s="49" t="s">
        <v>107</v>
      </c>
      <c r="J813" s="50" t="s">
        <v>544</v>
      </c>
      <c r="K813" s="50" t="s">
        <v>109</v>
      </c>
      <c r="L813" s="50" t="s">
        <v>12</v>
      </c>
      <c r="M813" s="50" t="s">
        <v>13</v>
      </c>
      <c r="N813" s="50" t="s">
        <v>14</v>
      </c>
      <c r="O813" s="48" t="s">
        <v>620</v>
      </c>
      <c r="P813" s="45" t="s">
        <v>453</v>
      </c>
      <c r="Q813" s="35" t="str">
        <f>MID(Tabla1[[#This Row],[Aplicación]],14,1)</f>
        <v>2</v>
      </c>
      <c r="R813" s="35" t="s">
        <v>441</v>
      </c>
      <c r="S813" s="35" t="str">
        <f>MID(Tabla1[[#This Row],[Aplicación]],6,2)</f>
        <v>05</v>
      </c>
      <c r="T813" s="35" t="str">
        <f>VLOOKUP(Tabla1[[#This Row],[AREA]],Hoja1!A:B,2,FALSE)</f>
        <v>05. Innovación, desarrollo económico, empleo y comercio</v>
      </c>
      <c r="U813" s="35" t="str">
        <f>MID(Tabla1[[#This Row],[Aplicación]],9,4)</f>
        <v>4331</v>
      </c>
      <c r="V813" s="35" t="str">
        <f>VLOOKUP(Tabla1[[#This Row],[PROGRAMA]],Hoja1!A:B,2,FALSE)</f>
        <v>4331. Desarrollo empresarial</v>
      </c>
      <c r="W813" s="35" t="str">
        <f>MID(Tabla1[[#This Row],[Aplicación]],14,2)</f>
        <v>22</v>
      </c>
      <c r="X813" s="35" t="str">
        <f>MID(Tabla1[[#This Row],[Aplicación]],14,6)</f>
        <v>22799</v>
      </c>
    </row>
    <row r="814" spans="1:24" x14ac:dyDescent="0.25">
      <c r="A814" s="49">
        <v>220220009450</v>
      </c>
      <c r="B814" s="50" t="s">
        <v>172</v>
      </c>
      <c r="C814" s="57">
        <v>44636</v>
      </c>
      <c r="D814" s="49">
        <v>22022001593</v>
      </c>
      <c r="E814" s="50" t="s">
        <v>1581</v>
      </c>
      <c r="F814" s="58">
        <v>2157.89</v>
      </c>
      <c r="G814" s="50" t="s">
        <v>213</v>
      </c>
      <c r="H814" s="50" t="s">
        <v>1036</v>
      </c>
      <c r="I814" s="49" t="s">
        <v>173</v>
      </c>
      <c r="J814" s="50" t="s">
        <v>109</v>
      </c>
      <c r="K814" s="50" t="s">
        <v>109</v>
      </c>
      <c r="L814" s="50" t="s">
        <v>15</v>
      </c>
      <c r="M814" s="50" t="s">
        <v>13</v>
      </c>
      <c r="N814" s="50" t="s">
        <v>14</v>
      </c>
      <c r="O814" s="48" t="s">
        <v>631</v>
      </c>
      <c r="P814" s="45" t="s">
        <v>453</v>
      </c>
      <c r="Q814" s="35" t="str">
        <f>MID(Tabla1[[#This Row],[Aplicación]],14,1)</f>
        <v>2</v>
      </c>
      <c r="R814" s="35" t="s">
        <v>441</v>
      </c>
      <c r="S814" s="35" t="str">
        <f>MID(Tabla1[[#This Row],[Aplicación]],6,2)</f>
        <v>07</v>
      </c>
      <c r="T814" s="35" t="str">
        <f>VLOOKUP(Tabla1[[#This Row],[AREA]],Hoja1!A:B,2,FALSE)</f>
        <v>07. Medio ambiente y desarrollo sostenible</v>
      </c>
      <c r="U814" s="35" t="str">
        <f>MID(Tabla1[[#This Row],[Aplicación]],9,4)</f>
        <v>1711</v>
      </c>
      <c r="V814" s="35" t="str">
        <f>VLOOKUP(Tabla1[[#This Row],[PROGRAMA]],Hoja1!A:B,2,FALSE)</f>
        <v>1711. Parques y jardines</v>
      </c>
      <c r="W814" s="35" t="str">
        <f>MID(Tabla1[[#This Row],[Aplicación]],14,2)</f>
        <v>22</v>
      </c>
      <c r="X814" s="35" t="str">
        <f>MID(Tabla1[[#This Row],[Aplicación]],14,6)</f>
        <v>22199</v>
      </c>
    </row>
    <row r="815" spans="1:24" x14ac:dyDescent="0.25">
      <c r="A815" s="49">
        <v>220220007067</v>
      </c>
      <c r="B815" s="50" t="s">
        <v>172</v>
      </c>
      <c r="C815" s="57">
        <v>44623</v>
      </c>
      <c r="D815" s="49">
        <v>22022001552</v>
      </c>
      <c r="E815" s="50" t="s">
        <v>1975</v>
      </c>
      <c r="F815" s="58">
        <v>1162.57</v>
      </c>
      <c r="G815" s="50" t="s">
        <v>213</v>
      </c>
      <c r="H815" s="50" t="s">
        <v>2265</v>
      </c>
      <c r="I815" s="49" t="s">
        <v>173</v>
      </c>
      <c r="J815" s="50" t="s">
        <v>109</v>
      </c>
      <c r="K815" s="50" t="s">
        <v>109</v>
      </c>
      <c r="L815" s="50" t="s">
        <v>15</v>
      </c>
      <c r="M815" s="50" t="s">
        <v>13</v>
      </c>
      <c r="N815" s="50" t="s">
        <v>14</v>
      </c>
      <c r="O815" s="48" t="s">
        <v>631</v>
      </c>
      <c r="P815" s="45" t="s">
        <v>453</v>
      </c>
      <c r="Q815" s="35" t="str">
        <f>MID(Tabla1[[#This Row],[Aplicación]],14,1)</f>
        <v>2</v>
      </c>
      <c r="R815" s="35" t="s">
        <v>441</v>
      </c>
      <c r="S815" s="35" t="str">
        <f>MID(Tabla1[[#This Row],[Aplicación]],6,2)</f>
        <v>08</v>
      </c>
      <c r="T815" s="35" t="str">
        <f>VLOOKUP(Tabla1[[#This Row],[AREA]],Hoja1!A:B,2,FALSE)</f>
        <v>08. Movilidad y espacio urbano</v>
      </c>
      <c r="U815" s="35" t="str">
        <f>MID(Tabla1[[#This Row],[Aplicación]],9,4)</f>
        <v>1532</v>
      </c>
      <c r="V815" s="35" t="str">
        <f>VLOOKUP(Tabla1[[#This Row],[PROGRAMA]],Hoja1!A:B,2,FALSE)</f>
        <v>1532. Pavimentación vias públicas y otros servicios urbanísticos</v>
      </c>
      <c r="W815" s="35" t="str">
        <f>MID(Tabla1[[#This Row],[Aplicación]],14,2)</f>
        <v>21</v>
      </c>
      <c r="X815" s="35" t="str">
        <f>MID(Tabla1[[#This Row],[Aplicación]],14,6)</f>
        <v>210</v>
      </c>
    </row>
    <row r="816" spans="1:24" x14ac:dyDescent="0.25">
      <c r="A816" s="49">
        <v>220220003257</v>
      </c>
      <c r="B816" s="50" t="s">
        <v>172</v>
      </c>
      <c r="C816" s="57">
        <v>44601</v>
      </c>
      <c r="D816" s="49">
        <v>22022001593</v>
      </c>
      <c r="E816" s="50" t="s">
        <v>1581</v>
      </c>
      <c r="F816" s="58">
        <v>800.11</v>
      </c>
      <c r="G816" s="50" t="s">
        <v>213</v>
      </c>
      <c r="H816" s="50" t="s">
        <v>1036</v>
      </c>
      <c r="I816" s="49" t="s">
        <v>173</v>
      </c>
      <c r="J816" s="50" t="s">
        <v>109</v>
      </c>
      <c r="K816" s="50" t="s">
        <v>109</v>
      </c>
      <c r="L816" s="50" t="s">
        <v>15</v>
      </c>
      <c r="M816" s="50" t="s">
        <v>13</v>
      </c>
      <c r="N816" s="50" t="s">
        <v>14</v>
      </c>
      <c r="O816" s="48" t="s">
        <v>631</v>
      </c>
      <c r="P816" s="45" t="s">
        <v>453</v>
      </c>
      <c r="Q816" s="35" t="str">
        <f>MID(Tabla1[[#This Row],[Aplicación]],14,1)</f>
        <v>2</v>
      </c>
      <c r="R816" s="35" t="s">
        <v>441</v>
      </c>
      <c r="S816" s="35" t="str">
        <f>MID(Tabla1[[#This Row],[Aplicación]],6,2)</f>
        <v>07</v>
      </c>
      <c r="T816" s="35" t="str">
        <f>VLOOKUP(Tabla1[[#This Row],[AREA]],Hoja1!A:B,2,FALSE)</f>
        <v>07. Medio ambiente y desarrollo sostenible</v>
      </c>
      <c r="U816" s="35" t="str">
        <f>MID(Tabla1[[#This Row],[Aplicación]],9,4)</f>
        <v>1711</v>
      </c>
      <c r="V816" s="35" t="str">
        <f>VLOOKUP(Tabla1[[#This Row],[PROGRAMA]],Hoja1!A:B,2,FALSE)</f>
        <v>1711. Parques y jardines</v>
      </c>
      <c r="W816" s="35" t="str">
        <f>MID(Tabla1[[#This Row],[Aplicación]],14,2)</f>
        <v>22</v>
      </c>
      <c r="X816" s="35" t="str">
        <f>MID(Tabla1[[#This Row],[Aplicación]],14,6)</f>
        <v>22199</v>
      </c>
    </row>
    <row r="817" spans="1:24" x14ac:dyDescent="0.25">
      <c r="A817" s="49">
        <v>220220002438</v>
      </c>
      <c r="B817" s="50" t="s">
        <v>172</v>
      </c>
      <c r="C817" s="57">
        <v>44594</v>
      </c>
      <c r="D817" s="49">
        <v>22022001172</v>
      </c>
      <c r="E817" s="50" t="s">
        <v>1579</v>
      </c>
      <c r="F817" s="58">
        <v>769.94</v>
      </c>
      <c r="G817" s="50" t="s">
        <v>213</v>
      </c>
      <c r="H817" s="50" t="s">
        <v>2266</v>
      </c>
      <c r="I817" s="49" t="s">
        <v>173</v>
      </c>
      <c r="J817" s="50" t="s">
        <v>109</v>
      </c>
      <c r="K817" s="50" t="s">
        <v>109</v>
      </c>
      <c r="L817" s="50" t="s">
        <v>15</v>
      </c>
      <c r="M817" s="50" t="s">
        <v>13</v>
      </c>
      <c r="N817" s="50" t="s">
        <v>14</v>
      </c>
      <c r="O817" s="48" t="s">
        <v>631</v>
      </c>
      <c r="P817" s="45" t="s">
        <v>453</v>
      </c>
      <c r="Q817" s="35" t="str">
        <f>MID(Tabla1[[#This Row],[Aplicación]],14,1)</f>
        <v>2</v>
      </c>
      <c r="R817" s="35" t="s">
        <v>441</v>
      </c>
      <c r="S817" s="35" t="str">
        <f>MID(Tabla1[[#This Row],[Aplicación]],6,2)</f>
        <v>10</v>
      </c>
      <c r="T817" s="35" t="str">
        <f>VLOOKUP(Tabla1[[#This Row],[AREA]],Hoja1!A:B,2,FALSE)</f>
        <v>10. Servicios sociales y mediación comunitaria</v>
      </c>
      <c r="U817" s="35" t="str">
        <f>MID(Tabla1[[#This Row],[Aplicación]],9,4)</f>
        <v>2412</v>
      </c>
      <c r="V817" s="35" t="str">
        <f>VLOOKUP(Tabla1[[#This Row],[PROGRAMA]],Hoja1!A:B,2,FALSE)</f>
        <v>2412. Formación para el empleo</v>
      </c>
      <c r="W817" s="35" t="str">
        <f>MID(Tabla1[[#This Row],[Aplicación]],14,2)</f>
        <v>22</v>
      </c>
      <c r="X817" s="35" t="str">
        <f>MID(Tabla1[[#This Row],[Aplicación]],14,6)</f>
        <v>22199</v>
      </c>
    </row>
    <row r="818" spans="1:24" x14ac:dyDescent="0.25">
      <c r="A818" s="49">
        <v>220220003721</v>
      </c>
      <c r="B818" s="50" t="s">
        <v>172</v>
      </c>
      <c r="C818" s="57">
        <v>44608</v>
      </c>
      <c r="D818" s="49">
        <v>22022001173</v>
      </c>
      <c r="E818" s="50" t="s">
        <v>1579</v>
      </c>
      <c r="F818" s="58">
        <v>719.7</v>
      </c>
      <c r="G818" s="50" t="s">
        <v>213</v>
      </c>
      <c r="H818" s="50" t="s">
        <v>2267</v>
      </c>
      <c r="I818" s="49" t="s">
        <v>173</v>
      </c>
      <c r="J818" s="50" t="s">
        <v>109</v>
      </c>
      <c r="K818" s="50" t="s">
        <v>109</v>
      </c>
      <c r="L818" s="50" t="s">
        <v>15</v>
      </c>
      <c r="M818" s="50" t="s">
        <v>13</v>
      </c>
      <c r="N818" s="50" t="s">
        <v>14</v>
      </c>
      <c r="O818" s="48" t="s">
        <v>631</v>
      </c>
      <c r="P818" s="45" t="s">
        <v>453</v>
      </c>
      <c r="Q818" s="35" t="str">
        <f>MID(Tabla1[[#This Row],[Aplicación]],14,1)</f>
        <v>2</v>
      </c>
      <c r="R818" s="35" t="s">
        <v>441</v>
      </c>
      <c r="S818" s="35" t="str">
        <f>MID(Tabla1[[#This Row],[Aplicación]],6,2)</f>
        <v>10</v>
      </c>
      <c r="T818" s="35" t="str">
        <f>VLOOKUP(Tabla1[[#This Row],[AREA]],Hoja1!A:B,2,FALSE)</f>
        <v>10. Servicios sociales y mediación comunitaria</v>
      </c>
      <c r="U818" s="35" t="str">
        <f>MID(Tabla1[[#This Row],[Aplicación]],9,4)</f>
        <v>2412</v>
      </c>
      <c r="V818" s="35" t="str">
        <f>VLOOKUP(Tabla1[[#This Row],[PROGRAMA]],Hoja1!A:B,2,FALSE)</f>
        <v>2412. Formación para el empleo</v>
      </c>
      <c r="W818" s="35" t="str">
        <f>MID(Tabla1[[#This Row],[Aplicación]],14,2)</f>
        <v>22</v>
      </c>
      <c r="X818" s="35" t="str">
        <f>MID(Tabla1[[#This Row],[Aplicación]],14,6)</f>
        <v>22199</v>
      </c>
    </row>
    <row r="819" spans="1:24" x14ac:dyDescent="0.25">
      <c r="A819" s="49">
        <v>220220002434</v>
      </c>
      <c r="B819" s="50" t="s">
        <v>172</v>
      </c>
      <c r="C819" s="57">
        <v>44594</v>
      </c>
      <c r="D819" s="49">
        <v>22022001173</v>
      </c>
      <c r="E819" s="50" t="s">
        <v>1579</v>
      </c>
      <c r="F819" s="58">
        <v>398.89</v>
      </c>
      <c r="G819" s="50" t="s">
        <v>213</v>
      </c>
      <c r="H819" s="50" t="s">
        <v>2268</v>
      </c>
      <c r="I819" s="49" t="s">
        <v>173</v>
      </c>
      <c r="J819" s="50" t="s">
        <v>109</v>
      </c>
      <c r="K819" s="50" t="s">
        <v>109</v>
      </c>
      <c r="L819" s="50" t="s">
        <v>15</v>
      </c>
      <c r="M819" s="50" t="s">
        <v>13</v>
      </c>
      <c r="N819" s="50" t="s">
        <v>14</v>
      </c>
      <c r="O819" s="48" t="s">
        <v>631</v>
      </c>
      <c r="P819" s="45" t="s">
        <v>453</v>
      </c>
      <c r="Q819" s="35" t="str">
        <f>MID(Tabla1[[#This Row],[Aplicación]],14,1)</f>
        <v>2</v>
      </c>
      <c r="R819" s="35" t="s">
        <v>441</v>
      </c>
      <c r="S819" s="35" t="str">
        <f>MID(Tabla1[[#This Row],[Aplicación]],6,2)</f>
        <v>10</v>
      </c>
      <c r="T819" s="35" t="str">
        <f>VLOOKUP(Tabla1[[#This Row],[AREA]],Hoja1!A:B,2,FALSE)</f>
        <v>10. Servicios sociales y mediación comunitaria</v>
      </c>
      <c r="U819" s="35" t="str">
        <f>MID(Tabla1[[#This Row],[Aplicación]],9,4)</f>
        <v>2412</v>
      </c>
      <c r="V819" s="35" t="str">
        <f>VLOOKUP(Tabla1[[#This Row],[PROGRAMA]],Hoja1!A:B,2,FALSE)</f>
        <v>2412. Formación para el empleo</v>
      </c>
      <c r="W819" s="35" t="str">
        <f>MID(Tabla1[[#This Row],[Aplicación]],14,2)</f>
        <v>22</v>
      </c>
      <c r="X819" s="35" t="str">
        <f>MID(Tabla1[[#This Row],[Aplicación]],14,6)</f>
        <v>22199</v>
      </c>
    </row>
    <row r="820" spans="1:24" x14ac:dyDescent="0.25">
      <c r="A820" s="49">
        <v>220220002436</v>
      </c>
      <c r="B820" s="50" t="s">
        <v>172</v>
      </c>
      <c r="C820" s="57">
        <v>44594</v>
      </c>
      <c r="D820" s="49">
        <v>22022001172</v>
      </c>
      <c r="E820" s="50" t="s">
        <v>1579</v>
      </c>
      <c r="F820" s="58">
        <v>196.88</v>
      </c>
      <c r="G820" s="50" t="s">
        <v>213</v>
      </c>
      <c r="H820" s="50" t="s">
        <v>2269</v>
      </c>
      <c r="I820" s="49" t="s">
        <v>173</v>
      </c>
      <c r="J820" s="50" t="s">
        <v>109</v>
      </c>
      <c r="K820" s="50" t="s">
        <v>109</v>
      </c>
      <c r="L820" s="50" t="s">
        <v>15</v>
      </c>
      <c r="M820" s="50" t="s">
        <v>13</v>
      </c>
      <c r="N820" s="50" t="s">
        <v>14</v>
      </c>
      <c r="O820" s="48" t="s">
        <v>631</v>
      </c>
      <c r="P820" s="45" t="s">
        <v>453</v>
      </c>
      <c r="Q820" s="35" t="str">
        <f>MID(Tabla1[[#This Row],[Aplicación]],14,1)</f>
        <v>2</v>
      </c>
      <c r="R820" s="35" t="s">
        <v>441</v>
      </c>
      <c r="S820" s="35" t="str">
        <f>MID(Tabla1[[#This Row],[Aplicación]],6,2)</f>
        <v>10</v>
      </c>
      <c r="T820" s="35" t="str">
        <f>VLOOKUP(Tabla1[[#This Row],[AREA]],Hoja1!A:B,2,FALSE)</f>
        <v>10. Servicios sociales y mediación comunitaria</v>
      </c>
      <c r="U820" s="35" t="str">
        <f>MID(Tabla1[[#This Row],[Aplicación]],9,4)</f>
        <v>2412</v>
      </c>
      <c r="V820" s="35" t="str">
        <f>VLOOKUP(Tabla1[[#This Row],[PROGRAMA]],Hoja1!A:B,2,FALSE)</f>
        <v>2412. Formación para el empleo</v>
      </c>
      <c r="W820" s="35" t="str">
        <f>MID(Tabla1[[#This Row],[Aplicación]],14,2)</f>
        <v>22</v>
      </c>
      <c r="X820" s="35" t="str">
        <f>MID(Tabla1[[#This Row],[Aplicación]],14,6)</f>
        <v>22199</v>
      </c>
    </row>
    <row r="821" spans="1:24" x14ac:dyDescent="0.25">
      <c r="A821" s="49">
        <v>220220008491</v>
      </c>
      <c r="B821" s="50" t="s">
        <v>172</v>
      </c>
      <c r="C821" s="57">
        <v>44631</v>
      </c>
      <c r="D821" s="49">
        <v>22022000043</v>
      </c>
      <c r="E821" s="50" t="s">
        <v>2270</v>
      </c>
      <c r="F821" s="58">
        <v>191.7</v>
      </c>
      <c r="G821" s="50" t="s">
        <v>213</v>
      </c>
      <c r="H821" s="50" t="s">
        <v>2271</v>
      </c>
      <c r="I821" s="49" t="s">
        <v>173</v>
      </c>
      <c r="J821" s="50" t="s">
        <v>109</v>
      </c>
      <c r="K821" s="50" t="s">
        <v>109</v>
      </c>
      <c r="L821" s="50" t="s">
        <v>15</v>
      </c>
      <c r="M821" s="50" t="s">
        <v>13</v>
      </c>
      <c r="N821" s="50" t="s">
        <v>14</v>
      </c>
      <c r="O821" s="48" t="s">
        <v>631</v>
      </c>
      <c r="P821" s="45" t="s">
        <v>453</v>
      </c>
      <c r="Q821" s="35" t="str">
        <f>MID(Tabla1[[#This Row],[Aplicación]],14,1)</f>
        <v>2</v>
      </c>
      <c r="R821" s="35" t="s">
        <v>441</v>
      </c>
      <c r="S821" s="35" t="str">
        <f>MID(Tabla1[[#This Row],[Aplicación]],6,2)</f>
        <v>11</v>
      </c>
      <c r="T821" s="35" t="str">
        <f>VLOOKUP(Tabla1[[#This Row],[AREA]],Hoja1!A:B,2,FALSE)</f>
        <v>11. Salud pública y seguridad ciudadana</v>
      </c>
      <c r="U821" s="35" t="str">
        <f>MID(Tabla1[[#This Row],[Aplicación]],9,4)</f>
        <v>1631</v>
      </c>
      <c r="V821" s="35" t="str">
        <f>VLOOKUP(Tabla1[[#This Row],[PROGRAMA]],Hoja1!A:B,2,FALSE)</f>
        <v>1631. Limpieza viaria</v>
      </c>
      <c r="W821" s="35" t="str">
        <f>MID(Tabla1[[#This Row],[Aplicación]],14,2)</f>
        <v>22</v>
      </c>
      <c r="X821" s="35" t="str">
        <f>MID(Tabla1[[#This Row],[Aplicación]],14,6)</f>
        <v>22104</v>
      </c>
    </row>
    <row r="822" spans="1:24" x14ac:dyDescent="0.25">
      <c r="A822" s="49">
        <v>220220009378</v>
      </c>
      <c r="B822" s="50" t="s">
        <v>172</v>
      </c>
      <c r="C822" s="57">
        <v>44636</v>
      </c>
      <c r="D822" s="49">
        <v>22022001174</v>
      </c>
      <c r="E822" s="50" t="s">
        <v>1579</v>
      </c>
      <c r="F822" s="58">
        <v>151.25</v>
      </c>
      <c r="G822" s="50" t="s">
        <v>213</v>
      </c>
      <c r="H822" s="50" t="s">
        <v>2272</v>
      </c>
      <c r="I822" s="49" t="s">
        <v>173</v>
      </c>
      <c r="J822" s="50" t="s">
        <v>109</v>
      </c>
      <c r="K822" s="50" t="s">
        <v>109</v>
      </c>
      <c r="L822" s="50" t="s">
        <v>15</v>
      </c>
      <c r="M822" s="50" t="s">
        <v>13</v>
      </c>
      <c r="N822" s="50" t="s">
        <v>14</v>
      </c>
      <c r="O822" s="48" t="s">
        <v>631</v>
      </c>
      <c r="P822" s="45" t="s">
        <v>453</v>
      </c>
      <c r="Q822" s="35" t="str">
        <f>MID(Tabla1[[#This Row],[Aplicación]],14,1)</f>
        <v>2</v>
      </c>
      <c r="R822" s="35" t="s">
        <v>441</v>
      </c>
      <c r="S822" s="35" t="str">
        <f>MID(Tabla1[[#This Row],[Aplicación]],6,2)</f>
        <v>10</v>
      </c>
      <c r="T822" s="35" t="str">
        <f>VLOOKUP(Tabla1[[#This Row],[AREA]],Hoja1!A:B,2,FALSE)</f>
        <v>10. Servicios sociales y mediación comunitaria</v>
      </c>
      <c r="U822" s="35" t="str">
        <f>MID(Tabla1[[#This Row],[Aplicación]],9,4)</f>
        <v>2412</v>
      </c>
      <c r="V822" s="35" t="str">
        <f>VLOOKUP(Tabla1[[#This Row],[PROGRAMA]],Hoja1!A:B,2,FALSE)</f>
        <v>2412. Formación para el empleo</v>
      </c>
      <c r="W822" s="35" t="str">
        <f>MID(Tabla1[[#This Row],[Aplicación]],14,2)</f>
        <v>22</v>
      </c>
      <c r="X822" s="35" t="str">
        <f>MID(Tabla1[[#This Row],[Aplicación]],14,6)</f>
        <v>22199</v>
      </c>
    </row>
    <row r="823" spans="1:24" x14ac:dyDescent="0.25">
      <c r="A823" s="49">
        <v>220220009374</v>
      </c>
      <c r="B823" s="50" t="s">
        <v>172</v>
      </c>
      <c r="C823" s="57">
        <v>44636</v>
      </c>
      <c r="D823" s="49">
        <v>22022001172</v>
      </c>
      <c r="E823" s="50" t="s">
        <v>1579</v>
      </c>
      <c r="F823" s="58">
        <v>109.81</v>
      </c>
      <c r="G823" s="50" t="s">
        <v>213</v>
      </c>
      <c r="H823" s="50" t="s">
        <v>2273</v>
      </c>
      <c r="I823" s="49" t="s">
        <v>173</v>
      </c>
      <c r="J823" s="50" t="s">
        <v>109</v>
      </c>
      <c r="K823" s="50" t="s">
        <v>109</v>
      </c>
      <c r="L823" s="50" t="s">
        <v>15</v>
      </c>
      <c r="M823" s="50" t="s">
        <v>13</v>
      </c>
      <c r="N823" s="50" t="s">
        <v>14</v>
      </c>
      <c r="O823" s="48" t="s">
        <v>631</v>
      </c>
      <c r="P823" s="45" t="s">
        <v>453</v>
      </c>
      <c r="Q823" s="35" t="str">
        <f>MID(Tabla1[[#This Row],[Aplicación]],14,1)</f>
        <v>2</v>
      </c>
      <c r="R823" s="35" t="s">
        <v>441</v>
      </c>
      <c r="S823" s="35" t="str">
        <f>MID(Tabla1[[#This Row],[Aplicación]],6,2)</f>
        <v>10</v>
      </c>
      <c r="T823" s="35" t="str">
        <f>VLOOKUP(Tabla1[[#This Row],[AREA]],Hoja1!A:B,2,FALSE)</f>
        <v>10. Servicios sociales y mediación comunitaria</v>
      </c>
      <c r="U823" s="35" t="str">
        <f>MID(Tabla1[[#This Row],[Aplicación]],9,4)</f>
        <v>2412</v>
      </c>
      <c r="V823" s="35" t="str">
        <f>VLOOKUP(Tabla1[[#This Row],[PROGRAMA]],Hoja1!A:B,2,FALSE)</f>
        <v>2412. Formación para el empleo</v>
      </c>
      <c r="W823" s="35" t="str">
        <f>MID(Tabla1[[#This Row],[Aplicación]],14,2)</f>
        <v>22</v>
      </c>
      <c r="X823" s="35" t="str">
        <f>MID(Tabla1[[#This Row],[Aplicación]],14,6)</f>
        <v>22199</v>
      </c>
    </row>
    <row r="824" spans="1:24" x14ac:dyDescent="0.25">
      <c r="A824" s="49">
        <v>220220009376</v>
      </c>
      <c r="B824" s="50" t="s">
        <v>172</v>
      </c>
      <c r="C824" s="57">
        <v>44636</v>
      </c>
      <c r="D824" s="49">
        <v>22022001173</v>
      </c>
      <c r="E824" s="50" t="s">
        <v>1579</v>
      </c>
      <c r="F824" s="58">
        <v>105.32</v>
      </c>
      <c r="G824" s="50" t="s">
        <v>213</v>
      </c>
      <c r="H824" s="50" t="s">
        <v>2274</v>
      </c>
      <c r="I824" s="49" t="s">
        <v>173</v>
      </c>
      <c r="J824" s="50" t="s">
        <v>109</v>
      </c>
      <c r="K824" s="50" t="s">
        <v>109</v>
      </c>
      <c r="L824" s="50" t="s">
        <v>15</v>
      </c>
      <c r="M824" s="50" t="s">
        <v>13</v>
      </c>
      <c r="N824" s="50" t="s">
        <v>14</v>
      </c>
      <c r="O824" s="48" t="s">
        <v>631</v>
      </c>
      <c r="P824" s="45" t="s">
        <v>453</v>
      </c>
      <c r="Q824" s="35" t="str">
        <f>MID(Tabla1[[#This Row],[Aplicación]],14,1)</f>
        <v>2</v>
      </c>
      <c r="R824" s="35" t="s">
        <v>441</v>
      </c>
      <c r="S824" s="35" t="str">
        <f>MID(Tabla1[[#This Row],[Aplicación]],6,2)</f>
        <v>10</v>
      </c>
      <c r="T824" s="35" t="str">
        <f>VLOOKUP(Tabla1[[#This Row],[AREA]],Hoja1!A:B,2,FALSE)</f>
        <v>10. Servicios sociales y mediación comunitaria</v>
      </c>
      <c r="U824" s="35" t="str">
        <f>MID(Tabla1[[#This Row],[Aplicación]],9,4)</f>
        <v>2412</v>
      </c>
      <c r="V824" s="35" t="str">
        <f>VLOOKUP(Tabla1[[#This Row],[PROGRAMA]],Hoja1!A:B,2,FALSE)</f>
        <v>2412. Formación para el empleo</v>
      </c>
      <c r="W824" s="35" t="str">
        <f>MID(Tabla1[[#This Row],[Aplicación]],14,2)</f>
        <v>22</v>
      </c>
      <c r="X824" s="35" t="str">
        <f>MID(Tabla1[[#This Row],[Aplicación]],14,6)</f>
        <v>22199</v>
      </c>
    </row>
    <row r="825" spans="1:24" x14ac:dyDescent="0.25">
      <c r="A825" s="49">
        <v>220219000919</v>
      </c>
      <c r="B825" s="50" t="s">
        <v>9</v>
      </c>
      <c r="C825" s="57">
        <v>44562</v>
      </c>
      <c r="D825" s="49">
        <v>22022000115</v>
      </c>
      <c r="E825" s="50" t="s">
        <v>2275</v>
      </c>
      <c r="F825" s="58">
        <v>3500</v>
      </c>
      <c r="G825" s="50" t="s">
        <v>38</v>
      </c>
      <c r="H825" s="50" t="s">
        <v>2276</v>
      </c>
      <c r="I825" s="49" t="s">
        <v>107</v>
      </c>
      <c r="J825" s="50" t="s">
        <v>129</v>
      </c>
      <c r="K825" s="50" t="s">
        <v>170</v>
      </c>
      <c r="L825" s="50" t="s">
        <v>15</v>
      </c>
      <c r="M825" s="50" t="s">
        <v>13</v>
      </c>
      <c r="N825" s="50" t="s">
        <v>16</v>
      </c>
      <c r="O825" s="48" t="s">
        <v>620</v>
      </c>
      <c r="P825" s="45" t="s">
        <v>453</v>
      </c>
      <c r="Q825" s="35" t="str">
        <f>MID(Tabla1[[#This Row],[Aplicación]],14,1)</f>
        <v>2</v>
      </c>
      <c r="R825" s="35" t="s">
        <v>441</v>
      </c>
      <c r="S825" s="35" t="str">
        <f>MID(Tabla1[[#This Row],[Aplicación]],6,2)</f>
        <v>06</v>
      </c>
      <c r="T825" s="35" t="str">
        <f>VLOOKUP(Tabla1[[#This Row],[AREA]],Hoja1!A:B,2,FALSE)</f>
        <v>06. Educación, infancia, juventud e igualdad</v>
      </c>
      <c r="U825" s="35" t="str">
        <f>MID(Tabla1[[#This Row],[Aplicación]],9,4)</f>
        <v>2315</v>
      </c>
      <c r="V825" s="35" t="str">
        <f>VLOOKUP(Tabla1[[#This Row],[PROGRAMA]],Hoja1!A:B,2,FALSE)</f>
        <v>2315. Políticas de Igualdad e infancia</v>
      </c>
      <c r="W825" s="35" t="str">
        <f>MID(Tabla1[[#This Row],[Aplicación]],14,2)</f>
        <v>22</v>
      </c>
      <c r="X825" s="35" t="str">
        <f>MID(Tabla1[[#This Row],[Aplicación]],14,6)</f>
        <v>22100</v>
      </c>
    </row>
    <row r="826" spans="1:24" x14ac:dyDescent="0.25">
      <c r="A826" s="49">
        <v>220220004231</v>
      </c>
      <c r="B826" s="50" t="s">
        <v>172</v>
      </c>
      <c r="C826" s="57">
        <v>44610</v>
      </c>
      <c r="D826" s="49">
        <v>22022000043</v>
      </c>
      <c r="E826" s="50" t="s">
        <v>2270</v>
      </c>
      <c r="F826" s="58">
        <v>73.75</v>
      </c>
      <c r="G826" s="50" t="s">
        <v>213</v>
      </c>
      <c r="H826" s="50" t="s">
        <v>2277</v>
      </c>
      <c r="I826" s="49" t="s">
        <v>173</v>
      </c>
      <c r="J826" s="50" t="s">
        <v>109</v>
      </c>
      <c r="K826" s="50" t="s">
        <v>109</v>
      </c>
      <c r="L826" s="50" t="s">
        <v>15</v>
      </c>
      <c r="M826" s="50" t="s">
        <v>13</v>
      </c>
      <c r="N826" s="50" t="s">
        <v>14</v>
      </c>
      <c r="O826" s="48" t="s">
        <v>631</v>
      </c>
      <c r="P826" s="45" t="s">
        <v>453</v>
      </c>
      <c r="Q826" s="35" t="str">
        <f>MID(Tabla1[[#This Row],[Aplicación]],14,1)</f>
        <v>2</v>
      </c>
      <c r="R826" s="35" t="s">
        <v>441</v>
      </c>
      <c r="S826" s="35" t="str">
        <f>MID(Tabla1[[#This Row],[Aplicación]],6,2)</f>
        <v>11</v>
      </c>
      <c r="T826" s="35" t="str">
        <f>VLOOKUP(Tabla1[[#This Row],[AREA]],Hoja1!A:B,2,FALSE)</f>
        <v>11. Salud pública y seguridad ciudadana</v>
      </c>
      <c r="U826" s="35" t="str">
        <f>MID(Tabla1[[#This Row],[Aplicación]],9,4)</f>
        <v>1631</v>
      </c>
      <c r="V826" s="35" t="str">
        <f>VLOOKUP(Tabla1[[#This Row],[PROGRAMA]],Hoja1!A:B,2,FALSE)</f>
        <v>1631. Limpieza viaria</v>
      </c>
      <c r="W826" s="35" t="str">
        <f>MID(Tabla1[[#This Row],[Aplicación]],14,2)</f>
        <v>22</v>
      </c>
      <c r="X826" s="35" t="str">
        <f>MID(Tabla1[[#This Row],[Aplicación]],14,6)</f>
        <v>22104</v>
      </c>
    </row>
    <row r="827" spans="1:24" x14ac:dyDescent="0.25">
      <c r="A827" s="49">
        <v>220220003723</v>
      </c>
      <c r="B827" s="50" t="s">
        <v>172</v>
      </c>
      <c r="C827" s="57">
        <v>44608</v>
      </c>
      <c r="D827" s="49">
        <v>22022001169</v>
      </c>
      <c r="E827" s="50" t="s">
        <v>2045</v>
      </c>
      <c r="F827" s="58">
        <v>70.03</v>
      </c>
      <c r="G827" s="50" t="s">
        <v>213</v>
      </c>
      <c r="H827" s="50" t="s">
        <v>2278</v>
      </c>
      <c r="I827" s="49" t="s">
        <v>173</v>
      </c>
      <c r="J827" s="50" t="s">
        <v>109</v>
      </c>
      <c r="K827" s="50" t="s">
        <v>109</v>
      </c>
      <c r="L827" s="50" t="s">
        <v>15</v>
      </c>
      <c r="M827" s="50" t="s">
        <v>13</v>
      </c>
      <c r="N827" s="50" t="s">
        <v>14</v>
      </c>
      <c r="O827" s="48" t="s">
        <v>631</v>
      </c>
      <c r="P827" s="45" t="s">
        <v>453</v>
      </c>
      <c r="Q827" s="35" t="str">
        <f>MID(Tabla1[[#This Row],[Aplicación]],14,1)</f>
        <v>2</v>
      </c>
      <c r="R827" s="35" t="s">
        <v>441</v>
      </c>
      <c r="S827" s="35" t="str">
        <f>MID(Tabla1[[#This Row],[Aplicación]],6,2)</f>
        <v>10</v>
      </c>
      <c r="T827" s="35" t="str">
        <f>VLOOKUP(Tabla1[[#This Row],[AREA]],Hoja1!A:B,2,FALSE)</f>
        <v>10. Servicios sociales y mediación comunitaria</v>
      </c>
      <c r="U827" s="35" t="str">
        <f>MID(Tabla1[[#This Row],[Aplicación]],9,4)</f>
        <v>2412</v>
      </c>
      <c r="V827" s="35" t="str">
        <f>VLOOKUP(Tabla1[[#This Row],[PROGRAMA]],Hoja1!A:B,2,FALSE)</f>
        <v>2412. Formación para el empleo</v>
      </c>
      <c r="W827" s="35" t="str">
        <f>MID(Tabla1[[#This Row],[Aplicación]],14,2)</f>
        <v>21</v>
      </c>
      <c r="X827" s="35" t="str">
        <f>MID(Tabla1[[#This Row],[Aplicación]],14,6)</f>
        <v>212</v>
      </c>
    </row>
    <row r="828" spans="1:24" x14ac:dyDescent="0.25">
      <c r="A828" s="49">
        <v>220220003832</v>
      </c>
      <c r="B828" s="50" t="s">
        <v>172</v>
      </c>
      <c r="C828" s="57">
        <v>44608</v>
      </c>
      <c r="D828" s="49">
        <v>22022001641</v>
      </c>
      <c r="E828" s="50" t="s">
        <v>2034</v>
      </c>
      <c r="F828" s="58">
        <v>66.540000000000006</v>
      </c>
      <c r="G828" s="50" t="s">
        <v>213</v>
      </c>
      <c r="H828" s="50" t="s">
        <v>2279</v>
      </c>
      <c r="I828" s="49" t="s">
        <v>173</v>
      </c>
      <c r="J828" s="50" t="s">
        <v>109</v>
      </c>
      <c r="K828" s="50" t="s">
        <v>109</v>
      </c>
      <c r="L828" s="50" t="s">
        <v>15</v>
      </c>
      <c r="M828" s="50" t="s">
        <v>13</v>
      </c>
      <c r="N828" s="50" t="s">
        <v>14</v>
      </c>
      <c r="O828" s="48" t="s">
        <v>631</v>
      </c>
      <c r="P828" s="45" t="s">
        <v>453</v>
      </c>
      <c r="Q828" s="35" t="str">
        <f>MID(Tabla1[[#This Row],[Aplicación]],14,1)</f>
        <v>2</v>
      </c>
      <c r="R828" s="35" t="s">
        <v>441</v>
      </c>
      <c r="S828" s="35" t="str">
        <f>MID(Tabla1[[#This Row],[Aplicación]],6,2)</f>
        <v>06</v>
      </c>
      <c r="T828" s="35" t="str">
        <f>VLOOKUP(Tabla1[[#This Row],[AREA]],Hoja1!A:B,2,FALSE)</f>
        <v>06. Educación, infancia, juventud e igualdad</v>
      </c>
      <c r="U828" s="35" t="str">
        <f>MID(Tabla1[[#This Row],[Aplicación]],9,4)</f>
        <v>3232</v>
      </c>
      <c r="V828" s="35" t="str">
        <f>VLOOKUP(Tabla1[[#This Row],[PROGRAMA]],Hoja1!A:B,2,FALSE)</f>
        <v>3232. Conservación y mantenimiento centros educación infantil y primaria</v>
      </c>
      <c r="W828" s="35" t="str">
        <f>MID(Tabla1[[#This Row],[Aplicación]],14,2)</f>
        <v>21</v>
      </c>
      <c r="X828" s="35" t="str">
        <f>MID(Tabla1[[#This Row],[Aplicación]],14,6)</f>
        <v>212</v>
      </c>
    </row>
    <row r="829" spans="1:24" x14ac:dyDescent="0.25">
      <c r="A829" s="49">
        <v>220220009505</v>
      </c>
      <c r="B829" s="50" t="s">
        <v>172</v>
      </c>
      <c r="C829" s="57">
        <v>44636</v>
      </c>
      <c r="D829" s="49">
        <v>22022001449</v>
      </c>
      <c r="E829" s="50" t="s">
        <v>1890</v>
      </c>
      <c r="F829" s="58">
        <v>50.58</v>
      </c>
      <c r="G829" s="50" t="s">
        <v>213</v>
      </c>
      <c r="H829" s="50" t="s">
        <v>2280</v>
      </c>
      <c r="I829" s="49" t="s">
        <v>173</v>
      </c>
      <c r="J829" s="50" t="s">
        <v>109</v>
      </c>
      <c r="K829" s="50" t="s">
        <v>109</v>
      </c>
      <c r="L829" s="50" t="s">
        <v>15</v>
      </c>
      <c r="M829" s="50" t="s">
        <v>13</v>
      </c>
      <c r="N829" s="50" t="s">
        <v>14</v>
      </c>
      <c r="O829" s="48" t="s">
        <v>631</v>
      </c>
      <c r="P829" s="45" t="s">
        <v>453</v>
      </c>
      <c r="Q829" s="35" t="str">
        <f>MID(Tabla1[[#This Row],[Aplicación]],14,1)</f>
        <v>2</v>
      </c>
      <c r="R829" s="35" t="s">
        <v>441</v>
      </c>
      <c r="S829" s="35" t="str">
        <f>MID(Tabla1[[#This Row],[Aplicación]],6,2)</f>
        <v>02</v>
      </c>
      <c r="T829" s="35" t="str">
        <f>VLOOKUP(Tabla1[[#This Row],[AREA]],Hoja1!A:B,2,FALSE)</f>
        <v>02. Planeamiento urbanístico y vivienda</v>
      </c>
      <c r="U829" s="35" t="str">
        <f>MID(Tabla1[[#This Row],[Aplicación]],9,4)</f>
        <v>9332</v>
      </c>
      <c r="V829" s="35" t="str">
        <f>VLOOKUP(Tabla1[[#This Row],[PROGRAMA]],Hoja1!A:B,2,FALSE)</f>
        <v>9332. Mantenimiento de edificios e instalaciones municipales</v>
      </c>
      <c r="W829" s="35" t="str">
        <f>MID(Tabla1[[#This Row],[Aplicación]],14,2)</f>
        <v>21</v>
      </c>
      <c r="X829" s="35" t="str">
        <f>MID(Tabla1[[#This Row],[Aplicación]],14,6)</f>
        <v>212</v>
      </c>
    </row>
    <row r="830" spans="1:24" x14ac:dyDescent="0.25">
      <c r="A830" s="49">
        <v>220220005670</v>
      </c>
      <c r="B830" s="50" t="s">
        <v>172</v>
      </c>
      <c r="C830" s="57">
        <v>44614</v>
      </c>
      <c r="D830" s="49">
        <v>22022001169</v>
      </c>
      <c r="E830" s="50" t="s">
        <v>2045</v>
      </c>
      <c r="F830" s="58">
        <v>36.299999999999997</v>
      </c>
      <c r="G830" s="50" t="s">
        <v>213</v>
      </c>
      <c r="H830" s="50" t="s">
        <v>2281</v>
      </c>
      <c r="I830" s="49" t="s">
        <v>173</v>
      </c>
      <c r="J830" s="50" t="s">
        <v>109</v>
      </c>
      <c r="K830" s="50" t="s">
        <v>109</v>
      </c>
      <c r="L830" s="50" t="s">
        <v>15</v>
      </c>
      <c r="M830" s="50" t="s">
        <v>13</v>
      </c>
      <c r="N830" s="50" t="s">
        <v>14</v>
      </c>
      <c r="O830" s="48" t="s">
        <v>631</v>
      </c>
      <c r="P830" s="45" t="s">
        <v>453</v>
      </c>
      <c r="Q830" s="35" t="str">
        <f>MID(Tabla1[[#This Row],[Aplicación]],14,1)</f>
        <v>2</v>
      </c>
      <c r="R830" s="35" t="s">
        <v>441</v>
      </c>
      <c r="S830" s="35" t="str">
        <f>MID(Tabla1[[#This Row],[Aplicación]],6,2)</f>
        <v>10</v>
      </c>
      <c r="T830" s="35" t="str">
        <f>VLOOKUP(Tabla1[[#This Row],[AREA]],Hoja1!A:B,2,FALSE)</f>
        <v>10. Servicios sociales y mediación comunitaria</v>
      </c>
      <c r="U830" s="35" t="str">
        <f>MID(Tabla1[[#This Row],[Aplicación]],9,4)</f>
        <v>2412</v>
      </c>
      <c r="V830" s="35" t="str">
        <f>VLOOKUP(Tabla1[[#This Row],[PROGRAMA]],Hoja1!A:B,2,FALSE)</f>
        <v>2412. Formación para el empleo</v>
      </c>
      <c r="W830" s="35" t="str">
        <f>MID(Tabla1[[#This Row],[Aplicación]],14,2)</f>
        <v>21</v>
      </c>
      <c r="X830" s="35" t="str">
        <f>MID(Tabla1[[#This Row],[Aplicación]],14,6)</f>
        <v>212</v>
      </c>
    </row>
    <row r="831" spans="1:24" x14ac:dyDescent="0.25">
      <c r="A831" s="49">
        <v>220220008549</v>
      </c>
      <c r="B831" s="50" t="s">
        <v>172</v>
      </c>
      <c r="C831" s="57">
        <v>44631</v>
      </c>
      <c r="D831" s="49">
        <v>22022001628</v>
      </c>
      <c r="E831" s="50" t="s">
        <v>1742</v>
      </c>
      <c r="F831" s="58">
        <v>13.38</v>
      </c>
      <c r="G831" s="50" t="s">
        <v>213</v>
      </c>
      <c r="H831" s="50" t="s">
        <v>2282</v>
      </c>
      <c r="I831" s="49" t="s">
        <v>173</v>
      </c>
      <c r="J831" s="50" t="s">
        <v>109</v>
      </c>
      <c r="K831" s="50" t="s">
        <v>109</v>
      </c>
      <c r="L831" s="50" t="s">
        <v>15</v>
      </c>
      <c r="M831" s="50" t="s">
        <v>13</v>
      </c>
      <c r="N831" s="50" t="s">
        <v>16</v>
      </c>
      <c r="O831" s="48" t="s">
        <v>631</v>
      </c>
      <c r="P831" s="45" t="s">
        <v>453</v>
      </c>
      <c r="Q831" s="35" t="str">
        <f>MID(Tabla1[[#This Row],[Aplicación]],14,1)</f>
        <v>2</v>
      </c>
      <c r="R831" s="35" t="s">
        <v>441</v>
      </c>
      <c r="S831" s="35" t="str">
        <f>MID(Tabla1[[#This Row],[Aplicación]],6,2)</f>
        <v>03</v>
      </c>
      <c r="T831" s="35" t="str">
        <f>VLOOKUP(Tabla1[[#This Row],[AREA]],Hoja1!A:B,2,FALSE)</f>
        <v>03. Participación ciudadana y deportes</v>
      </c>
      <c r="U831" s="35" t="str">
        <f>MID(Tabla1[[#This Row],[Aplicación]],9,4)</f>
        <v>9241</v>
      </c>
      <c r="V831" s="35" t="str">
        <f>VLOOKUP(Tabla1[[#This Row],[PROGRAMA]],Hoja1!A:B,2,FALSE)</f>
        <v>9241. Participación ciudadana</v>
      </c>
      <c r="W831" s="35" t="str">
        <f>MID(Tabla1[[#This Row],[Aplicación]],14,2)</f>
        <v>21</v>
      </c>
      <c r="X831" s="35" t="str">
        <f>MID(Tabla1[[#This Row],[Aplicación]],14,6)</f>
        <v>213</v>
      </c>
    </row>
    <row r="832" spans="1:24" x14ac:dyDescent="0.25">
      <c r="A832" s="49">
        <v>220220004251</v>
      </c>
      <c r="B832" s="50" t="s">
        <v>172</v>
      </c>
      <c r="C832" s="57">
        <v>44610</v>
      </c>
      <c r="D832" s="49">
        <v>22022001184</v>
      </c>
      <c r="E832" s="50" t="s">
        <v>2020</v>
      </c>
      <c r="F832" s="58">
        <v>12.58</v>
      </c>
      <c r="G832" s="50" t="s">
        <v>213</v>
      </c>
      <c r="H832" s="50" t="s">
        <v>2283</v>
      </c>
      <c r="I832" s="49" t="s">
        <v>173</v>
      </c>
      <c r="J832" s="50" t="s">
        <v>109</v>
      </c>
      <c r="K832" s="50" t="s">
        <v>109</v>
      </c>
      <c r="L832" s="50" t="s">
        <v>15</v>
      </c>
      <c r="M832" s="50" t="s">
        <v>13</v>
      </c>
      <c r="N832" s="50" t="s">
        <v>14</v>
      </c>
      <c r="O832" s="48" t="s">
        <v>631</v>
      </c>
      <c r="P832" s="45" t="s">
        <v>453</v>
      </c>
      <c r="Q832" s="35" t="str">
        <f>MID(Tabla1[[#This Row],[Aplicación]],14,1)</f>
        <v>2</v>
      </c>
      <c r="R832" s="35" t="s">
        <v>441</v>
      </c>
      <c r="S832" s="35" t="str">
        <f>MID(Tabla1[[#This Row],[Aplicación]],6,2)</f>
        <v>10</v>
      </c>
      <c r="T832" s="35" t="str">
        <f>VLOOKUP(Tabla1[[#This Row],[AREA]],Hoja1!A:B,2,FALSE)</f>
        <v>10. Servicios sociales y mediación comunitaria</v>
      </c>
      <c r="U832" s="35" t="str">
        <f>MID(Tabla1[[#This Row],[Aplicación]],9,4)</f>
        <v>2312</v>
      </c>
      <c r="V832" s="35" t="str">
        <f>VLOOKUP(Tabla1[[#This Row],[PROGRAMA]],Hoja1!A:B,2,FALSE)</f>
        <v>2312. Iniciativas sociales</v>
      </c>
      <c r="W832" s="35" t="str">
        <f>MID(Tabla1[[#This Row],[Aplicación]],14,2)</f>
        <v>21</v>
      </c>
      <c r="X832" s="35" t="str">
        <f>MID(Tabla1[[#This Row],[Aplicación]],14,6)</f>
        <v>212</v>
      </c>
    </row>
    <row r="833" spans="1:24" x14ac:dyDescent="0.25">
      <c r="A833" s="49">
        <v>220220002430</v>
      </c>
      <c r="B833" s="50" t="s">
        <v>172</v>
      </c>
      <c r="C833" s="57">
        <v>44594</v>
      </c>
      <c r="D833" s="49">
        <v>22022001169</v>
      </c>
      <c r="E833" s="50" t="s">
        <v>2045</v>
      </c>
      <c r="F833" s="58">
        <v>10.38</v>
      </c>
      <c r="G833" s="50" t="s">
        <v>213</v>
      </c>
      <c r="H833" s="50" t="s">
        <v>2284</v>
      </c>
      <c r="I833" s="49" t="s">
        <v>173</v>
      </c>
      <c r="J833" s="50" t="s">
        <v>109</v>
      </c>
      <c r="K833" s="50" t="s">
        <v>109</v>
      </c>
      <c r="L833" s="50" t="s">
        <v>15</v>
      </c>
      <c r="M833" s="50" t="s">
        <v>13</v>
      </c>
      <c r="N833" s="50" t="s">
        <v>14</v>
      </c>
      <c r="O833" s="48" t="s">
        <v>631</v>
      </c>
      <c r="P833" s="45" t="s">
        <v>453</v>
      </c>
      <c r="Q833" s="35" t="str">
        <f>MID(Tabla1[[#This Row],[Aplicación]],14,1)</f>
        <v>2</v>
      </c>
      <c r="R833" s="35" t="s">
        <v>441</v>
      </c>
      <c r="S833" s="35" t="str">
        <f>MID(Tabla1[[#This Row],[Aplicación]],6,2)</f>
        <v>10</v>
      </c>
      <c r="T833" s="35" t="str">
        <f>VLOOKUP(Tabla1[[#This Row],[AREA]],Hoja1!A:B,2,FALSE)</f>
        <v>10. Servicios sociales y mediación comunitaria</v>
      </c>
      <c r="U833" s="35" t="str">
        <f>MID(Tabla1[[#This Row],[Aplicación]],9,4)</f>
        <v>2412</v>
      </c>
      <c r="V833" s="35" t="str">
        <f>VLOOKUP(Tabla1[[#This Row],[PROGRAMA]],Hoja1!A:B,2,FALSE)</f>
        <v>2412. Formación para el empleo</v>
      </c>
      <c r="W833" s="35" t="str">
        <f>MID(Tabla1[[#This Row],[Aplicación]],14,2)</f>
        <v>21</v>
      </c>
      <c r="X833" s="35" t="str">
        <f>MID(Tabla1[[#This Row],[Aplicación]],14,6)</f>
        <v>212</v>
      </c>
    </row>
    <row r="834" spans="1:24" x14ac:dyDescent="0.25">
      <c r="A834" s="49">
        <v>220220002432</v>
      </c>
      <c r="B834" s="50" t="s">
        <v>172</v>
      </c>
      <c r="C834" s="57">
        <v>44594</v>
      </c>
      <c r="D834" s="49">
        <v>22022001174</v>
      </c>
      <c r="E834" s="50" t="s">
        <v>1579</v>
      </c>
      <c r="F834" s="58">
        <v>6.41</v>
      </c>
      <c r="G834" s="50" t="s">
        <v>213</v>
      </c>
      <c r="H834" s="50" t="s">
        <v>2285</v>
      </c>
      <c r="I834" s="49" t="s">
        <v>173</v>
      </c>
      <c r="J834" s="50" t="s">
        <v>109</v>
      </c>
      <c r="K834" s="50" t="s">
        <v>109</v>
      </c>
      <c r="L834" s="50" t="s">
        <v>15</v>
      </c>
      <c r="M834" s="50" t="s">
        <v>13</v>
      </c>
      <c r="N834" s="50" t="s">
        <v>14</v>
      </c>
      <c r="O834" s="48" t="s">
        <v>631</v>
      </c>
      <c r="P834" s="45" t="s">
        <v>453</v>
      </c>
      <c r="Q834" s="35" t="str">
        <f>MID(Tabla1[[#This Row],[Aplicación]],14,1)</f>
        <v>2</v>
      </c>
      <c r="R834" s="35" t="s">
        <v>441</v>
      </c>
      <c r="S834" s="35" t="str">
        <f>MID(Tabla1[[#This Row],[Aplicación]],6,2)</f>
        <v>10</v>
      </c>
      <c r="T834" s="35" t="str">
        <f>VLOOKUP(Tabla1[[#This Row],[AREA]],Hoja1!A:B,2,FALSE)</f>
        <v>10. Servicios sociales y mediación comunitaria</v>
      </c>
      <c r="U834" s="35" t="str">
        <f>MID(Tabla1[[#This Row],[Aplicación]],9,4)</f>
        <v>2412</v>
      </c>
      <c r="V834" s="35" t="str">
        <f>VLOOKUP(Tabla1[[#This Row],[PROGRAMA]],Hoja1!A:B,2,FALSE)</f>
        <v>2412. Formación para el empleo</v>
      </c>
      <c r="W834" s="35" t="str">
        <f>MID(Tabla1[[#This Row],[Aplicación]],14,2)</f>
        <v>22</v>
      </c>
      <c r="X834" s="35" t="str">
        <f>MID(Tabla1[[#This Row],[Aplicación]],14,6)</f>
        <v>22199</v>
      </c>
    </row>
    <row r="835" spans="1:24" x14ac:dyDescent="0.25">
      <c r="A835" s="49">
        <v>220219000743</v>
      </c>
      <c r="B835" s="50" t="s">
        <v>9</v>
      </c>
      <c r="C835" s="57">
        <v>44562</v>
      </c>
      <c r="D835" s="49">
        <v>22022001804</v>
      </c>
      <c r="E835" s="50" t="s">
        <v>1659</v>
      </c>
      <c r="F835" s="58">
        <v>9225.2800000000007</v>
      </c>
      <c r="G835" s="50" t="s">
        <v>502</v>
      </c>
      <c r="H835" s="50" t="s">
        <v>1222</v>
      </c>
      <c r="I835" s="49" t="s">
        <v>107</v>
      </c>
      <c r="J835" s="50" t="s">
        <v>544</v>
      </c>
      <c r="K835" s="50" t="s">
        <v>109</v>
      </c>
      <c r="L835" s="50" t="s">
        <v>12</v>
      </c>
      <c r="M835" s="50" t="s">
        <v>10</v>
      </c>
      <c r="N835" s="50" t="s">
        <v>11</v>
      </c>
      <c r="O835" s="48" t="s">
        <v>632</v>
      </c>
      <c r="P835" s="45" t="s">
        <v>453</v>
      </c>
      <c r="Q835" s="35" t="str">
        <f>MID(Tabla1[[#This Row],[Aplicación]],14,1)</f>
        <v>2</v>
      </c>
      <c r="R835" s="35" t="s">
        <v>441</v>
      </c>
      <c r="S835" s="35" t="str">
        <f>MID(Tabla1[[#This Row],[Aplicación]],6,2)</f>
        <v>05</v>
      </c>
      <c r="T835" s="35" t="str">
        <f>VLOOKUP(Tabla1[[#This Row],[AREA]],Hoja1!A:B,2,FALSE)</f>
        <v>05. Innovación, desarrollo económico, empleo y comercio</v>
      </c>
      <c r="U835" s="35" t="str">
        <f>MID(Tabla1[[#This Row],[Aplicación]],9,4)</f>
        <v>4331</v>
      </c>
      <c r="V835" s="35" t="str">
        <f>VLOOKUP(Tabla1[[#This Row],[PROGRAMA]],Hoja1!A:B,2,FALSE)</f>
        <v>4331. Desarrollo empresarial</v>
      </c>
      <c r="W835" s="35" t="str">
        <f>MID(Tabla1[[#This Row],[Aplicación]],14,2)</f>
        <v>22</v>
      </c>
      <c r="X835" s="35" t="str">
        <f>MID(Tabla1[[#This Row],[Aplicación]],14,6)</f>
        <v>22799</v>
      </c>
    </row>
    <row r="836" spans="1:24" x14ac:dyDescent="0.25">
      <c r="A836" s="49">
        <v>220220001598</v>
      </c>
      <c r="B836" s="50" t="s">
        <v>9</v>
      </c>
      <c r="C836" s="57">
        <v>44587</v>
      </c>
      <c r="D836" s="49">
        <v>22022001276</v>
      </c>
      <c r="E836" s="50" t="s">
        <v>1762</v>
      </c>
      <c r="F836" s="58">
        <v>395</v>
      </c>
      <c r="G836" s="50" t="s">
        <v>1020</v>
      </c>
      <c r="H836" s="50" t="s">
        <v>2286</v>
      </c>
      <c r="I836" s="49" t="s">
        <v>107</v>
      </c>
      <c r="J836" s="50" t="s">
        <v>108</v>
      </c>
      <c r="K836" s="50" t="s">
        <v>108</v>
      </c>
      <c r="L836" s="50" t="s">
        <v>15</v>
      </c>
      <c r="M836" s="50" t="s">
        <v>10</v>
      </c>
      <c r="N836" s="50" t="s">
        <v>11</v>
      </c>
      <c r="O836" s="48" t="s">
        <v>632</v>
      </c>
      <c r="P836" s="45" t="s">
        <v>453</v>
      </c>
      <c r="Q836" s="35" t="str">
        <f>MID(Tabla1[[#This Row],[Aplicación]],14,1)</f>
        <v>2</v>
      </c>
      <c r="R836" s="35" t="s">
        <v>441</v>
      </c>
      <c r="S836" s="35" t="str">
        <f>MID(Tabla1[[#This Row],[Aplicación]],6,2)</f>
        <v>06</v>
      </c>
      <c r="T836" s="35" t="str">
        <f>VLOOKUP(Tabla1[[#This Row],[AREA]],Hoja1!A:B,2,FALSE)</f>
        <v>06. Educación, infancia, juventud e igualdad</v>
      </c>
      <c r="U836" s="35" t="str">
        <f>MID(Tabla1[[#This Row],[Aplicación]],9,4)</f>
        <v>3321</v>
      </c>
      <c r="V836" s="35" t="str">
        <f>VLOOKUP(Tabla1[[#This Row],[PROGRAMA]],Hoja1!A:B,2,FALSE)</f>
        <v>3321. Bibliotecas públicas</v>
      </c>
      <c r="W836" s="35" t="str">
        <f>MID(Tabla1[[#This Row],[Aplicación]],14,2)</f>
        <v>22</v>
      </c>
      <c r="X836" s="35" t="str">
        <f>MID(Tabla1[[#This Row],[Aplicación]],14,6)</f>
        <v>22001</v>
      </c>
    </row>
    <row r="837" spans="1:24" x14ac:dyDescent="0.25">
      <c r="A837" s="49">
        <v>220219000849</v>
      </c>
      <c r="B837" s="50" t="s">
        <v>9</v>
      </c>
      <c r="C837" s="57">
        <v>44562</v>
      </c>
      <c r="D837" s="49">
        <v>22022000604</v>
      </c>
      <c r="E837" s="50" t="s">
        <v>1361</v>
      </c>
      <c r="F837" s="58">
        <v>32175</v>
      </c>
      <c r="G837" s="50" t="s">
        <v>75</v>
      </c>
      <c r="H837" s="50" t="s">
        <v>2287</v>
      </c>
      <c r="I837" s="49" t="s">
        <v>107</v>
      </c>
      <c r="J837" s="50" t="s">
        <v>109</v>
      </c>
      <c r="K837" s="50" t="s">
        <v>109</v>
      </c>
      <c r="L837" s="50" t="s">
        <v>12</v>
      </c>
      <c r="M837" s="50" t="s">
        <v>13</v>
      </c>
      <c r="N837" s="50" t="s">
        <v>14</v>
      </c>
      <c r="O837" s="48" t="s">
        <v>620</v>
      </c>
      <c r="P837" s="45" t="s">
        <v>453</v>
      </c>
      <c r="Q837" s="35" t="str">
        <f>MID(Tabla1[[#This Row],[Aplicación]],14,1)</f>
        <v>2</v>
      </c>
      <c r="R837" s="35" t="s">
        <v>441</v>
      </c>
      <c r="S837" s="35" t="str">
        <f>MID(Tabla1[[#This Row],[Aplicación]],6,2)</f>
        <v>10</v>
      </c>
      <c r="T837" s="35" t="str">
        <f>VLOOKUP(Tabla1[[#This Row],[AREA]],Hoja1!A:B,2,FALSE)</f>
        <v>10. Servicios sociales y mediación comunitaria</v>
      </c>
      <c r="U837" s="35" t="str">
        <f>MID(Tabla1[[#This Row],[Aplicación]],9,4)</f>
        <v>2311</v>
      </c>
      <c r="V837" s="35" t="str">
        <f>VLOOKUP(Tabla1[[#This Row],[PROGRAMA]],Hoja1!A:B,2,FALSE)</f>
        <v>2311. Intervención social</v>
      </c>
      <c r="W837" s="35" t="str">
        <f>MID(Tabla1[[#This Row],[Aplicación]],14,2)</f>
        <v>22</v>
      </c>
      <c r="X837" s="35" t="str">
        <f>MID(Tabla1[[#This Row],[Aplicación]],14,6)</f>
        <v>22799</v>
      </c>
    </row>
    <row r="838" spans="1:24" x14ac:dyDescent="0.25">
      <c r="A838" s="49">
        <v>220209000647</v>
      </c>
      <c r="B838" s="50" t="s">
        <v>9</v>
      </c>
      <c r="C838" s="57">
        <v>44562</v>
      </c>
      <c r="D838" s="49">
        <v>22022000223</v>
      </c>
      <c r="E838" s="50" t="s">
        <v>1361</v>
      </c>
      <c r="F838" s="58">
        <v>8655</v>
      </c>
      <c r="G838" s="50" t="s">
        <v>75</v>
      </c>
      <c r="H838" s="50" t="s">
        <v>693</v>
      </c>
      <c r="I838" s="49" t="s">
        <v>107</v>
      </c>
      <c r="J838" s="50" t="s">
        <v>109</v>
      </c>
      <c r="K838" s="50" t="s">
        <v>109</v>
      </c>
      <c r="L838" s="50" t="s">
        <v>12</v>
      </c>
      <c r="M838" s="50" t="s">
        <v>13</v>
      </c>
      <c r="N838" s="50" t="s">
        <v>14</v>
      </c>
      <c r="O838" s="48" t="s">
        <v>620</v>
      </c>
      <c r="P838" s="45" t="s">
        <v>453</v>
      </c>
      <c r="Q838" s="35" t="str">
        <f>MID(Tabla1[[#This Row],[Aplicación]],14,1)</f>
        <v>2</v>
      </c>
      <c r="R838" s="35" t="s">
        <v>441</v>
      </c>
      <c r="S838" s="35" t="str">
        <f>MID(Tabla1[[#This Row],[Aplicación]],6,2)</f>
        <v>10</v>
      </c>
      <c r="T838" s="35" t="str">
        <f>VLOOKUP(Tabla1[[#This Row],[AREA]],Hoja1!A:B,2,FALSE)</f>
        <v>10. Servicios sociales y mediación comunitaria</v>
      </c>
      <c r="U838" s="35" t="str">
        <f>MID(Tabla1[[#This Row],[Aplicación]],9,4)</f>
        <v>2311</v>
      </c>
      <c r="V838" s="35" t="str">
        <f>VLOOKUP(Tabla1[[#This Row],[PROGRAMA]],Hoja1!A:B,2,FALSE)</f>
        <v>2311. Intervención social</v>
      </c>
      <c r="W838" s="35" t="str">
        <f>MID(Tabla1[[#This Row],[Aplicación]],14,2)</f>
        <v>22</v>
      </c>
      <c r="X838" s="35" t="str">
        <f>MID(Tabla1[[#This Row],[Aplicación]],14,6)</f>
        <v>22799</v>
      </c>
    </row>
    <row r="839" spans="1:24" x14ac:dyDescent="0.25">
      <c r="A839" s="49">
        <v>220220002290</v>
      </c>
      <c r="B839" s="50" t="s">
        <v>9</v>
      </c>
      <c r="C839" s="57">
        <v>44593</v>
      </c>
      <c r="D839" s="49">
        <v>22022001794</v>
      </c>
      <c r="E839" s="50" t="s">
        <v>2012</v>
      </c>
      <c r="F839" s="58">
        <v>289</v>
      </c>
      <c r="G839" s="50" t="s">
        <v>104</v>
      </c>
      <c r="H839" s="50" t="s">
        <v>2288</v>
      </c>
      <c r="I839" s="49" t="s">
        <v>107</v>
      </c>
      <c r="J839" s="50" t="s">
        <v>109</v>
      </c>
      <c r="K839" s="50" t="s">
        <v>109</v>
      </c>
      <c r="L839" s="50" t="s">
        <v>15</v>
      </c>
      <c r="M839" s="50" t="s">
        <v>10</v>
      </c>
      <c r="N839" s="50" t="s">
        <v>11</v>
      </c>
      <c r="O839" s="48" t="s">
        <v>632</v>
      </c>
      <c r="P839" s="45" t="s">
        <v>453</v>
      </c>
      <c r="Q839" s="35" t="str">
        <f>MID(Tabla1[[#This Row],[Aplicación]],14,1)</f>
        <v>2</v>
      </c>
      <c r="R839" s="35" t="s">
        <v>441</v>
      </c>
      <c r="S839" s="35" t="str">
        <f>MID(Tabla1[[#This Row],[Aplicación]],6,2)</f>
        <v>11</v>
      </c>
      <c r="T839" s="35" t="str">
        <f>VLOOKUP(Tabla1[[#This Row],[AREA]],Hoja1!A:B,2,FALSE)</f>
        <v>11. Salud pública y seguridad ciudadana</v>
      </c>
      <c r="U839" s="35" t="str">
        <f>MID(Tabla1[[#This Row],[Aplicación]],9,4)</f>
        <v>1321</v>
      </c>
      <c r="V839" s="35" t="str">
        <f>VLOOKUP(Tabla1[[#This Row],[PROGRAMA]],Hoja1!A:B,2,FALSE)</f>
        <v>1321. Policía municipal</v>
      </c>
      <c r="W839" s="35" t="str">
        <f>MID(Tabla1[[#This Row],[Aplicación]],14,2)</f>
        <v>22</v>
      </c>
      <c r="X839" s="35" t="str">
        <f>MID(Tabla1[[#This Row],[Aplicación]],14,6)</f>
        <v>22199</v>
      </c>
    </row>
    <row r="840" spans="1:24" x14ac:dyDescent="0.25">
      <c r="A840" s="49">
        <v>220220003499</v>
      </c>
      <c r="B840" s="50" t="s">
        <v>9</v>
      </c>
      <c r="C840" s="57">
        <v>44606</v>
      </c>
      <c r="D840" s="49">
        <v>22022002231</v>
      </c>
      <c r="E840" s="50" t="s">
        <v>2012</v>
      </c>
      <c r="F840" s="58">
        <v>108.9</v>
      </c>
      <c r="G840" s="50" t="s">
        <v>104</v>
      </c>
      <c r="H840" s="50" t="s">
        <v>2289</v>
      </c>
      <c r="I840" s="49" t="s">
        <v>107</v>
      </c>
      <c r="J840" s="50" t="s">
        <v>109</v>
      </c>
      <c r="K840" s="50" t="s">
        <v>109</v>
      </c>
      <c r="L840" s="50" t="s">
        <v>15</v>
      </c>
      <c r="M840" s="50" t="s">
        <v>10</v>
      </c>
      <c r="N840" s="50" t="s">
        <v>11</v>
      </c>
      <c r="O840" s="48" t="s">
        <v>632</v>
      </c>
      <c r="P840" s="45" t="s">
        <v>453</v>
      </c>
      <c r="Q840" s="35" t="str">
        <f>MID(Tabla1[[#This Row],[Aplicación]],14,1)</f>
        <v>2</v>
      </c>
      <c r="R840" s="35" t="s">
        <v>441</v>
      </c>
      <c r="S840" s="35" t="str">
        <f>MID(Tabla1[[#This Row],[Aplicación]],6,2)</f>
        <v>11</v>
      </c>
      <c r="T840" s="35" t="str">
        <f>VLOOKUP(Tabla1[[#This Row],[AREA]],Hoja1!A:B,2,FALSE)</f>
        <v>11. Salud pública y seguridad ciudadana</v>
      </c>
      <c r="U840" s="35" t="str">
        <f>MID(Tabla1[[#This Row],[Aplicación]],9,4)</f>
        <v>1321</v>
      </c>
      <c r="V840" s="35" t="str">
        <f>VLOOKUP(Tabla1[[#This Row],[PROGRAMA]],Hoja1!A:B,2,FALSE)</f>
        <v>1321. Policía municipal</v>
      </c>
      <c r="W840" s="35" t="str">
        <f>MID(Tabla1[[#This Row],[Aplicación]],14,2)</f>
        <v>22</v>
      </c>
      <c r="X840" s="35" t="str">
        <f>MID(Tabla1[[#This Row],[Aplicación]],14,6)</f>
        <v>22199</v>
      </c>
    </row>
    <row r="841" spans="1:24" x14ac:dyDescent="0.25">
      <c r="A841" s="49">
        <v>220220003446</v>
      </c>
      <c r="B841" s="50" t="s">
        <v>9</v>
      </c>
      <c r="C841" s="57">
        <v>44603</v>
      </c>
      <c r="D841" s="49">
        <v>22022002121</v>
      </c>
      <c r="E841" s="50" t="s">
        <v>1832</v>
      </c>
      <c r="F841" s="58">
        <v>40</v>
      </c>
      <c r="G841" s="50" t="s">
        <v>104</v>
      </c>
      <c r="H841" s="50" t="s">
        <v>2290</v>
      </c>
      <c r="I841" s="49" t="s">
        <v>107</v>
      </c>
      <c r="J841" s="50" t="s">
        <v>109</v>
      </c>
      <c r="K841" s="50" t="s">
        <v>109</v>
      </c>
      <c r="L841" s="50" t="s">
        <v>15</v>
      </c>
      <c r="M841" s="50" t="s">
        <v>10</v>
      </c>
      <c r="N841" s="50" t="s">
        <v>11</v>
      </c>
      <c r="O841" s="48" t="s">
        <v>632</v>
      </c>
      <c r="P841" s="45" t="s">
        <v>453</v>
      </c>
      <c r="Q841" s="35" t="str">
        <f>MID(Tabla1[[#This Row],[Aplicación]],14,1)</f>
        <v>2</v>
      </c>
      <c r="R841" s="35" t="s">
        <v>441</v>
      </c>
      <c r="S841" s="35" t="str">
        <f>MID(Tabla1[[#This Row],[Aplicación]],6,2)</f>
        <v>03</v>
      </c>
      <c r="T841" s="35" t="str">
        <f>VLOOKUP(Tabla1[[#This Row],[AREA]],Hoja1!A:B,2,FALSE)</f>
        <v>03. Participación ciudadana y deportes</v>
      </c>
      <c r="U841" s="35" t="str">
        <f>MID(Tabla1[[#This Row],[Aplicación]],9,4)</f>
        <v>9241</v>
      </c>
      <c r="V841" s="35" t="str">
        <f>VLOOKUP(Tabla1[[#This Row],[PROGRAMA]],Hoja1!A:B,2,FALSE)</f>
        <v>9241. Participación ciudadana</v>
      </c>
      <c r="W841" s="35" t="str">
        <f>MID(Tabla1[[#This Row],[Aplicación]],14,2)</f>
        <v>22</v>
      </c>
      <c r="X841" s="35" t="str">
        <f>MID(Tabla1[[#This Row],[Aplicación]],14,6)</f>
        <v>22199</v>
      </c>
    </row>
    <row r="842" spans="1:24" x14ac:dyDescent="0.25">
      <c r="A842" s="49">
        <v>220220003447</v>
      </c>
      <c r="B842" s="50" t="s">
        <v>9</v>
      </c>
      <c r="C842" s="57">
        <v>44603</v>
      </c>
      <c r="D842" s="49">
        <v>22022002066</v>
      </c>
      <c r="E842" s="50" t="s">
        <v>2291</v>
      </c>
      <c r="F842" s="58">
        <v>553.9</v>
      </c>
      <c r="G842" s="50" t="s">
        <v>104</v>
      </c>
      <c r="H842" s="50" t="s">
        <v>2292</v>
      </c>
      <c r="I842" s="49" t="s">
        <v>107</v>
      </c>
      <c r="J842" s="50" t="s">
        <v>109</v>
      </c>
      <c r="K842" s="50" t="s">
        <v>109</v>
      </c>
      <c r="L842" s="50" t="s">
        <v>15</v>
      </c>
      <c r="M842" s="50" t="s">
        <v>10</v>
      </c>
      <c r="N842" s="50" t="s">
        <v>11</v>
      </c>
      <c r="O842" s="48" t="s">
        <v>632</v>
      </c>
      <c r="P842" s="45" t="s">
        <v>453</v>
      </c>
      <c r="Q842" s="35" t="str">
        <f>MID(Tabla1[[#This Row],[Aplicación]],14,1)</f>
        <v>6</v>
      </c>
      <c r="R842" s="35" t="s">
        <v>442</v>
      </c>
      <c r="S842" s="35" t="str">
        <f>MID(Tabla1[[#This Row],[Aplicación]],6,2)</f>
        <v>03</v>
      </c>
      <c r="T842" s="35" t="str">
        <f>VLOOKUP(Tabla1[[#This Row],[AREA]],Hoja1!A:B,2,FALSE)</f>
        <v>03. Participación ciudadana y deportes</v>
      </c>
      <c r="U842" s="35" t="str">
        <f>MID(Tabla1[[#This Row],[Aplicación]],9,4)</f>
        <v>9241</v>
      </c>
      <c r="V842" s="35" t="str">
        <f>VLOOKUP(Tabla1[[#This Row],[PROGRAMA]],Hoja1!A:B,2,FALSE)</f>
        <v>9241. Participación ciudadana</v>
      </c>
      <c r="W842" s="35" t="str">
        <f>MID(Tabla1[[#This Row],[Aplicación]],14,2)</f>
        <v>63</v>
      </c>
      <c r="X842" s="35" t="str">
        <f>MID(Tabla1[[#This Row],[Aplicación]],14,6)</f>
        <v>635</v>
      </c>
    </row>
    <row r="843" spans="1:24" x14ac:dyDescent="0.25">
      <c r="A843" s="49">
        <v>220220000116</v>
      </c>
      <c r="B843" s="50" t="s">
        <v>9</v>
      </c>
      <c r="C843" s="57">
        <v>44581</v>
      </c>
      <c r="D843" s="49">
        <v>22022001084</v>
      </c>
      <c r="E843" s="50" t="s">
        <v>1611</v>
      </c>
      <c r="F843" s="58">
        <v>2152.84</v>
      </c>
      <c r="G843" s="50" t="s">
        <v>216</v>
      </c>
      <c r="H843" s="50" t="s">
        <v>2293</v>
      </c>
      <c r="I843" s="49" t="s">
        <v>107</v>
      </c>
      <c r="J843" s="50" t="s">
        <v>108</v>
      </c>
      <c r="K843" s="50" t="s">
        <v>108</v>
      </c>
      <c r="L843" s="50" t="s">
        <v>15</v>
      </c>
      <c r="M843" s="50" t="s">
        <v>10</v>
      </c>
      <c r="N843" s="50" t="s">
        <v>11</v>
      </c>
      <c r="O843" s="48" t="s">
        <v>632</v>
      </c>
      <c r="P843" s="45" t="s">
        <v>453</v>
      </c>
      <c r="Q843" s="35" t="str">
        <f>MID(Tabla1[[#This Row],[Aplicación]],14,1)</f>
        <v>2</v>
      </c>
      <c r="R843" s="35" t="s">
        <v>441</v>
      </c>
      <c r="S843" s="35" t="str">
        <f>MID(Tabla1[[#This Row],[Aplicación]],6,2)</f>
        <v>01</v>
      </c>
      <c r="T843" s="35" t="str">
        <f>VLOOKUP(Tabla1[[#This Row],[AREA]],Hoja1!A:B,2,FALSE)</f>
        <v>01. Alcaldía</v>
      </c>
      <c r="U843" s="35" t="str">
        <f>MID(Tabla1[[#This Row],[Aplicación]],9,4)</f>
        <v>9207</v>
      </c>
      <c r="V843" s="35" t="str">
        <f>VLOOKUP(Tabla1[[#This Row],[PROGRAMA]],Hoja1!A:B,2,FALSE)</f>
        <v>9207. Gobierno y relaciones</v>
      </c>
      <c r="W843" s="35" t="str">
        <f>MID(Tabla1[[#This Row],[Aplicación]],14,2)</f>
        <v>22</v>
      </c>
      <c r="X843" s="35" t="str">
        <f>MID(Tabla1[[#This Row],[Aplicación]],14,6)</f>
        <v>22001</v>
      </c>
    </row>
    <row r="844" spans="1:24" x14ac:dyDescent="0.25">
      <c r="A844" s="49">
        <v>220219000778</v>
      </c>
      <c r="B844" s="50" t="s">
        <v>9</v>
      </c>
      <c r="C844" s="57">
        <v>44562</v>
      </c>
      <c r="D844" s="49">
        <v>22022000598</v>
      </c>
      <c r="E844" s="50" t="s">
        <v>1780</v>
      </c>
      <c r="F844" s="58">
        <v>4000</v>
      </c>
      <c r="G844" s="50" t="s">
        <v>75</v>
      </c>
      <c r="H844" s="50" t="s">
        <v>2294</v>
      </c>
      <c r="I844" s="49" t="s">
        <v>107</v>
      </c>
      <c r="J844" s="50" t="s">
        <v>109</v>
      </c>
      <c r="K844" s="50" t="s">
        <v>109</v>
      </c>
      <c r="L844" s="50" t="s">
        <v>12</v>
      </c>
      <c r="M844" s="50" t="s">
        <v>10</v>
      </c>
      <c r="N844" s="50" t="s">
        <v>11</v>
      </c>
      <c r="O844" s="48" t="s">
        <v>632</v>
      </c>
      <c r="P844" s="45" t="s">
        <v>453</v>
      </c>
      <c r="Q844" s="35" t="str">
        <f>MID(Tabla1[[#This Row],[Aplicación]],14,1)</f>
        <v>2</v>
      </c>
      <c r="R844" s="35" t="s">
        <v>441</v>
      </c>
      <c r="S844" s="35" t="str">
        <f>MID(Tabla1[[#This Row],[Aplicación]],6,2)</f>
        <v>10</v>
      </c>
      <c r="T844" s="35" t="str">
        <f>VLOOKUP(Tabla1[[#This Row],[AREA]],Hoja1!A:B,2,FALSE)</f>
        <v>10. Servicios sociales y mediación comunitaria</v>
      </c>
      <c r="U844" s="35" t="str">
        <f>MID(Tabla1[[#This Row],[Aplicación]],9,4)</f>
        <v>2316</v>
      </c>
      <c r="V844" s="35" t="str">
        <f>VLOOKUP(Tabla1[[#This Row],[PROGRAMA]],Hoja1!A:B,2,FALSE)</f>
        <v>2316. Mediación comunitaria</v>
      </c>
      <c r="W844" s="35" t="str">
        <f>MID(Tabla1[[#This Row],[Aplicación]],14,2)</f>
        <v>22</v>
      </c>
      <c r="X844" s="35" t="str">
        <f>MID(Tabla1[[#This Row],[Aplicación]],14,6)</f>
        <v>22799</v>
      </c>
    </row>
    <row r="845" spans="1:24" x14ac:dyDescent="0.25">
      <c r="A845" s="49">
        <v>220220006687</v>
      </c>
      <c r="B845" s="50" t="s">
        <v>9</v>
      </c>
      <c r="C845" s="57">
        <v>44617</v>
      </c>
      <c r="D845" s="49">
        <v>22022001180</v>
      </c>
      <c r="E845" s="50" t="s">
        <v>2214</v>
      </c>
      <c r="F845" s="58">
        <v>5500</v>
      </c>
      <c r="G845" s="50" t="s">
        <v>55</v>
      </c>
      <c r="H845" s="50" t="s">
        <v>2256</v>
      </c>
      <c r="I845" s="49" t="s">
        <v>107</v>
      </c>
      <c r="J845" s="50" t="s">
        <v>109</v>
      </c>
      <c r="K845" s="50" t="s">
        <v>109</v>
      </c>
      <c r="L845" s="50" t="s">
        <v>12</v>
      </c>
      <c r="M845" s="50" t="s">
        <v>13</v>
      </c>
      <c r="N845" s="50" t="s">
        <v>14</v>
      </c>
      <c r="O845" s="48" t="s">
        <v>631</v>
      </c>
      <c r="P845" s="45" t="s">
        <v>453</v>
      </c>
      <c r="Q845" s="35" t="str">
        <f>MID(Tabla1[[#This Row],[Aplicación]],14,1)</f>
        <v>2</v>
      </c>
      <c r="R845" s="35" t="s">
        <v>441</v>
      </c>
      <c r="S845" s="35" t="str">
        <f>MID(Tabla1[[#This Row],[Aplicación]],6,2)</f>
        <v>04</v>
      </c>
      <c r="T845" s="35" t="str">
        <f>VLOOKUP(Tabla1[[#This Row],[AREA]],Hoja1!A:B,2,FALSE)</f>
        <v>04. Planificación y recursos</v>
      </c>
      <c r="U845" s="35" t="str">
        <f>MID(Tabla1[[#This Row],[Aplicación]],9,4)</f>
        <v>9321</v>
      </c>
      <c r="V845" s="35" t="str">
        <f>VLOOKUP(Tabla1[[#This Row],[PROGRAMA]],Hoja1!A:B,2,FALSE)</f>
        <v>9321. Gestión de ingresos e inspección</v>
      </c>
      <c r="W845" s="35" t="str">
        <f>MID(Tabla1[[#This Row],[Aplicación]],14,2)</f>
        <v>22</v>
      </c>
      <c r="X845" s="35" t="str">
        <f>MID(Tabla1[[#This Row],[Aplicación]],14,6)</f>
        <v>22602</v>
      </c>
    </row>
    <row r="846" spans="1:24" x14ac:dyDescent="0.25">
      <c r="A846" s="49">
        <v>220210033086</v>
      </c>
      <c r="B846" s="50" t="s">
        <v>9</v>
      </c>
      <c r="C846" s="57">
        <v>44620</v>
      </c>
      <c r="D846" s="49">
        <v>22021002765</v>
      </c>
      <c r="E846" s="50" t="s">
        <v>1368</v>
      </c>
      <c r="F846" s="58">
        <v>81605.31</v>
      </c>
      <c r="G846" s="50" t="s">
        <v>259</v>
      </c>
      <c r="H846" s="50" t="s">
        <v>979</v>
      </c>
      <c r="I846" s="49" t="s">
        <v>107</v>
      </c>
      <c r="J846" s="50" t="s">
        <v>109</v>
      </c>
      <c r="K846" s="50" t="s">
        <v>109</v>
      </c>
      <c r="L846" s="50" t="s">
        <v>25</v>
      </c>
      <c r="M846" s="50" t="s">
        <v>13</v>
      </c>
      <c r="N846" s="50" t="s">
        <v>14</v>
      </c>
      <c r="O846" s="48" t="s">
        <v>620</v>
      </c>
      <c r="P846" s="45" t="s">
        <v>453</v>
      </c>
      <c r="Q846" s="35" t="str">
        <f>MID(Tabla1[[#This Row],[Aplicación]],14,1)</f>
        <v>6</v>
      </c>
      <c r="R846" s="35" t="s">
        <v>442</v>
      </c>
      <c r="S846" s="35" t="str">
        <f>MID(Tabla1[[#This Row],[Aplicación]],6,2)</f>
        <v>08</v>
      </c>
      <c r="T846" s="35" t="str">
        <f>VLOOKUP(Tabla1[[#This Row],[AREA]],Hoja1!A:B,2,FALSE)</f>
        <v>08. Movilidad y espacio urbano</v>
      </c>
      <c r="U846" s="35" t="str">
        <f>MID(Tabla1[[#This Row],[Aplicación]],9,4)</f>
        <v>1532</v>
      </c>
      <c r="V846" s="35" t="str">
        <f>VLOOKUP(Tabla1[[#This Row],[PROGRAMA]],Hoja1!A:B,2,FALSE)</f>
        <v>1532. Pavimentación vias públicas y otros servicios urbanísticos</v>
      </c>
      <c r="W846" s="35" t="str">
        <f>MID(Tabla1[[#This Row],[Aplicación]],14,2)</f>
        <v>61</v>
      </c>
      <c r="X846" s="35" t="str">
        <f>MID(Tabla1[[#This Row],[Aplicación]],14,6)</f>
        <v>619</v>
      </c>
    </row>
    <row r="847" spans="1:24" x14ac:dyDescent="0.25">
      <c r="A847" s="49">
        <v>220220002268</v>
      </c>
      <c r="B847" s="50" t="s">
        <v>9</v>
      </c>
      <c r="C847" s="57">
        <v>44592</v>
      </c>
      <c r="D847" s="49">
        <v>22022001778</v>
      </c>
      <c r="E847" s="50" t="s">
        <v>1890</v>
      </c>
      <c r="F847" s="58">
        <v>191.99</v>
      </c>
      <c r="G847" s="50" t="s">
        <v>2295</v>
      </c>
      <c r="H847" s="50" t="s">
        <v>2296</v>
      </c>
      <c r="I847" s="49" t="s">
        <v>107</v>
      </c>
      <c r="J847" s="50" t="s">
        <v>109</v>
      </c>
      <c r="K847" s="50" t="s">
        <v>109</v>
      </c>
      <c r="L847" s="50" t="s">
        <v>15</v>
      </c>
      <c r="M847" s="50" t="s">
        <v>10</v>
      </c>
      <c r="N847" s="50" t="s">
        <v>11</v>
      </c>
      <c r="O847" s="48" t="s">
        <v>632</v>
      </c>
      <c r="P847" s="45" t="s">
        <v>453</v>
      </c>
      <c r="Q847" s="35" t="str">
        <f>MID(Tabla1[[#This Row],[Aplicación]],14,1)</f>
        <v>2</v>
      </c>
      <c r="R847" s="35" t="s">
        <v>441</v>
      </c>
      <c r="S847" s="35" t="str">
        <f>MID(Tabla1[[#This Row],[Aplicación]],6,2)</f>
        <v>02</v>
      </c>
      <c r="T847" s="35" t="str">
        <f>VLOOKUP(Tabla1[[#This Row],[AREA]],Hoja1!A:B,2,FALSE)</f>
        <v>02. Planeamiento urbanístico y vivienda</v>
      </c>
      <c r="U847" s="35" t="str">
        <f>MID(Tabla1[[#This Row],[Aplicación]],9,4)</f>
        <v>9332</v>
      </c>
      <c r="V847" s="35" t="str">
        <f>VLOOKUP(Tabla1[[#This Row],[PROGRAMA]],Hoja1!A:B,2,FALSE)</f>
        <v>9332. Mantenimiento de edificios e instalaciones municipales</v>
      </c>
      <c r="W847" s="35" t="str">
        <f>MID(Tabla1[[#This Row],[Aplicación]],14,2)</f>
        <v>21</v>
      </c>
      <c r="X847" s="35" t="str">
        <f>MID(Tabla1[[#This Row],[Aplicación]],14,6)</f>
        <v>212</v>
      </c>
    </row>
    <row r="848" spans="1:24" x14ac:dyDescent="0.25">
      <c r="A848" s="49">
        <v>220220000080</v>
      </c>
      <c r="B848" s="50" t="s">
        <v>9</v>
      </c>
      <c r="C848" s="57">
        <v>44580</v>
      </c>
      <c r="D848" s="49">
        <v>22022001156</v>
      </c>
      <c r="E848" s="50" t="s">
        <v>1644</v>
      </c>
      <c r="F848" s="58">
        <v>3000</v>
      </c>
      <c r="G848" s="50" t="s">
        <v>475</v>
      </c>
      <c r="H848" s="50" t="s">
        <v>2297</v>
      </c>
      <c r="I848" s="49" t="s">
        <v>107</v>
      </c>
      <c r="J848" s="50" t="s">
        <v>547</v>
      </c>
      <c r="K848" s="50" t="s">
        <v>109</v>
      </c>
      <c r="L848" s="50" t="s">
        <v>15</v>
      </c>
      <c r="M848" s="50" t="s">
        <v>10</v>
      </c>
      <c r="N848" s="50" t="s">
        <v>11</v>
      </c>
      <c r="O848" s="48" t="s">
        <v>632</v>
      </c>
      <c r="P848" s="45" t="s">
        <v>453</v>
      </c>
      <c r="Q848" s="35" t="str">
        <f>MID(Tabla1[[#This Row],[Aplicación]],14,1)</f>
        <v>2</v>
      </c>
      <c r="R848" s="35" t="s">
        <v>441</v>
      </c>
      <c r="S848" s="35" t="str">
        <f>MID(Tabla1[[#This Row],[Aplicación]],6,2)</f>
        <v>11</v>
      </c>
      <c r="T848" s="35" t="str">
        <f>VLOOKUP(Tabla1[[#This Row],[AREA]],Hoja1!A:B,2,FALSE)</f>
        <v>11. Salud pública y seguridad ciudadana</v>
      </c>
      <c r="U848" s="35" t="str">
        <f>MID(Tabla1[[#This Row],[Aplicación]],9,4)</f>
        <v>1621</v>
      </c>
      <c r="V848" s="35" t="str">
        <f>VLOOKUP(Tabla1[[#This Row],[PROGRAMA]],Hoja1!A:B,2,FALSE)</f>
        <v>1621. Servicio de limpieza</v>
      </c>
      <c r="W848" s="35" t="str">
        <f>MID(Tabla1[[#This Row],[Aplicación]],14,2)</f>
        <v>21</v>
      </c>
      <c r="X848" s="35" t="str">
        <f>MID(Tabla1[[#This Row],[Aplicación]],14,6)</f>
        <v>214</v>
      </c>
    </row>
    <row r="849" spans="1:24" x14ac:dyDescent="0.25">
      <c r="A849" s="49">
        <v>220219000985</v>
      </c>
      <c r="B849" s="50" t="s">
        <v>9</v>
      </c>
      <c r="C849" s="57">
        <v>44562</v>
      </c>
      <c r="D849" s="49">
        <v>22022000625</v>
      </c>
      <c r="E849" s="50" t="s">
        <v>1780</v>
      </c>
      <c r="F849" s="58">
        <v>4000</v>
      </c>
      <c r="G849" s="50" t="s">
        <v>75</v>
      </c>
      <c r="H849" s="50" t="s">
        <v>2298</v>
      </c>
      <c r="I849" s="49" t="s">
        <v>107</v>
      </c>
      <c r="J849" s="50" t="s">
        <v>109</v>
      </c>
      <c r="K849" s="50" t="s">
        <v>109</v>
      </c>
      <c r="L849" s="50" t="s">
        <v>12</v>
      </c>
      <c r="M849" s="50" t="s">
        <v>10</v>
      </c>
      <c r="N849" s="50" t="s">
        <v>11</v>
      </c>
      <c r="O849" s="48" t="s">
        <v>632</v>
      </c>
      <c r="P849" s="45" t="s">
        <v>453</v>
      </c>
      <c r="Q849" s="35" t="str">
        <f>MID(Tabla1[[#This Row],[Aplicación]],14,1)</f>
        <v>2</v>
      </c>
      <c r="R849" s="35" t="s">
        <v>441</v>
      </c>
      <c r="S849" s="35" t="str">
        <f>MID(Tabla1[[#This Row],[Aplicación]],6,2)</f>
        <v>10</v>
      </c>
      <c r="T849" s="35" t="str">
        <f>VLOOKUP(Tabla1[[#This Row],[AREA]],Hoja1!A:B,2,FALSE)</f>
        <v>10. Servicios sociales y mediación comunitaria</v>
      </c>
      <c r="U849" s="35" t="str">
        <f>MID(Tabla1[[#This Row],[Aplicación]],9,4)</f>
        <v>2316</v>
      </c>
      <c r="V849" s="35" t="str">
        <f>VLOOKUP(Tabla1[[#This Row],[PROGRAMA]],Hoja1!A:B,2,FALSE)</f>
        <v>2316. Mediación comunitaria</v>
      </c>
      <c r="W849" s="35" t="str">
        <f>MID(Tabla1[[#This Row],[Aplicación]],14,2)</f>
        <v>22</v>
      </c>
      <c r="X849" s="35" t="str">
        <f>MID(Tabla1[[#This Row],[Aplicación]],14,6)</f>
        <v>22799</v>
      </c>
    </row>
    <row r="850" spans="1:24" x14ac:dyDescent="0.25">
      <c r="A850" s="49">
        <v>220220008277</v>
      </c>
      <c r="B850" s="50" t="s">
        <v>9</v>
      </c>
      <c r="C850" s="57">
        <v>44630</v>
      </c>
      <c r="D850" s="49">
        <v>22022002701</v>
      </c>
      <c r="E850" s="50" t="s">
        <v>2299</v>
      </c>
      <c r="F850" s="58">
        <v>4114</v>
      </c>
      <c r="G850" s="50" t="s">
        <v>55</v>
      </c>
      <c r="H850" s="50" t="s">
        <v>2300</v>
      </c>
      <c r="I850" s="49" t="s">
        <v>107</v>
      </c>
      <c r="J850" s="50" t="s">
        <v>109</v>
      </c>
      <c r="K850" s="50" t="s">
        <v>109</v>
      </c>
      <c r="L850" s="50" t="s">
        <v>12</v>
      </c>
      <c r="M850" s="50" t="s">
        <v>13</v>
      </c>
      <c r="N850" s="50" t="s">
        <v>14</v>
      </c>
      <c r="O850" s="48" t="s">
        <v>631</v>
      </c>
      <c r="P850" s="45" t="s">
        <v>453</v>
      </c>
      <c r="Q850" s="35" t="str">
        <f>MID(Tabla1[[#This Row],[Aplicación]],14,1)</f>
        <v>2</v>
      </c>
      <c r="R850" s="35" t="s">
        <v>441</v>
      </c>
      <c r="S850" s="35" t="str">
        <f>MID(Tabla1[[#This Row],[Aplicación]],6,2)</f>
        <v>01</v>
      </c>
      <c r="T850" s="35" t="str">
        <f>VLOOKUP(Tabla1[[#This Row],[AREA]],Hoja1!A:B,2,FALSE)</f>
        <v>01. Alcaldía</v>
      </c>
      <c r="U850" s="35" t="str">
        <f>MID(Tabla1[[#This Row],[Aplicación]],9,4)</f>
        <v>9207</v>
      </c>
      <c r="V850" s="35" t="str">
        <f>VLOOKUP(Tabla1[[#This Row],[PROGRAMA]],Hoja1!A:B,2,FALSE)</f>
        <v>9207. Gobierno y relaciones</v>
      </c>
      <c r="W850" s="35" t="str">
        <f>MID(Tabla1[[#This Row],[Aplicación]],14,2)</f>
        <v>22</v>
      </c>
      <c r="X850" s="35" t="str">
        <f>MID(Tabla1[[#This Row],[Aplicación]],14,6)</f>
        <v>22602</v>
      </c>
    </row>
    <row r="851" spans="1:24" x14ac:dyDescent="0.25">
      <c r="A851" s="49">
        <v>220220006910</v>
      </c>
      <c r="B851" s="50" t="s">
        <v>9</v>
      </c>
      <c r="C851" s="57">
        <v>44622</v>
      </c>
      <c r="D851" s="49">
        <v>22022002355</v>
      </c>
      <c r="E851" s="50" t="s">
        <v>1576</v>
      </c>
      <c r="F851" s="58">
        <v>6479.55</v>
      </c>
      <c r="G851" s="50" t="s">
        <v>885</v>
      </c>
      <c r="H851" s="50" t="s">
        <v>2301</v>
      </c>
      <c r="I851" s="49" t="s">
        <v>107</v>
      </c>
      <c r="J851" s="50" t="s">
        <v>109</v>
      </c>
      <c r="K851" s="50" t="s">
        <v>109</v>
      </c>
      <c r="L851" s="50" t="s">
        <v>12</v>
      </c>
      <c r="M851" s="50" t="s">
        <v>10</v>
      </c>
      <c r="N851" s="50" t="s">
        <v>11</v>
      </c>
      <c r="O851" s="48" t="s">
        <v>632</v>
      </c>
      <c r="P851" s="45" t="s">
        <v>453</v>
      </c>
      <c r="Q851" s="35" t="str">
        <f>MID(Tabla1[[#This Row],[Aplicación]],14,1)</f>
        <v>2</v>
      </c>
      <c r="R851" s="35" t="s">
        <v>441</v>
      </c>
      <c r="S851" s="35" t="str">
        <f>MID(Tabla1[[#This Row],[Aplicación]],6,2)</f>
        <v>01</v>
      </c>
      <c r="T851" s="35" t="str">
        <f>VLOOKUP(Tabla1[[#This Row],[AREA]],Hoja1!A:B,2,FALSE)</f>
        <v>01. Alcaldía</v>
      </c>
      <c r="U851" s="35" t="str">
        <f>MID(Tabla1[[#This Row],[Aplicación]],9,4)</f>
        <v>9203</v>
      </c>
      <c r="V851" s="35" t="str">
        <f>VLOOKUP(Tabla1[[#This Row],[PROGRAMA]],Hoja1!A:B,2,FALSE)</f>
        <v>9203. Unidad de régimen interior</v>
      </c>
      <c r="W851" s="35" t="str">
        <f>MID(Tabla1[[#This Row],[Aplicación]],14,2)</f>
        <v>21</v>
      </c>
      <c r="X851" s="35" t="str">
        <f>MID(Tabla1[[#This Row],[Aplicación]],14,6)</f>
        <v>213</v>
      </c>
    </row>
    <row r="852" spans="1:24" x14ac:dyDescent="0.25">
      <c r="A852" s="49">
        <v>220220010302</v>
      </c>
      <c r="B852" s="50" t="s">
        <v>9</v>
      </c>
      <c r="C852" s="57">
        <v>44641</v>
      </c>
      <c r="D852" s="49">
        <v>22022002721</v>
      </c>
      <c r="E852" s="50" t="s">
        <v>2299</v>
      </c>
      <c r="F852" s="58">
        <v>605</v>
      </c>
      <c r="G852" s="50" t="s">
        <v>55</v>
      </c>
      <c r="H852" s="50" t="s">
        <v>2302</v>
      </c>
      <c r="I852" s="49" t="s">
        <v>107</v>
      </c>
      <c r="J852" s="50" t="s">
        <v>109</v>
      </c>
      <c r="K852" s="50" t="s">
        <v>109</v>
      </c>
      <c r="L852" s="50" t="s">
        <v>12</v>
      </c>
      <c r="M852" s="50" t="s">
        <v>13</v>
      </c>
      <c r="N852" s="50" t="s">
        <v>14</v>
      </c>
      <c r="O852" s="48" t="s">
        <v>631</v>
      </c>
      <c r="P852" s="45" t="s">
        <v>453</v>
      </c>
      <c r="Q852" s="35" t="str">
        <f>MID(Tabla1[[#This Row],[Aplicación]],14,1)</f>
        <v>2</v>
      </c>
      <c r="R852" s="35" t="s">
        <v>441</v>
      </c>
      <c r="S852" s="35" t="str">
        <f>MID(Tabla1[[#This Row],[Aplicación]],6,2)</f>
        <v>01</v>
      </c>
      <c r="T852" s="35" t="str">
        <f>VLOOKUP(Tabla1[[#This Row],[AREA]],Hoja1!A:B,2,FALSE)</f>
        <v>01. Alcaldía</v>
      </c>
      <c r="U852" s="35" t="str">
        <f>MID(Tabla1[[#This Row],[Aplicación]],9,4)</f>
        <v>9207</v>
      </c>
      <c r="V852" s="35" t="str">
        <f>VLOOKUP(Tabla1[[#This Row],[PROGRAMA]],Hoja1!A:B,2,FALSE)</f>
        <v>9207. Gobierno y relaciones</v>
      </c>
      <c r="W852" s="35" t="str">
        <f>MID(Tabla1[[#This Row],[Aplicación]],14,2)</f>
        <v>22</v>
      </c>
      <c r="X852" s="35" t="str">
        <f>MID(Tabla1[[#This Row],[Aplicación]],14,6)</f>
        <v>22602</v>
      </c>
    </row>
    <row r="853" spans="1:24" x14ac:dyDescent="0.25">
      <c r="A853" s="49">
        <v>220219001172</v>
      </c>
      <c r="B853" s="50" t="s">
        <v>9</v>
      </c>
      <c r="C853" s="57">
        <v>44562</v>
      </c>
      <c r="D853" s="49">
        <v>22022000305</v>
      </c>
      <c r="E853" s="50" t="s">
        <v>2303</v>
      </c>
      <c r="F853" s="58">
        <v>27225</v>
      </c>
      <c r="G853" s="50" t="s">
        <v>2304</v>
      </c>
      <c r="H853" s="50" t="s">
        <v>2305</v>
      </c>
      <c r="I853" s="49" t="s">
        <v>107</v>
      </c>
      <c r="J853" s="50" t="s">
        <v>1039</v>
      </c>
      <c r="K853" s="50" t="s">
        <v>129</v>
      </c>
      <c r="L853" s="50" t="s">
        <v>12</v>
      </c>
      <c r="M853" s="50" t="s">
        <v>13</v>
      </c>
      <c r="N853" s="50" t="s">
        <v>14</v>
      </c>
      <c r="O853" s="48" t="s">
        <v>620</v>
      </c>
      <c r="P853" s="45" t="s">
        <v>453</v>
      </c>
      <c r="Q853" s="35" t="str">
        <f>MID(Tabla1[[#This Row],[Aplicación]],14,1)</f>
        <v>2</v>
      </c>
      <c r="R853" s="35" t="s">
        <v>441</v>
      </c>
      <c r="S853" s="35" t="str">
        <f>MID(Tabla1[[#This Row],[Aplicación]],6,2)</f>
        <v>09</v>
      </c>
      <c r="T853" s="35" t="str">
        <f>VLOOKUP(Tabla1[[#This Row],[AREA]],Hoja1!A:B,2,FALSE)</f>
        <v>09. Cultura y turismo</v>
      </c>
      <c r="U853" s="35" t="str">
        <f>MID(Tabla1[[#This Row],[Aplicación]],9,4)</f>
        <v>4321</v>
      </c>
      <c r="V853" s="35" t="str">
        <f>VLOOKUP(Tabla1[[#This Row],[PROGRAMA]],Hoja1!A:B,2,FALSE)</f>
        <v>4321. Turismo</v>
      </c>
      <c r="W853" s="35" t="str">
        <f>MID(Tabla1[[#This Row],[Aplicación]],14,2)</f>
        <v>22</v>
      </c>
      <c r="X853" s="35" t="str">
        <f>MID(Tabla1[[#This Row],[Aplicación]],14,6)</f>
        <v>22799</v>
      </c>
    </row>
    <row r="854" spans="1:24" x14ac:dyDescent="0.25">
      <c r="A854" s="49">
        <v>220219000691</v>
      </c>
      <c r="B854" s="50" t="s">
        <v>9</v>
      </c>
      <c r="C854" s="57">
        <v>44562</v>
      </c>
      <c r="D854" s="49">
        <v>22022002217</v>
      </c>
      <c r="E854" s="50" t="s">
        <v>1399</v>
      </c>
      <c r="F854" s="58">
        <v>34808</v>
      </c>
      <c r="G854" s="50" t="s">
        <v>1158</v>
      </c>
      <c r="H854" s="50" t="s">
        <v>2306</v>
      </c>
      <c r="I854" s="49" t="s">
        <v>107</v>
      </c>
      <c r="J854" s="50" t="s">
        <v>109</v>
      </c>
      <c r="K854" s="50" t="s">
        <v>109</v>
      </c>
      <c r="L854" s="50" t="s">
        <v>12</v>
      </c>
      <c r="M854" s="50" t="s">
        <v>13</v>
      </c>
      <c r="N854" s="50" t="s">
        <v>14</v>
      </c>
      <c r="O854" s="48" t="s">
        <v>631</v>
      </c>
      <c r="P854" s="45" t="s">
        <v>453</v>
      </c>
      <c r="Q854" s="35" t="str">
        <f>MID(Tabla1[[#This Row],[Aplicación]],14,1)</f>
        <v>6</v>
      </c>
      <c r="R854" s="35" t="s">
        <v>442</v>
      </c>
      <c r="S854" s="35" t="str">
        <f>MID(Tabla1[[#This Row],[Aplicación]],6,2)</f>
        <v>02</v>
      </c>
      <c r="T854" s="35" t="str">
        <f>VLOOKUP(Tabla1[[#This Row],[AREA]],Hoja1!A:B,2,FALSE)</f>
        <v>02. Planeamiento urbanístico y vivienda</v>
      </c>
      <c r="U854" s="35" t="str">
        <f>MID(Tabla1[[#This Row],[Aplicación]],9,4)</f>
        <v>1511</v>
      </c>
      <c r="V854" s="35" t="str">
        <f>VLOOKUP(Tabla1[[#This Row],[PROGRAMA]],Hoja1!A:B,2,FALSE)</f>
        <v>1511. Planficación y gestión del urbanismo</v>
      </c>
      <c r="W854" s="35" t="str">
        <f>MID(Tabla1[[#This Row],[Aplicación]],14,2)</f>
        <v>60</v>
      </c>
      <c r="X854" s="35" t="str">
        <f>MID(Tabla1[[#This Row],[Aplicación]],14,6)</f>
        <v>609</v>
      </c>
    </row>
    <row r="855" spans="1:24" x14ac:dyDescent="0.25">
      <c r="A855" s="49">
        <v>220220003949</v>
      </c>
      <c r="B855" s="50" t="s">
        <v>9</v>
      </c>
      <c r="C855" s="57">
        <v>44609</v>
      </c>
      <c r="D855" s="49">
        <v>22022002253</v>
      </c>
      <c r="E855" s="50" t="s">
        <v>1381</v>
      </c>
      <c r="F855" s="58">
        <v>3290.37</v>
      </c>
      <c r="G855" s="50" t="s">
        <v>1158</v>
      </c>
      <c r="H855" s="50" t="s">
        <v>2307</v>
      </c>
      <c r="I855" s="49" t="s">
        <v>107</v>
      </c>
      <c r="J855" s="50" t="s">
        <v>109</v>
      </c>
      <c r="K855" s="50" t="s">
        <v>109</v>
      </c>
      <c r="L855" s="50" t="s">
        <v>25</v>
      </c>
      <c r="M855" s="50" t="s">
        <v>13</v>
      </c>
      <c r="N855" s="50" t="s">
        <v>14</v>
      </c>
      <c r="O855" s="48" t="s">
        <v>631</v>
      </c>
      <c r="P855" s="45" t="s">
        <v>453</v>
      </c>
      <c r="Q855" s="35" t="str">
        <f>MID(Tabla1[[#This Row],[Aplicación]],14,1)</f>
        <v>6</v>
      </c>
      <c r="R855" s="35" t="s">
        <v>442</v>
      </c>
      <c r="S855" s="35" t="str">
        <f>MID(Tabla1[[#This Row],[Aplicación]],6,2)</f>
        <v>08</v>
      </c>
      <c r="T855" s="35" t="str">
        <f>VLOOKUP(Tabla1[[#This Row],[AREA]],Hoja1!A:B,2,FALSE)</f>
        <v>08. Movilidad y espacio urbano</v>
      </c>
      <c r="U855" s="35" t="str">
        <f>MID(Tabla1[[#This Row],[Aplicación]],9,4)</f>
        <v>1532</v>
      </c>
      <c r="V855" s="35" t="str">
        <f>VLOOKUP(Tabla1[[#This Row],[PROGRAMA]],Hoja1!A:B,2,FALSE)</f>
        <v>1532. Pavimentación vias públicas y otros servicios urbanísticos</v>
      </c>
      <c r="W855" s="35" t="str">
        <f>MID(Tabla1[[#This Row],[Aplicación]],14,2)</f>
        <v>62</v>
      </c>
      <c r="X855" s="35" t="str">
        <f>MID(Tabla1[[#This Row],[Aplicación]],14,6)</f>
        <v>622</v>
      </c>
    </row>
    <row r="856" spans="1:24" x14ac:dyDescent="0.25">
      <c r="A856" s="49">
        <v>220220003950</v>
      </c>
      <c r="B856" s="50" t="s">
        <v>9</v>
      </c>
      <c r="C856" s="57">
        <v>44609</v>
      </c>
      <c r="D856" s="49">
        <v>22022002254</v>
      </c>
      <c r="E856" s="50" t="s">
        <v>1388</v>
      </c>
      <c r="F856" s="58">
        <v>4116.42</v>
      </c>
      <c r="G856" s="50" t="s">
        <v>1158</v>
      </c>
      <c r="H856" s="50" t="s">
        <v>2308</v>
      </c>
      <c r="I856" s="49" t="s">
        <v>107</v>
      </c>
      <c r="J856" s="50" t="s">
        <v>109</v>
      </c>
      <c r="K856" s="50" t="s">
        <v>109</v>
      </c>
      <c r="L856" s="50" t="s">
        <v>12</v>
      </c>
      <c r="M856" s="50" t="s">
        <v>13</v>
      </c>
      <c r="N856" s="50" t="s">
        <v>14</v>
      </c>
      <c r="O856" s="48" t="s">
        <v>631</v>
      </c>
      <c r="P856" s="45" t="s">
        <v>453</v>
      </c>
      <c r="Q856" s="35" t="str">
        <f>MID(Tabla1[[#This Row],[Aplicación]],14,1)</f>
        <v>6</v>
      </c>
      <c r="R856" s="35" t="s">
        <v>442</v>
      </c>
      <c r="S856" s="35" t="str">
        <f>MID(Tabla1[[#This Row],[Aplicación]],6,2)</f>
        <v>08</v>
      </c>
      <c r="T856" s="35" t="str">
        <f>VLOOKUP(Tabla1[[#This Row],[AREA]],Hoja1!A:B,2,FALSE)</f>
        <v>08. Movilidad y espacio urbano</v>
      </c>
      <c r="U856" s="35" t="str">
        <f>MID(Tabla1[[#This Row],[Aplicación]],9,4)</f>
        <v>1532</v>
      </c>
      <c r="V856" s="35" t="str">
        <f>VLOOKUP(Tabla1[[#This Row],[PROGRAMA]],Hoja1!A:B,2,FALSE)</f>
        <v>1532. Pavimentación vias públicas y otros servicios urbanísticos</v>
      </c>
      <c r="W856" s="35" t="str">
        <f>MID(Tabla1[[#This Row],[Aplicación]],14,2)</f>
        <v>60</v>
      </c>
      <c r="X856" s="35" t="str">
        <f>MID(Tabla1[[#This Row],[Aplicación]],14,6)</f>
        <v>609</v>
      </c>
    </row>
    <row r="857" spans="1:24" x14ac:dyDescent="0.25">
      <c r="A857" s="49">
        <v>220220005200</v>
      </c>
      <c r="B857" s="50" t="s">
        <v>9</v>
      </c>
      <c r="C857" s="57">
        <v>44614</v>
      </c>
      <c r="D857" s="49">
        <v>22022002163</v>
      </c>
      <c r="E857" s="50" t="s">
        <v>2309</v>
      </c>
      <c r="F857" s="58">
        <v>3000</v>
      </c>
      <c r="G857" s="50" t="s">
        <v>1223</v>
      </c>
      <c r="H857" s="50" t="s">
        <v>2310</v>
      </c>
      <c r="I857" s="49" t="s">
        <v>107</v>
      </c>
      <c r="J857" s="50" t="s">
        <v>108</v>
      </c>
      <c r="K857" s="50" t="s">
        <v>108</v>
      </c>
      <c r="L857" s="50" t="s">
        <v>12</v>
      </c>
      <c r="M857" s="50" t="s">
        <v>10</v>
      </c>
      <c r="N857" s="50" t="s">
        <v>11</v>
      </c>
      <c r="O857" s="48" t="s">
        <v>632</v>
      </c>
      <c r="P857" s="45" t="s">
        <v>453</v>
      </c>
      <c r="Q857" s="35" t="str">
        <f>MID(Tabla1[[#This Row],[Aplicación]],14,1)</f>
        <v>2</v>
      </c>
      <c r="R857" s="35" t="s">
        <v>441</v>
      </c>
      <c r="S857" s="35" t="str">
        <f>MID(Tabla1[[#This Row],[Aplicación]],6,2)</f>
        <v>07</v>
      </c>
      <c r="T857" s="35" t="str">
        <f>VLOOKUP(Tabla1[[#This Row],[AREA]],Hoja1!A:B,2,FALSE)</f>
        <v>07. Medio ambiente y desarrollo sostenible</v>
      </c>
      <c r="U857" s="35" t="str">
        <f>MID(Tabla1[[#This Row],[Aplicación]],9,4)</f>
        <v>1721</v>
      </c>
      <c r="V857" s="35" t="str">
        <f>VLOOKUP(Tabla1[[#This Row],[PROGRAMA]],Hoja1!A:B,2,FALSE)</f>
        <v>1721. Protección del medio ambiente</v>
      </c>
      <c r="W857" s="35" t="str">
        <f>MID(Tabla1[[#This Row],[Aplicación]],14,2)</f>
        <v>21</v>
      </c>
      <c r="X857" s="35" t="str">
        <f>MID(Tabla1[[#This Row],[Aplicación]],14,6)</f>
        <v>213</v>
      </c>
    </row>
    <row r="858" spans="1:24" x14ac:dyDescent="0.25">
      <c r="A858" s="49">
        <v>220220003292</v>
      </c>
      <c r="B858" s="50" t="s">
        <v>9</v>
      </c>
      <c r="C858" s="57">
        <v>44602</v>
      </c>
      <c r="D858" s="49">
        <v>22022001462</v>
      </c>
      <c r="E858" s="50" t="s">
        <v>2303</v>
      </c>
      <c r="F858" s="58">
        <v>3811.5</v>
      </c>
      <c r="G858" s="50" t="s">
        <v>2304</v>
      </c>
      <c r="H858" s="50" t="s">
        <v>2311</v>
      </c>
      <c r="I858" s="49" t="s">
        <v>107</v>
      </c>
      <c r="J858" s="50" t="s">
        <v>1039</v>
      </c>
      <c r="K858" s="50" t="s">
        <v>129</v>
      </c>
      <c r="L858" s="50" t="s">
        <v>12</v>
      </c>
      <c r="M858" s="50" t="s">
        <v>13</v>
      </c>
      <c r="N858" s="50" t="s">
        <v>14</v>
      </c>
      <c r="O858" s="48" t="s">
        <v>620</v>
      </c>
      <c r="P858" s="45" t="s">
        <v>453</v>
      </c>
      <c r="Q858" s="35" t="str">
        <f>MID(Tabla1[[#This Row],[Aplicación]],14,1)</f>
        <v>2</v>
      </c>
      <c r="R858" s="35" t="s">
        <v>441</v>
      </c>
      <c r="S858" s="35" t="str">
        <f>MID(Tabla1[[#This Row],[Aplicación]],6,2)</f>
        <v>09</v>
      </c>
      <c r="T858" s="35" t="str">
        <f>VLOOKUP(Tabla1[[#This Row],[AREA]],Hoja1!A:B,2,FALSE)</f>
        <v>09. Cultura y turismo</v>
      </c>
      <c r="U858" s="35" t="str">
        <f>MID(Tabla1[[#This Row],[Aplicación]],9,4)</f>
        <v>4321</v>
      </c>
      <c r="V858" s="35" t="str">
        <f>VLOOKUP(Tabla1[[#This Row],[PROGRAMA]],Hoja1!A:B,2,FALSE)</f>
        <v>4321. Turismo</v>
      </c>
      <c r="W858" s="35" t="str">
        <f>MID(Tabla1[[#This Row],[Aplicación]],14,2)</f>
        <v>22</v>
      </c>
      <c r="X858" s="35" t="str">
        <f>MID(Tabla1[[#This Row],[Aplicación]],14,6)</f>
        <v>22799</v>
      </c>
    </row>
    <row r="859" spans="1:24" x14ac:dyDescent="0.25">
      <c r="A859" s="49">
        <v>220220000371</v>
      </c>
      <c r="B859" s="50" t="s">
        <v>9</v>
      </c>
      <c r="C859" s="57">
        <v>44585</v>
      </c>
      <c r="D859" s="49">
        <v>22022001541</v>
      </c>
      <c r="E859" s="50" t="s">
        <v>1471</v>
      </c>
      <c r="F859" s="58">
        <v>2000</v>
      </c>
      <c r="G859" s="50" t="s">
        <v>1223</v>
      </c>
      <c r="H859" s="50" t="s">
        <v>2312</v>
      </c>
      <c r="I859" s="49" t="s">
        <v>107</v>
      </c>
      <c r="J859" s="50" t="s">
        <v>108</v>
      </c>
      <c r="K859" s="50" t="s">
        <v>108</v>
      </c>
      <c r="L859" s="50" t="s">
        <v>12</v>
      </c>
      <c r="M859" s="50" t="s">
        <v>10</v>
      </c>
      <c r="N859" s="50" t="s">
        <v>11</v>
      </c>
      <c r="O859" s="48" t="s">
        <v>632</v>
      </c>
      <c r="P859" s="45" t="s">
        <v>453</v>
      </c>
      <c r="Q859" s="35" t="str">
        <f>MID(Tabla1[[#This Row],[Aplicación]],14,1)</f>
        <v>2</v>
      </c>
      <c r="R859" s="35" t="s">
        <v>441</v>
      </c>
      <c r="S859" s="35" t="str">
        <f>MID(Tabla1[[#This Row],[Aplicación]],6,2)</f>
        <v>11</v>
      </c>
      <c r="T859" s="35" t="str">
        <f>VLOOKUP(Tabla1[[#This Row],[AREA]],Hoja1!A:B,2,FALSE)</f>
        <v>11. Salud pública y seguridad ciudadana</v>
      </c>
      <c r="U859" s="35" t="str">
        <f>MID(Tabla1[[#This Row],[Aplicación]],9,4)</f>
        <v>1321</v>
      </c>
      <c r="V859" s="35" t="str">
        <f>VLOOKUP(Tabla1[[#This Row],[PROGRAMA]],Hoja1!A:B,2,FALSE)</f>
        <v>1321. Policía municipal</v>
      </c>
      <c r="W859" s="35" t="str">
        <f>MID(Tabla1[[#This Row],[Aplicación]],14,2)</f>
        <v>21</v>
      </c>
      <c r="X859" s="35" t="str">
        <f>MID(Tabla1[[#This Row],[Aplicación]],14,6)</f>
        <v>213</v>
      </c>
    </row>
    <row r="860" spans="1:24" x14ac:dyDescent="0.25">
      <c r="A860" s="49">
        <v>220220005213</v>
      </c>
      <c r="B860" s="50" t="s">
        <v>9</v>
      </c>
      <c r="C860" s="57">
        <v>44614</v>
      </c>
      <c r="D860" s="49">
        <v>22022002264</v>
      </c>
      <c r="E860" s="50" t="s">
        <v>1742</v>
      </c>
      <c r="F860" s="58">
        <v>1078.1099999999999</v>
      </c>
      <c r="G860" s="50" t="s">
        <v>1223</v>
      </c>
      <c r="H860" s="50" t="s">
        <v>2313</v>
      </c>
      <c r="I860" s="49" t="s">
        <v>107</v>
      </c>
      <c r="J860" s="50" t="s">
        <v>108</v>
      </c>
      <c r="K860" s="50" t="s">
        <v>108</v>
      </c>
      <c r="L860" s="50" t="s">
        <v>12</v>
      </c>
      <c r="M860" s="50" t="s">
        <v>10</v>
      </c>
      <c r="N860" s="50" t="s">
        <v>11</v>
      </c>
      <c r="O860" s="48" t="s">
        <v>632</v>
      </c>
      <c r="P860" s="45" t="s">
        <v>453</v>
      </c>
      <c r="Q860" s="35" t="str">
        <f>MID(Tabla1[[#This Row],[Aplicación]],14,1)</f>
        <v>2</v>
      </c>
      <c r="R860" s="35" t="s">
        <v>441</v>
      </c>
      <c r="S860" s="35" t="str">
        <f>MID(Tabla1[[#This Row],[Aplicación]],6,2)</f>
        <v>03</v>
      </c>
      <c r="T860" s="35" t="str">
        <f>VLOOKUP(Tabla1[[#This Row],[AREA]],Hoja1!A:B,2,FALSE)</f>
        <v>03. Participación ciudadana y deportes</v>
      </c>
      <c r="U860" s="35" t="str">
        <f>MID(Tabla1[[#This Row],[Aplicación]],9,4)</f>
        <v>9241</v>
      </c>
      <c r="V860" s="35" t="str">
        <f>VLOOKUP(Tabla1[[#This Row],[PROGRAMA]],Hoja1!A:B,2,FALSE)</f>
        <v>9241. Participación ciudadana</v>
      </c>
      <c r="W860" s="35" t="str">
        <f>MID(Tabla1[[#This Row],[Aplicación]],14,2)</f>
        <v>21</v>
      </c>
      <c r="X860" s="35" t="str">
        <f>MID(Tabla1[[#This Row],[Aplicación]],14,6)</f>
        <v>213</v>
      </c>
    </row>
    <row r="861" spans="1:24" x14ac:dyDescent="0.25">
      <c r="A861" s="49">
        <v>220220010687</v>
      </c>
      <c r="B861" s="50" t="s">
        <v>9</v>
      </c>
      <c r="C861" s="57">
        <v>44642</v>
      </c>
      <c r="D861" s="49">
        <v>22022002979</v>
      </c>
      <c r="E861" s="50" t="s">
        <v>1471</v>
      </c>
      <c r="F861" s="58">
        <v>1050</v>
      </c>
      <c r="G861" s="50" t="s">
        <v>1223</v>
      </c>
      <c r="H861" s="50" t="s">
        <v>2314</v>
      </c>
      <c r="I861" s="49" t="s">
        <v>107</v>
      </c>
      <c r="J861" s="50" t="s">
        <v>108</v>
      </c>
      <c r="K861" s="50" t="s">
        <v>108</v>
      </c>
      <c r="L861" s="50" t="s">
        <v>12</v>
      </c>
      <c r="M861" s="50" t="s">
        <v>10</v>
      </c>
      <c r="N861" s="50" t="s">
        <v>11</v>
      </c>
      <c r="O861" s="48" t="s">
        <v>632</v>
      </c>
      <c r="P861" s="45" t="s">
        <v>453</v>
      </c>
      <c r="Q861" s="35" t="str">
        <f>MID(Tabla1[[#This Row],[Aplicación]],14,1)</f>
        <v>2</v>
      </c>
      <c r="R861" s="35" t="s">
        <v>441</v>
      </c>
      <c r="S861" s="35" t="str">
        <f>MID(Tabla1[[#This Row],[Aplicación]],6,2)</f>
        <v>11</v>
      </c>
      <c r="T861" s="35" t="str">
        <f>VLOOKUP(Tabla1[[#This Row],[AREA]],Hoja1!A:B,2,FALSE)</f>
        <v>11. Salud pública y seguridad ciudadana</v>
      </c>
      <c r="U861" s="35" t="str">
        <f>MID(Tabla1[[#This Row],[Aplicación]],9,4)</f>
        <v>1321</v>
      </c>
      <c r="V861" s="35" t="str">
        <f>VLOOKUP(Tabla1[[#This Row],[PROGRAMA]],Hoja1!A:B,2,FALSE)</f>
        <v>1321. Policía municipal</v>
      </c>
      <c r="W861" s="35" t="str">
        <f>MID(Tabla1[[#This Row],[Aplicación]],14,2)</f>
        <v>21</v>
      </c>
      <c r="X861" s="35" t="str">
        <f>MID(Tabla1[[#This Row],[Aplicación]],14,6)</f>
        <v>213</v>
      </c>
    </row>
    <row r="862" spans="1:24" x14ac:dyDescent="0.25">
      <c r="A862" s="49">
        <v>220219000245</v>
      </c>
      <c r="B862" s="50" t="s">
        <v>9</v>
      </c>
      <c r="C862" s="57">
        <v>44562</v>
      </c>
      <c r="D862" s="49">
        <v>22022000428</v>
      </c>
      <c r="E862" s="50" t="s">
        <v>1742</v>
      </c>
      <c r="F862" s="58">
        <v>1078.1099999999999</v>
      </c>
      <c r="G862" s="50" t="s">
        <v>37</v>
      </c>
      <c r="H862" s="50" t="s">
        <v>2315</v>
      </c>
      <c r="I862" s="49" t="s">
        <v>107</v>
      </c>
      <c r="J862" s="50" t="s">
        <v>108</v>
      </c>
      <c r="K862" s="50" t="s">
        <v>108</v>
      </c>
      <c r="L862" s="50" t="s">
        <v>12</v>
      </c>
      <c r="M862" s="50" t="s">
        <v>10</v>
      </c>
      <c r="N862" s="50" t="s">
        <v>11</v>
      </c>
      <c r="O862" s="48" t="s">
        <v>632</v>
      </c>
      <c r="P862" s="45" t="s">
        <v>453</v>
      </c>
      <c r="Q862" s="35" t="str">
        <f>MID(Tabla1[[#This Row],[Aplicación]],14,1)</f>
        <v>2</v>
      </c>
      <c r="R862" s="35" t="s">
        <v>441</v>
      </c>
      <c r="S862" s="35" t="str">
        <f>MID(Tabla1[[#This Row],[Aplicación]],6,2)</f>
        <v>03</v>
      </c>
      <c r="T862" s="35" t="str">
        <f>VLOOKUP(Tabla1[[#This Row],[AREA]],Hoja1!A:B,2,FALSE)</f>
        <v>03. Participación ciudadana y deportes</v>
      </c>
      <c r="U862" s="35" t="str">
        <f>MID(Tabla1[[#This Row],[Aplicación]],9,4)</f>
        <v>9241</v>
      </c>
      <c r="V862" s="35" t="str">
        <f>VLOOKUP(Tabla1[[#This Row],[PROGRAMA]],Hoja1!A:B,2,FALSE)</f>
        <v>9241. Participación ciudadana</v>
      </c>
      <c r="W862" s="35" t="str">
        <f>MID(Tabla1[[#This Row],[Aplicación]],14,2)</f>
        <v>21</v>
      </c>
      <c r="X862" s="35" t="str">
        <f>MID(Tabla1[[#This Row],[Aplicación]],14,6)</f>
        <v>213</v>
      </c>
    </row>
    <row r="863" spans="1:24" x14ac:dyDescent="0.25">
      <c r="A863" s="49">
        <v>220189000656</v>
      </c>
      <c r="B863" s="50" t="s">
        <v>9</v>
      </c>
      <c r="C863" s="57">
        <v>44562</v>
      </c>
      <c r="D863" s="49">
        <v>22022000152</v>
      </c>
      <c r="E863" s="50" t="s">
        <v>2303</v>
      </c>
      <c r="F863" s="58">
        <v>1171.76</v>
      </c>
      <c r="G863" s="50" t="s">
        <v>2304</v>
      </c>
      <c r="H863" s="50" t="s">
        <v>2316</v>
      </c>
      <c r="I863" s="49" t="s">
        <v>107</v>
      </c>
      <c r="J863" s="50" t="s">
        <v>1039</v>
      </c>
      <c r="K863" s="50" t="s">
        <v>129</v>
      </c>
      <c r="L863" s="50" t="s">
        <v>12</v>
      </c>
      <c r="M863" s="50" t="s">
        <v>13</v>
      </c>
      <c r="N863" s="50" t="s">
        <v>14</v>
      </c>
      <c r="O863" s="48" t="s">
        <v>620</v>
      </c>
      <c r="P863" s="45" t="s">
        <v>453</v>
      </c>
      <c r="Q863" s="35" t="str">
        <f>MID(Tabla1[[#This Row],[Aplicación]],14,1)</f>
        <v>2</v>
      </c>
      <c r="R863" s="35" t="s">
        <v>441</v>
      </c>
      <c r="S863" s="35" t="str">
        <f>MID(Tabla1[[#This Row],[Aplicación]],6,2)</f>
        <v>09</v>
      </c>
      <c r="T863" s="35" t="str">
        <f>VLOOKUP(Tabla1[[#This Row],[AREA]],Hoja1!A:B,2,FALSE)</f>
        <v>09. Cultura y turismo</v>
      </c>
      <c r="U863" s="35" t="str">
        <f>MID(Tabla1[[#This Row],[Aplicación]],9,4)</f>
        <v>4321</v>
      </c>
      <c r="V863" s="35" t="str">
        <f>VLOOKUP(Tabla1[[#This Row],[PROGRAMA]],Hoja1!A:B,2,FALSE)</f>
        <v>4321. Turismo</v>
      </c>
      <c r="W863" s="35" t="str">
        <f>MID(Tabla1[[#This Row],[Aplicación]],14,2)</f>
        <v>22</v>
      </c>
      <c r="X863" s="35" t="str">
        <f>MID(Tabla1[[#This Row],[Aplicación]],14,6)</f>
        <v>22799</v>
      </c>
    </row>
    <row r="864" spans="1:24" x14ac:dyDescent="0.25">
      <c r="A864" s="49">
        <v>220209000833</v>
      </c>
      <c r="B864" s="50" t="s">
        <v>9</v>
      </c>
      <c r="C864" s="57">
        <v>44562</v>
      </c>
      <c r="D864" s="49">
        <v>22022002102</v>
      </c>
      <c r="E864" s="50" t="s">
        <v>1676</v>
      </c>
      <c r="F864" s="58">
        <v>78992.62</v>
      </c>
      <c r="G864" s="50" t="s">
        <v>169</v>
      </c>
      <c r="H864" s="50" t="s">
        <v>690</v>
      </c>
      <c r="I864" s="49" t="s">
        <v>107</v>
      </c>
      <c r="J864" s="50" t="s">
        <v>544</v>
      </c>
      <c r="K864" s="50" t="s">
        <v>109</v>
      </c>
      <c r="L864" s="50" t="s">
        <v>12</v>
      </c>
      <c r="M864" s="50" t="s">
        <v>13</v>
      </c>
      <c r="N864" s="50" t="s">
        <v>14</v>
      </c>
      <c r="O864" s="48" t="s">
        <v>620</v>
      </c>
      <c r="P864" s="45" t="s">
        <v>453</v>
      </c>
      <c r="Q864" s="35" t="str">
        <f>MID(Tabla1[[#This Row],[Aplicación]],14,1)</f>
        <v>6</v>
      </c>
      <c r="R864" s="35" t="s">
        <v>442</v>
      </c>
      <c r="S864" s="35" t="str">
        <f>MID(Tabla1[[#This Row],[Aplicación]],6,2)</f>
        <v>04</v>
      </c>
      <c r="T864" s="35" t="str">
        <f>VLOOKUP(Tabla1[[#This Row],[AREA]],Hoja1!A:B,2,FALSE)</f>
        <v>04. Planificación y recursos</v>
      </c>
      <c r="U864" s="35" t="str">
        <f>MID(Tabla1[[#This Row],[Aplicación]],9,4)</f>
        <v>9204</v>
      </c>
      <c r="V864" s="35" t="str">
        <f>VLOOKUP(Tabla1[[#This Row],[PROGRAMA]],Hoja1!A:B,2,FALSE)</f>
        <v>9204. Tecnologías de la información y comunicación</v>
      </c>
      <c r="W864" s="35" t="str">
        <f>MID(Tabla1[[#This Row],[Aplicación]],14,2)</f>
        <v>64</v>
      </c>
      <c r="X864" s="35" t="str">
        <f>MID(Tabla1[[#This Row],[Aplicación]],14,6)</f>
        <v>641</v>
      </c>
    </row>
    <row r="865" spans="1:24" x14ac:dyDescent="0.25">
      <c r="A865" s="49">
        <v>220220005212</v>
      </c>
      <c r="B865" s="50" t="s">
        <v>447</v>
      </c>
      <c r="C865" s="57">
        <v>44614</v>
      </c>
      <c r="D865" s="49">
        <v>22022000428</v>
      </c>
      <c r="E865" s="50" t="s">
        <v>1742</v>
      </c>
      <c r="F865" s="58">
        <v>-1078.1099999999999</v>
      </c>
      <c r="G865" s="50" t="s">
        <v>37</v>
      </c>
      <c r="H865" s="50" t="s">
        <v>2317</v>
      </c>
      <c r="I865" s="49" t="s">
        <v>107</v>
      </c>
      <c r="J865" s="50" t="s">
        <v>108</v>
      </c>
      <c r="K865" s="50" t="s">
        <v>108</v>
      </c>
      <c r="L865" s="50" t="s">
        <v>12</v>
      </c>
      <c r="M865" s="50" t="s">
        <v>10</v>
      </c>
      <c r="N865" s="50" t="s">
        <v>11</v>
      </c>
      <c r="O865" s="48" t="s">
        <v>632</v>
      </c>
      <c r="P865" s="45" t="s">
        <v>453</v>
      </c>
      <c r="Q865" s="35" t="str">
        <f>MID(Tabla1[[#This Row],[Aplicación]],14,1)</f>
        <v>2</v>
      </c>
      <c r="R865" s="35" t="s">
        <v>441</v>
      </c>
      <c r="S865" s="35" t="str">
        <f>MID(Tabla1[[#This Row],[Aplicación]],6,2)</f>
        <v>03</v>
      </c>
      <c r="T865" s="35" t="str">
        <f>VLOOKUP(Tabla1[[#This Row],[AREA]],Hoja1!A:B,2,FALSE)</f>
        <v>03. Participación ciudadana y deportes</v>
      </c>
      <c r="U865" s="35" t="str">
        <f>MID(Tabla1[[#This Row],[Aplicación]],9,4)</f>
        <v>9241</v>
      </c>
      <c r="V865" s="35" t="str">
        <f>VLOOKUP(Tabla1[[#This Row],[PROGRAMA]],Hoja1!A:B,2,FALSE)</f>
        <v>9241. Participación ciudadana</v>
      </c>
      <c r="W865" s="35" t="str">
        <f>MID(Tabla1[[#This Row],[Aplicación]],14,2)</f>
        <v>21</v>
      </c>
      <c r="X865" s="35" t="str">
        <f>MID(Tabla1[[#This Row],[Aplicación]],14,6)</f>
        <v>213</v>
      </c>
    </row>
    <row r="866" spans="1:24" x14ac:dyDescent="0.25">
      <c r="A866" s="49">
        <v>220220008623</v>
      </c>
      <c r="B866" s="50" t="s">
        <v>9</v>
      </c>
      <c r="C866" s="57">
        <v>44631</v>
      </c>
      <c r="D866" s="49">
        <v>22021000743</v>
      </c>
      <c r="E866" s="50" t="s">
        <v>1676</v>
      </c>
      <c r="F866" s="58">
        <v>66677.820000000007</v>
      </c>
      <c r="G866" s="50" t="s">
        <v>169</v>
      </c>
      <c r="H866" s="50" t="s">
        <v>690</v>
      </c>
      <c r="I866" s="49" t="s">
        <v>107</v>
      </c>
      <c r="J866" s="50" t="s">
        <v>544</v>
      </c>
      <c r="K866" s="50" t="s">
        <v>109</v>
      </c>
      <c r="L866" s="50" t="s">
        <v>12</v>
      </c>
      <c r="M866" s="50" t="s">
        <v>13</v>
      </c>
      <c r="N866" s="50" t="s">
        <v>14</v>
      </c>
      <c r="O866" s="48" t="s">
        <v>620</v>
      </c>
      <c r="P866" s="45" t="s">
        <v>453</v>
      </c>
      <c r="Q866" s="35" t="str">
        <f>MID(Tabla1[[#This Row],[Aplicación]],14,1)</f>
        <v>6</v>
      </c>
      <c r="R866" s="35" t="s">
        <v>442</v>
      </c>
      <c r="S866" s="35" t="str">
        <f>MID(Tabla1[[#This Row],[Aplicación]],6,2)</f>
        <v>04</v>
      </c>
      <c r="T866" s="35" t="str">
        <f>VLOOKUP(Tabla1[[#This Row],[AREA]],Hoja1!A:B,2,FALSE)</f>
        <v>04. Planificación y recursos</v>
      </c>
      <c r="U866" s="35" t="str">
        <f>MID(Tabla1[[#This Row],[Aplicación]],9,4)</f>
        <v>9204</v>
      </c>
      <c r="V866" s="35" t="str">
        <f>VLOOKUP(Tabla1[[#This Row],[PROGRAMA]],Hoja1!A:B,2,FALSE)</f>
        <v>9204. Tecnologías de la información y comunicación</v>
      </c>
      <c r="W866" s="35" t="str">
        <f>MID(Tabla1[[#This Row],[Aplicación]],14,2)</f>
        <v>64</v>
      </c>
      <c r="X866" s="35" t="str">
        <f>MID(Tabla1[[#This Row],[Aplicación]],14,6)</f>
        <v>641</v>
      </c>
    </row>
    <row r="867" spans="1:24" x14ac:dyDescent="0.25">
      <c r="A867" s="49">
        <v>220209000011</v>
      </c>
      <c r="B867" s="50" t="s">
        <v>9</v>
      </c>
      <c r="C867" s="57">
        <v>44562</v>
      </c>
      <c r="D867" s="49">
        <v>22022000168</v>
      </c>
      <c r="E867" s="50" t="s">
        <v>2318</v>
      </c>
      <c r="F867" s="58">
        <v>30000</v>
      </c>
      <c r="G867" s="50" t="s">
        <v>169</v>
      </c>
      <c r="H867" s="50" t="s">
        <v>694</v>
      </c>
      <c r="I867" s="49" t="s">
        <v>107</v>
      </c>
      <c r="J867" s="50" t="s">
        <v>544</v>
      </c>
      <c r="K867" s="50" t="s">
        <v>109</v>
      </c>
      <c r="L867" s="50" t="s">
        <v>12</v>
      </c>
      <c r="M867" s="50" t="s">
        <v>13</v>
      </c>
      <c r="N867" s="50" t="s">
        <v>14</v>
      </c>
      <c r="O867" s="48" t="s">
        <v>620</v>
      </c>
      <c r="P867" s="45" t="s">
        <v>453</v>
      </c>
      <c r="Q867" s="35" t="str">
        <f>MID(Tabla1[[#This Row],[Aplicación]],14,1)</f>
        <v>2</v>
      </c>
      <c r="R867" s="35" t="s">
        <v>441</v>
      </c>
      <c r="S867" s="35" t="str">
        <f>MID(Tabla1[[#This Row],[Aplicación]],6,2)</f>
        <v>10</v>
      </c>
      <c r="T867" s="35" t="str">
        <f>VLOOKUP(Tabla1[[#This Row],[AREA]],Hoja1!A:B,2,FALSE)</f>
        <v>10. Servicios sociales y mediación comunitaria</v>
      </c>
      <c r="U867" s="35" t="str">
        <f>MID(Tabla1[[#This Row],[Aplicación]],9,4)</f>
        <v>2313</v>
      </c>
      <c r="V867" s="35" t="str">
        <f>VLOOKUP(Tabla1[[#This Row],[PROGRAMA]],Hoja1!A:B,2,FALSE)</f>
        <v>2313. Dirección del área de servicios sociales</v>
      </c>
      <c r="W867" s="35" t="str">
        <f>MID(Tabla1[[#This Row],[Aplicación]],14,2)</f>
        <v>22</v>
      </c>
      <c r="X867" s="35" t="str">
        <f>MID(Tabla1[[#This Row],[Aplicación]],14,6)</f>
        <v>22799</v>
      </c>
    </row>
    <row r="868" spans="1:24" x14ac:dyDescent="0.25">
      <c r="A868" s="49">
        <v>220220002540</v>
      </c>
      <c r="B868" s="50" t="s">
        <v>9</v>
      </c>
      <c r="C868" s="57">
        <v>44596</v>
      </c>
      <c r="D868" s="49">
        <v>22022001852</v>
      </c>
      <c r="E868" s="50" t="s">
        <v>1627</v>
      </c>
      <c r="F868" s="58">
        <v>821</v>
      </c>
      <c r="G868" s="50" t="s">
        <v>193</v>
      </c>
      <c r="H868" s="50" t="s">
        <v>2319</v>
      </c>
      <c r="I868" s="49" t="s">
        <v>107</v>
      </c>
      <c r="J868" s="50" t="s">
        <v>109</v>
      </c>
      <c r="K868" s="50" t="s">
        <v>109</v>
      </c>
      <c r="L868" s="50" t="s">
        <v>12</v>
      </c>
      <c r="M868" s="50" t="s">
        <v>10</v>
      </c>
      <c r="N868" s="50" t="s">
        <v>11</v>
      </c>
      <c r="O868" s="48" t="s">
        <v>632</v>
      </c>
      <c r="P868" s="45" t="s">
        <v>453</v>
      </c>
      <c r="Q868" s="35" t="str">
        <f>MID(Tabla1[[#This Row],[Aplicación]],14,1)</f>
        <v>2</v>
      </c>
      <c r="R868" s="35" t="s">
        <v>441</v>
      </c>
      <c r="S868" s="35" t="str">
        <f>MID(Tabla1[[#This Row],[Aplicación]],6,2)</f>
        <v>07</v>
      </c>
      <c r="T868" s="35" t="str">
        <f>VLOOKUP(Tabla1[[#This Row],[AREA]],Hoja1!A:B,2,FALSE)</f>
        <v>07. Medio ambiente y desarrollo sostenible</v>
      </c>
      <c r="U868" s="35" t="str">
        <f>MID(Tabla1[[#This Row],[Aplicación]],9,4)</f>
        <v>1721</v>
      </c>
      <c r="V868" s="35" t="str">
        <f>VLOOKUP(Tabla1[[#This Row],[PROGRAMA]],Hoja1!A:B,2,FALSE)</f>
        <v>1721. Protección del medio ambiente</v>
      </c>
      <c r="W868" s="35" t="str">
        <f>MID(Tabla1[[#This Row],[Aplicación]],14,2)</f>
        <v>22</v>
      </c>
      <c r="X868" s="35" t="str">
        <f>MID(Tabla1[[#This Row],[Aplicación]],14,6)</f>
        <v>22799</v>
      </c>
    </row>
    <row r="869" spans="1:24" x14ac:dyDescent="0.25">
      <c r="A869" s="49">
        <v>220209000826</v>
      </c>
      <c r="B869" s="50" t="s">
        <v>9</v>
      </c>
      <c r="C869" s="57">
        <v>44631</v>
      </c>
      <c r="D869" s="49">
        <v>22021001164</v>
      </c>
      <c r="E869" s="50" t="s">
        <v>1676</v>
      </c>
      <c r="F869" s="58">
        <v>21670.01</v>
      </c>
      <c r="G869" s="50" t="s">
        <v>169</v>
      </c>
      <c r="H869" s="50" t="s">
        <v>690</v>
      </c>
      <c r="I869" s="49" t="s">
        <v>107</v>
      </c>
      <c r="J869" s="50" t="s">
        <v>544</v>
      </c>
      <c r="K869" s="50" t="s">
        <v>109</v>
      </c>
      <c r="L869" s="50" t="s">
        <v>12</v>
      </c>
      <c r="M869" s="50" t="s">
        <v>13</v>
      </c>
      <c r="N869" s="50" t="s">
        <v>14</v>
      </c>
      <c r="O869" s="48" t="s">
        <v>620</v>
      </c>
      <c r="P869" s="45" t="s">
        <v>453</v>
      </c>
      <c r="Q869" s="35" t="str">
        <f>MID(Tabla1[[#This Row],[Aplicación]],14,1)</f>
        <v>6</v>
      </c>
      <c r="R869" s="35" t="s">
        <v>442</v>
      </c>
      <c r="S869" s="35" t="str">
        <f>MID(Tabla1[[#This Row],[Aplicación]],6,2)</f>
        <v>04</v>
      </c>
      <c r="T869" s="35" t="str">
        <f>VLOOKUP(Tabla1[[#This Row],[AREA]],Hoja1!A:B,2,FALSE)</f>
        <v>04. Planificación y recursos</v>
      </c>
      <c r="U869" s="35" t="str">
        <f>MID(Tabla1[[#This Row],[Aplicación]],9,4)</f>
        <v>9204</v>
      </c>
      <c r="V869" s="35" t="str">
        <f>VLOOKUP(Tabla1[[#This Row],[PROGRAMA]],Hoja1!A:B,2,FALSE)</f>
        <v>9204. Tecnologías de la información y comunicación</v>
      </c>
      <c r="W869" s="35" t="str">
        <f>MID(Tabla1[[#This Row],[Aplicación]],14,2)</f>
        <v>64</v>
      </c>
      <c r="X869" s="35" t="str">
        <f>MID(Tabla1[[#This Row],[Aplicación]],14,6)</f>
        <v>641</v>
      </c>
    </row>
    <row r="870" spans="1:24" x14ac:dyDescent="0.25">
      <c r="A870" s="49">
        <v>220220001602</v>
      </c>
      <c r="B870" s="50" t="s">
        <v>9</v>
      </c>
      <c r="C870" s="57">
        <v>44587</v>
      </c>
      <c r="D870" s="49">
        <v>22022001366</v>
      </c>
      <c r="E870" s="50" t="s">
        <v>1988</v>
      </c>
      <c r="F870" s="58">
        <v>2930.88</v>
      </c>
      <c r="G870" s="50" t="s">
        <v>38</v>
      </c>
      <c r="H870" s="50" t="s">
        <v>2104</v>
      </c>
      <c r="I870" s="49" t="s">
        <v>107</v>
      </c>
      <c r="J870" s="50" t="s">
        <v>129</v>
      </c>
      <c r="K870" s="50" t="s">
        <v>170</v>
      </c>
      <c r="L870" s="50" t="s">
        <v>15</v>
      </c>
      <c r="M870" s="50" t="s">
        <v>13</v>
      </c>
      <c r="N870" s="50" t="s">
        <v>14</v>
      </c>
      <c r="O870" s="48" t="s">
        <v>620</v>
      </c>
      <c r="P870" s="45" t="s">
        <v>453</v>
      </c>
      <c r="Q870" s="35" t="str">
        <f>MID(Tabla1[[#This Row],[Aplicación]],14,1)</f>
        <v>2</v>
      </c>
      <c r="R870" s="35" t="s">
        <v>441</v>
      </c>
      <c r="S870" s="35" t="str">
        <f>MID(Tabla1[[#This Row],[Aplicación]],6,2)</f>
        <v>10</v>
      </c>
      <c r="T870" s="35" t="str">
        <f>VLOOKUP(Tabla1[[#This Row],[AREA]],Hoja1!A:B,2,FALSE)</f>
        <v>10. Servicios sociales y mediación comunitaria</v>
      </c>
      <c r="U870" s="35" t="str">
        <f>MID(Tabla1[[#This Row],[Aplicación]],9,4)</f>
        <v>2412</v>
      </c>
      <c r="V870" s="35" t="str">
        <f>VLOOKUP(Tabla1[[#This Row],[PROGRAMA]],Hoja1!A:B,2,FALSE)</f>
        <v>2412. Formación para el empleo</v>
      </c>
      <c r="W870" s="35" t="str">
        <f>MID(Tabla1[[#This Row],[Aplicación]],14,2)</f>
        <v>22</v>
      </c>
      <c r="X870" s="35" t="str">
        <f>MID(Tabla1[[#This Row],[Aplicación]],14,6)</f>
        <v>22100</v>
      </c>
    </row>
    <row r="871" spans="1:24" x14ac:dyDescent="0.25">
      <c r="A871" s="49">
        <v>220220002533</v>
      </c>
      <c r="B871" s="50" t="s">
        <v>9</v>
      </c>
      <c r="C871" s="57">
        <v>44595</v>
      </c>
      <c r="D871" s="49">
        <v>22022001802</v>
      </c>
      <c r="E871" s="50" t="s">
        <v>1742</v>
      </c>
      <c r="F871" s="58">
        <v>886.03</v>
      </c>
      <c r="G871" s="50" t="s">
        <v>934</v>
      </c>
      <c r="H871" s="50" t="s">
        <v>2320</v>
      </c>
      <c r="I871" s="49" t="s">
        <v>107</v>
      </c>
      <c r="J871" s="50" t="s">
        <v>533</v>
      </c>
      <c r="K871" s="50" t="s">
        <v>109</v>
      </c>
      <c r="L871" s="50" t="s">
        <v>15</v>
      </c>
      <c r="M871" s="50" t="s">
        <v>10</v>
      </c>
      <c r="N871" s="50" t="s">
        <v>11</v>
      </c>
      <c r="O871" s="48" t="s">
        <v>632</v>
      </c>
      <c r="P871" s="45" t="s">
        <v>453</v>
      </c>
      <c r="Q871" s="35" t="str">
        <f>MID(Tabla1[[#This Row],[Aplicación]],14,1)</f>
        <v>2</v>
      </c>
      <c r="R871" s="35" t="s">
        <v>441</v>
      </c>
      <c r="S871" s="35" t="str">
        <f>MID(Tabla1[[#This Row],[Aplicación]],6,2)</f>
        <v>03</v>
      </c>
      <c r="T871" s="35" t="str">
        <f>VLOOKUP(Tabla1[[#This Row],[AREA]],Hoja1!A:B,2,FALSE)</f>
        <v>03. Participación ciudadana y deportes</v>
      </c>
      <c r="U871" s="35" t="str">
        <f>MID(Tabla1[[#This Row],[Aplicación]],9,4)</f>
        <v>9241</v>
      </c>
      <c r="V871" s="35" t="str">
        <f>VLOOKUP(Tabla1[[#This Row],[PROGRAMA]],Hoja1!A:B,2,FALSE)</f>
        <v>9241. Participación ciudadana</v>
      </c>
      <c r="W871" s="35" t="str">
        <f>MID(Tabla1[[#This Row],[Aplicación]],14,2)</f>
        <v>21</v>
      </c>
      <c r="X871" s="35" t="str">
        <f>MID(Tabla1[[#This Row],[Aplicación]],14,6)</f>
        <v>213</v>
      </c>
    </row>
    <row r="872" spans="1:24" x14ac:dyDescent="0.25">
      <c r="A872" s="49">
        <v>220210031504</v>
      </c>
      <c r="B872" s="50" t="s">
        <v>9</v>
      </c>
      <c r="C872" s="57">
        <v>44620</v>
      </c>
      <c r="D872" s="49">
        <v>22021004793</v>
      </c>
      <c r="E872" s="50" t="s">
        <v>1665</v>
      </c>
      <c r="F872" s="58">
        <v>1016.41</v>
      </c>
      <c r="G872" s="50" t="s">
        <v>934</v>
      </c>
      <c r="H872" s="50" t="s">
        <v>935</v>
      </c>
      <c r="I872" s="49" t="s">
        <v>107</v>
      </c>
      <c r="J872" s="50" t="s">
        <v>533</v>
      </c>
      <c r="K872" s="50" t="s">
        <v>109</v>
      </c>
      <c r="L872" s="50" t="s">
        <v>25</v>
      </c>
      <c r="M872" s="50" t="s">
        <v>10</v>
      </c>
      <c r="N872" s="50" t="s">
        <v>14</v>
      </c>
      <c r="O872" s="48" t="s">
        <v>632</v>
      </c>
      <c r="P872" s="45" t="s">
        <v>453</v>
      </c>
      <c r="Q872" s="35" t="str">
        <f>MID(Tabla1[[#This Row],[Aplicación]],14,1)</f>
        <v>6</v>
      </c>
      <c r="R872" s="35" t="s">
        <v>442</v>
      </c>
      <c r="S872" s="35" t="str">
        <f>MID(Tabla1[[#This Row],[Aplicación]],6,2)</f>
        <v>02</v>
      </c>
      <c r="T872" s="35" t="str">
        <f>VLOOKUP(Tabla1[[#This Row],[AREA]],Hoja1!A:B,2,FALSE)</f>
        <v>02. Planeamiento urbanístico y vivienda</v>
      </c>
      <c r="U872" s="35" t="str">
        <f>MID(Tabla1[[#This Row],[Aplicación]],9,4)</f>
        <v>9332</v>
      </c>
      <c r="V872" s="35" t="str">
        <f>VLOOKUP(Tabla1[[#This Row],[PROGRAMA]],Hoja1!A:B,2,FALSE)</f>
        <v>9332. Mantenimiento de edificios e instalaciones municipales</v>
      </c>
      <c r="W872" s="35" t="str">
        <f>MID(Tabla1[[#This Row],[Aplicación]],14,2)</f>
        <v>63</v>
      </c>
      <c r="X872" s="35" t="str">
        <f>MID(Tabla1[[#This Row],[Aplicación]],14,6)</f>
        <v>632</v>
      </c>
    </row>
    <row r="873" spans="1:24" x14ac:dyDescent="0.25">
      <c r="A873" s="49">
        <v>220220012362</v>
      </c>
      <c r="B873" s="50" t="s">
        <v>9</v>
      </c>
      <c r="C873" s="57">
        <v>44643</v>
      </c>
      <c r="D873" s="49">
        <v>22022002977</v>
      </c>
      <c r="E873" s="50" t="s">
        <v>2321</v>
      </c>
      <c r="F873" s="58">
        <v>871.2</v>
      </c>
      <c r="G873" s="50" t="s">
        <v>472</v>
      </c>
      <c r="H873" s="50" t="s">
        <v>2322</v>
      </c>
      <c r="I873" s="49" t="s">
        <v>107</v>
      </c>
      <c r="J873" s="50" t="s">
        <v>109</v>
      </c>
      <c r="K873" s="50" t="s">
        <v>109</v>
      </c>
      <c r="L873" s="50" t="s">
        <v>12</v>
      </c>
      <c r="M873" s="50" t="s">
        <v>10</v>
      </c>
      <c r="N873" s="50" t="s">
        <v>11</v>
      </c>
      <c r="O873" s="48" t="s">
        <v>632</v>
      </c>
      <c r="P873" s="45" t="s">
        <v>453</v>
      </c>
      <c r="Q873" s="35" t="str">
        <f>MID(Tabla1[[#This Row],[Aplicación]],14,1)</f>
        <v>2</v>
      </c>
      <c r="R873" s="35" t="s">
        <v>441</v>
      </c>
      <c r="S873" s="35" t="str">
        <f>MID(Tabla1[[#This Row],[Aplicación]],6,2)</f>
        <v>09</v>
      </c>
      <c r="T873" s="35" t="str">
        <f>VLOOKUP(Tabla1[[#This Row],[AREA]],Hoja1!A:B,2,FALSE)</f>
        <v>09. Cultura y turismo</v>
      </c>
      <c r="U873" s="35" t="str">
        <f>MID(Tabla1[[#This Row],[Aplicación]],9,4)</f>
        <v>4321</v>
      </c>
      <c r="V873" s="35" t="str">
        <f>VLOOKUP(Tabla1[[#This Row],[PROGRAMA]],Hoja1!A:B,2,FALSE)</f>
        <v>4321. Turismo</v>
      </c>
      <c r="W873" s="35" t="str">
        <f>MID(Tabla1[[#This Row],[Aplicación]],14,2)</f>
        <v>21</v>
      </c>
      <c r="X873" s="35" t="str">
        <f>MID(Tabla1[[#This Row],[Aplicación]],14,6)</f>
        <v>213</v>
      </c>
    </row>
    <row r="874" spans="1:24" x14ac:dyDescent="0.25">
      <c r="A874" s="49">
        <v>220220007948</v>
      </c>
      <c r="B874" s="50" t="s">
        <v>9</v>
      </c>
      <c r="C874" s="57">
        <v>44628</v>
      </c>
      <c r="D874" s="49">
        <v>22022002624</v>
      </c>
      <c r="E874" s="50" t="s">
        <v>1701</v>
      </c>
      <c r="F874" s="58">
        <v>502.15</v>
      </c>
      <c r="G874" s="50" t="s">
        <v>472</v>
      </c>
      <c r="H874" s="50" t="s">
        <v>2323</v>
      </c>
      <c r="I874" s="49" t="s">
        <v>107</v>
      </c>
      <c r="J874" s="50" t="s">
        <v>109</v>
      </c>
      <c r="K874" s="50" t="s">
        <v>109</v>
      </c>
      <c r="L874" s="50" t="s">
        <v>12</v>
      </c>
      <c r="M874" s="50" t="s">
        <v>10</v>
      </c>
      <c r="N874" s="50" t="s">
        <v>11</v>
      </c>
      <c r="O874" s="48" t="s">
        <v>632</v>
      </c>
      <c r="P874" s="45" t="s">
        <v>453</v>
      </c>
      <c r="Q874" s="35" t="str">
        <f>MID(Tabla1[[#This Row],[Aplicación]],14,1)</f>
        <v>2</v>
      </c>
      <c r="R874" s="35" t="s">
        <v>441</v>
      </c>
      <c r="S874" s="35" t="str">
        <f>MID(Tabla1[[#This Row],[Aplicación]],6,2)</f>
        <v>11</v>
      </c>
      <c r="T874" s="35" t="str">
        <f>VLOOKUP(Tabla1[[#This Row],[AREA]],Hoja1!A:B,2,FALSE)</f>
        <v>11. Salud pública y seguridad ciudadana</v>
      </c>
      <c r="U874" s="35" t="str">
        <f>MID(Tabla1[[#This Row],[Aplicación]],9,4)</f>
        <v>1621</v>
      </c>
      <c r="V874" s="35" t="str">
        <f>VLOOKUP(Tabla1[[#This Row],[PROGRAMA]],Hoja1!A:B,2,FALSE)</f>
        <v>1621. Servicio de limpieza</v>
      </c>
      <c r="W874" s="35" t="str">
        <f>MID(Tabla1[[#This Row],[Aplicación]],14,2)</f>
        <v>21</v>
      </c>
      <c r="X874" s="35" t="str">
        <f>MID(Tabla1[[#This Row],[Aplicación]],14,6)</f>
        <v>212</v>
      </c>
    </row>
    <row r="875" spans="1:24" x14ac:dyDescent="0.25">
      <c r="A875" s="49">
        <v>220209000827</v>
      </c>
      <c r="B875" s="50" t="s">
        <v>9</v>
      </c>
      <c r="C875" s="57">
        <v>44562</v>
      </c>
      <c r="D875" s="49">
        <v>22022002101</v>
      </c>
      <c r="E875" s="50" t="s">
        <v>1676</v>
      </c>
      <c r="F875" s="58">
        <v>0.02</v>
      </c>
      <c r="G875" s="50" t="s">
        <v>169</v>
      </c>
      <c r="H875" s="50" t="s">
        <v>2324</v>
      </c>
      <c r="I875" s="49" t="s">
        <v>107</v>
      </c>
      <c r="J875" s="50" t="s">
        <v>544</v>
      </c>
      <c r="K875" s="50" t="s">
        <v>109</v>
      </c>
      <c r="L875" s="50" t="s">
        <v>12</v>
      </c>
      <c r="M875" s="50" t="s">
        <v>13</v>
      </c>
      <c r="N875" s="50" t="s">
        <v>14</v>
      </c>
      <c r="O875" s="48" t="s">
        <v>620</v>
      </c>
      <c r="P875" s="45" t="s">
        <v>453</v>
      </c>
      <c r="Q875" s="35" t="str">
        <f>MID(Tabla1[[#This Row],[Aplicación]],14,1)</f>
        <v>6</v>
      </c>
      <c r="R875" s="35" t="s">
        <v>442</v>
      </c>
      <c r="S875" s="35" t="str">
        <f>MID(Tabla1[[#This Row],[Aplicación]],6,2)</f>
        <v>04</v>
      </c>
      <c r="T875" s="35" t="str">
        <f>VLOOKUP(Tabla1[[#This Row],[AREA]],Hoja1!A:B,2,FALSE)</f>
        <v>04. Planificación y recursos</v>
      </c>
      <c r="U875" s="35" t="str">
        <f>MID(Tabla1[[#This Row],[Aplicación]],9,4)</f>
        <v>9204</v>
      </c>
      <c r="V875" s="35" t="str">
        <f>VLOOKUP(Tabla1[[#This Row],[PROGRAMA]],Hoja1!A:B,2,FALSE)</f>
        <v>9204. Tecnologías de la información y comunicación</v>
      </c>
      <c r="W875" s="35" t="str">
        <f>MID(Tabla1[[#This Row],[Aplicación]],14,2)</f>
        <v>64</v>
      </c>
      <c r="X875" s="35" t="str">
        <f>MID(Tabla1[[#This Row],[Aplicación]],14,6)</f>
        <v>641</v>
      </c>
    </row>
    <row r="876" spans="1:24" x14ac:dyDescent="0.25">
      <c r="A876" s="49">
        <v>220220008276</v>
      </c>
      <c r="B876" s="50" t="s">
        <v>9</v>
      </c>
      <c r="C876" s="57">
        <v>44630</v>
      </c>
      <c r="D876" s="49">
        <v>22022002689</v>
      </c>
      <c r="E876" s="50" t="s">
        <v>1431</v>
      </c>
      <c r="F876" s="58">
        <v>3000.8</v>
      </c>
      <c r="G876" s="50" t="s">
        <v>472</v>
      </c>
      <c r="H876" s="50" t="s">
        <v>2325</v>
      </c>
      <c r="I876" s="49" t="s">
        <v>107</v>
      </c>
      <c r="J876" s="50" t="s">
        <v>109</v>
      </c>
      <c r="K876" s="50" t="s">
        <v>109</v>
      </c>
      <c r="L876" s="50" t="s">
        <v>12</v>
      </c>
      <c r="M876" s="50" t="s">
        <v>10</v>
      </c>
      <c r="N876" s="50" t="s">
        <v>11</v>
      </c>
      <c r="O876" s="48" t="s">
        <v>632</v>
      </c>
      <c r="P876" s="45" t="s">
        <v>453</v>
      </c>
      <c r="Q876" s="35" t="str">
        <f>MID(Tabla1[[#This Row],[Aplicación]],14,1)</f>
        <v>6</v>
      </c>
      <c r="R876" s="35" t="s">
        <v>442</v>
      </c>
      <c r="S876" s="35" t="str">
        <f>MID(Tabla1[[#This Row],[Aplicación]],6,2)</f>
        <v>07</v>
      </c>
      <c r="T876" s="35" t="str">
        <f>VLOOKUP(Tabla1[[#This Row],[AREA]],Hoja1!A:B,2,FALSE)</f>
        <v>07. Medio ambiente y desarrollo sostenible</v>
      </c>
      <c r="U876" s="35" t="str">
        <f>MID(Tabla1[[#This Row],[Aplicación]],9,4)</f>
        <v>1721</v>
      </c>
      <c r="V876" s="35" t="str">
        <f>VLOOKUP(Tabla1[[#This Row],[PROGRAMA]],Hoja1!A:B,2,FALSE)</f>
        <v>1721. Protección del medio ambiente</v>
      </c>
      <c r="W876" s="35" t="str">
        <f>MID(Tabla1[[#This Row],[Aplicación]],14,2)</f>
        <v>63</v>
      </c>
      <c r="X876" s="35" t="str">
        <f>MID(Tabla1[[#This Row],[Aplicación]],14,6)</f>
        <v>633</v>
      </c>
    </row>
    <row r="877" spans="1:24" x14ac:dyDescent="0.25">
      <c r="A877" s="49">
        <v>220220005934</v>
      </c>
      <c r="B877" s="50" t="s">
        <v>9</v>
      </c>
      <c r="C877" s="57">
        <v>44616</v>
      </c>
      <c r="D877" s="49">
        <v>22022002405</v>
      </c>
      <c r="E877" s="50" t="s">
        <v>1955</v>
      </c>
      <c r="F877" s="58">
        <v>3565.75</v>
      </c>
      <c r="G877" s="50" t="s">
        <v>590</v>
      </c>
      <c r="H877" s="50" t="s">
        <v>2326</v>
      </c>
      <c r="I877" s="49" t="s">
        <v>107</v>
      </c>
      <c r="J877" s="50" t="s">
        <v>552</v>
      </c>
      <c r="K877" s="50" t="s">
        <v>109</v>
      </c>
      <c r="L877" s="50" t="s">
        <v>15</v>
      </c>
      <c r="M877" s="50" t="s">
        <v>10</v>
      </c>
      <c r="N877" s="50" t="s">
        <v>11</v>
      </c>
      <c r="O877" s="48" t="s">
        <v>632</v>
      </c>
      <c r="P877" s="45" t="s">
        <v>453</v>
      </c>
      <c r="Q877" s="35" t="str">
        <f>MID(Tabla1[[#This Row],[Aplicación]],14,1)</f>
        <v>2</v>
      </c>
      <c r="R877" s="35" t="s">
        <v>441</v>
      </c>
      <c r="S877" s="35" t="str">
        <f>MID(Tabla1[[#This Row],[Aplicación]],6,2)</f>
        <v>07</v>
      </c>
      <c r="T877" s="35" t="str">
        <f>VLOOKUP(Tabla1[[#This Row],[AREA]],Hoja1!A:B,2,FALSE)</f>
        <v>07. Medio ambiente y desarrollo sostenible</v>
      </c>
      <c r="U877" s="35" t="str">
        <f>MID(Tabla1[[#This Row],[Aplicación]],9,4)</f>
        <v>1721</v>
      </c>
      <c r="V877" s="35" t="str">
        <f>VLOOKUP(Tabla1[[#This Row],[PROGRAMA]],Hoja1!A:B,2,FALSE)</f>
        <v>1721. Protección del medio ambiente</v>
      </c>
      <c r="W877" s="35" t="str">
        <f>MID(Tabla1[[#This Row],[Aplicación]],14,2)</f>
        <v>22</v>
      </c>
      <c r="X877" s="35" t="str">
        <f>MID(Tabla1[[#This Row],[Aplicación]],14,6)</f>
        <v>22112</v>
      </c>
    </row>
    <row r="878" spans="1:24" x14ac:dyDescent="0.25">
      <c r="A878" s="49">
        <v>220220005933</v>
      </c>
      <c r="B878" s="50" t="s">
        <v>9</v>
      </c>
      <c r="C878" s="57">
        <v>44616</v>
      </c>
      <c r="D878" s="49">
        <v>22022002404</v>
      </c>
      <c r="E878" s="50" t="s">
        <v>2309</v>
      </c>
      <c r="F878" s="58">
        <v>471.9</v>
      </c>
      <c r="G878" s="50" t="s">
        <v>590</v>
      </c>
      <c r="H878" s="50" t="s">
        <v>2327</v>
      </c>
      <c r="I878" s="49" t="s">
        <v>107</v>
      </c>
      <c r="J878" s="50" t="s">
        <v>552</v>
      </c>
      <c r="K878" s="50" t="s">
        <v>109</v>
      </c>
      <c r="L878" s="50" t="s">
        <v>12</v>
      </c>
      <c r="M878" s="50" t="s">
        <v>10</v>
      </c>
      <c r="N878" s="50" t="s">
        <v>11</v>
      </c>
      <c r="O878" s="48" t="s">
        <v>632</v>
      </c>
      <c r="P878" s="45" t="s">
        <v>453</v>
      </c>
      <c r="Q878" s="35" t="str">
        <f>MID(Tabla1[[#This Row],[Aplicación]],14,1)</f>
        <v>2</v>
      </c>
      <c r="R878" s="35" t="s">
        <v>441</v>
      </c>
      <c r="S878" s="35" t="str">
        <f>MID(Tabla1[[#This Row],[Aplicación]],6,2)</f>
        <v>07</v>
      </c>
      <c r="T878" s="35" t="str">
        <f>VLOOKUP(Tabla1[[#This Row],[AREA]],Hoja1!A:B,2,FALSE)</f>
        <v>07. Medio ambiente y desarrollo sostenible</v>
      </c>
      <c r="U878" s="35" t="str">
        <f>MID(Tabla1[[#This Row],[Aplicación]],9,4)</f>
        <v>1721</v>
      </c>
      <c r="V878" s="35" t="str">
        <f>VLOOKUP(Tabla1[[#This Row],[PROGRAMA]],Hoja1!A:B,2,FALSE)</f>
        <v>1721. Protección del medio ambiente</v>
      </c>
      <c r="W878" s="35" t="str">
        <f>MID(Tabla1[[#This Row],[Aplicación]],14,2)</f>
        <v>21</v>
      </c>
      <c r="X878" s="35" t="str">
        <f>MID(Tabla1[[#This Row],[Aplicación]],14,6)</f>
        <v>213</v>
      </c>
    </row>
    <row r="879" spans="1:24" x14ac:dyDescent="0.25">
      <c r="A879" s="49">
        <v>220220003106</v>
      </c>
      <c r="B879" s="50" t="s">
        <v>9</v>
      </c>
      <c r="C879" s="57">
        <v>44601</v>
      </c>
      <c r="D879" s="49">
        <v>22022001964</v>
      </c>
      <c r="E879" s="50" t="s">
        <v>1606</v>
      </c>
      <c r="F879" s="58">
        <v>296.60000000000002</v>
      </c>
      <c r="G879" s="50" t="s">
        <v>2328</v>
      </c>
      <c r="H879" s="50" t="s">
        <v>2329</v>
      </c>
      <c r="I879" s="49" t="s">
        <v>107</v>
      </c>
      <c r="J879" s="50" t="s">
        <v>2330</v>
      </c>
      <c r="K879" s="50" t="s">
        <v>501</v>
      </c>
      <c r="L879" s="50" t="s">
        <v>15</v>
      </c>
      <c r="M879" s="50" t="s">
        <v>10</v>
      </c>
      <c r="N879" s="50" t="s">
        <v>11</v>
      </c>
      <c r="O879" s="48" t="s">
        <v>632</v>
      </c>
      <c r="P879" s="45" t="s">
        <v>453</v>
      </c>
      <c r="Q879" s="35" t="str">
        <f>MID(Tabla1[[#This Row],[Aplicación]],14,1)</f>
        <v>2</v>
      </c>
      <c r="R879" s="35" t="s">
        <v>441</v>
      </c>
      <c r="S879" s="35" t="str">
        <f>MID(Tabla1[[#This Row],[Aplicación]],6,2)</f>
        <v>11</v>
      </c>
      <c r="T879" s="35" t="str">
        <f>VLOOKUP(Tabla1[[#This Row],[AREA]],Hoja1!A:B,2,FALSE)</f>
        <v>11. Salud pública y seguridad ciudadana</v>
      </c>
      <c r="U879" s="35" t="str">
        <f>MID(Tabla1[[#This Row],[Aplicación]],9,4)</f>
        <v>1361</v>
      </c>
      <c r="V879" s="35" t="str">
        <f>VLOOKUP(Tabla1[[#This Row],[PROGRAMA]],Hoja1!A:B,2,FALSE)</f>
        <v>1361. Prevención y extinción de incencios</v>
      </c>
      <c r="W879" s="35" t="str">
        <f>MID(Tabla1[[#This Row],[Aplicación]],14,2)</f>
        <v>22</v>
      </c>
      <c r="X879" s="35" t="str">
        <f>MID(Tabla1[[#This Row],[Aplicación]],14,6)</f>
        <v>22199</v>
      </c>
    </row>
    <row r="880" spans="1:24" x14ac:dyDescent="0.25">
      <c r="A880" s="49">
        <v>220219001192</v>
      </c>
      <c r="B880" s="50" t="s">
        <v>9</v>
      </c>
      <c r="C880" s="57">
        <v>44562</v>
      </c>
      <c r="D880" s="49">
        <v>22022000535</v>
      </c>
      <c r="E880" s="50" t="s">
        <v>1657</v>
      </c>
      <c r="F880" s="58">
        <v>48565</v>
      </c>
      <c r="G880" s="50" t="s">
        <v>535</v>
      </c>
      <c r="H880" s="50" t="s">
        <v>2331</v>
      </c>
      <c r="I880" s="49" t="s">
        <v>107</v>
      </c>
      <c r="J880" s="50" t="s">
        <v>171</v>
      </c>
      <c r="K880" s="50" t="s">
        <v>171</v>
      </c>
      <c r="L880" s="50" t="s">
        <v>12</v>
      </c>
      <c r="M880" s="50" t="s">
        <v>13</v>
      </c>
      <c r="N880" s="50" t="s">
        <v>14</v>
      </c>
      <c r="O880" s="48" t="s">
        <v>620</v>
      </c>
      <c r="P880" s="45" t="s">
        <v>453</v>
      </c>
      <c r="Q880" s="35" t="str">
        <f>MID(Tabla1[[#This Row],[Aplicación]],14,1)</f>
        <v>2</v>
      </c>
      <c r="R880" s="35" t="s">
        <v>441</v>
      </c>
      <c r="S880" s="35" t="str">
        <f>MID(Tabla1[[#This Row],[Aplicación]],6,2)</f>
        <v>04</v>
      </c>
      <c r="T880" s="35" t="str">
        <f>VLOOKUP(Tabla1[[#This Row],[AREA]],Hoja1!A:B,2,FALSE)</f>
        <v>04. Planificación y recursos</v>
      </c>
      <c r="U880" s="35" t="str">
        <f>MID(Tabla1[[#This Row],[Aplicación]],9,4)</f>
        <v>9231</v>
      </c>
      <c r="V880" s="35" t="str">
        <f>VLOOKUP(Tabla1[[#This Row],[PROGRAMA]],Hoja1!A:B,2,FALSE)</f>
        <v>9231. Información, registro y gestión del padrón</v>
      </c>
      <c r="W880" s="35" t="str">
        <f>MID(Tabla1[[#This Row],[Aplicación]],14,2)</f>
        <v>22</v>
      </c>
      <c r="X880" s="35" t="str">
        <f>MID(Tabla1[[#This Row],[Aplicación]],14,6)</f>
        <v>22799</v>
      </c>
    </row>
    <row r="881" spans="1:24" x14ac:dyDescent="0.25">
      <c r="A881" s="49">
        <v>220209000038</v>
      </c>
      <c r="B881" s="50" t="s">
        <v>9</v>
      </c>
      <c r="C881" s="57">
        <v>44562</v>
      </c>
      <c r="D881" s="49">
        <v>22022000170</v>
      </c>
      <c r="E881" s="50" t="s">
        <v>1657</v>
      </c>
      <c r="F881" s="58">
        <v>10083.33</v>
      </c>
      <c r="G881" s="50" t="s">
        <v>535</v>
      </c>
      <c r="H881" s="50" t="s">
        <v>695</v>
      </c>
      <c r="I881" s="49" t="s">
        <v>107</v>
      </c>
      <c r="J881" s="50" t="s">
        <v>171</v>
      </c>
      <c r="K881" s="50" t="s">
        <v>171</v>
      </c>
      <c r="L881" s="50" t="s">
        <v>12</v>
      </c>
      <c r="M881" s="50" t="s">
        <v>13</v>
      </c>
      <c r="N881" s="50" t="s">
        <v>14</v>
      </c>
      <c r="O881" s="48" t="s">
        <v>620</v>
      </c>
      <c r="P881" s="45" t="s">
        <v>453</v>
      </c>
      <c r="Q881" s="35" t="str">
        <f>MID(Tabla1[[#This Row],[Aplicación]],14,1)</f>
        <v>2</v>
      </c>
      <c r="R881" s="35" t="s">
        <v>441</v>
      </c>
      <c r="S881" s="35" t="str">
        <f>MID(Tabla1[[#This Row],[Aplicación]],6,2)</f>
        <v>04</v>
      </c>
      <c r="T881" s="35" t="str">
        <f>VLOOKUP(Tabla1[[#This Row],[AREA]],Hoja1!A:B,2,FALSE)</f>
        <v>04. Planificación y recursos</v>
      </c>
      <c r="U881" s="35" t="str">
        <f>MID(Tabla1[[#This Row],[Aplicación]],9,4)</f>
        <v>9231</v>
      </c>
      <c r="V881" s="35" t="str">
        <f>VLOOKUP(Tabla1[[#This Row],[PROGRAMA]],Hoja1!A:B,2,FALSE)</f>
        <v>9231. Información, registro y gestión del padrón</v>
      </c>
      <c r="W881" s="35" t="str">
        <f>MID(Tabla1[[#This Row],[Aplicación]],14,2)</f>
        <v>22</v>
      </c>
      <c r="X881" s="35" t="str">
        <f>MID(Tabla1[[#This Row],[Aplicación]],14,6)</f>
        <v>22799</v>
      </c>
    </row>
    <row r="882" spans="1:24" x14ac:dyDescent="0.25">
      <c r="A882" s="49">
        <v>220210037246</v>
      </c>
      <c r="B882" s="50" t="s">
        <v>9</v>
      </c>
      <c r="C882" s="57">
        <v>44620</v>
      </c>
      <c r="D882" s="49">
        <v>22021002927</v>
      </c>
      <c r="E882" s="50" t="s">
        <v>1872</v>
      </c>
      <c r="F882" s="58">
        <v>505.85</v>
      </c>
      <c r="G882" s="50" t="s">
        <v>1098</v>
      </c>
      <c r="H882" s="50" t="s">
        <v>1099</v>
      </c>
      <c r="I882" s="49" t="s">
        <v>107</v>
      </c>
      <c r="J882" s="50" t="s">
        <v>151</v>
      </c>
      <c r="K882" s="50" t="s">
        <v>151</v>
      </c>
      <c r="L882" s="50" t="s">
        <v>25</v>
      </c>
      <c r="M882" s="50" t="s">
        <v>13</v>
      </c>
      <c r="N882" s="50" t="s">
        <v>14</v>
      </c>
      <c r="O882" s="48" t="s">
        <v>620</v>
      </c>
      <c r="P882" s="45" t="s">
        <v>453</v>
      </c>
      <c r="Q882" s="35" t="str">
        <f>MID(Tabla1[[#This Row],[Aplicación]],14,1)</f>
        <v>6</v>
      </c>
      <c r="R882" s="35" t="s">
        <v>442</v>
      </c>
      <c r="S882" s="35" t="str">
        <f>MID(Tabla1[[#This Row],[Aplicación]],6,2)</f>
        <v>10</v>
      </c>
      <c r="T882" s="35" t="str">
        <f>VLOOKUP(Tabla1[[#This Row],[AREA]],Hoja1!A:B,2,FALSE)</f>
        <v>10. Servicios sociales y mediación comunitaria</v>
      </c>
      <c r="U882" s="35" t="str">
        <f>MID(Tabla1[[#This Row],[Aplicación]],9,4)</f>
        <v>2312</v>
      </c>
      <c r="V882" s="35" t="str">
        <f>VLOOKUP(Tabla1[[#This Row],[PROGRAMA]],Hoja1!A:B,2,FALSE)</f>
        <v>2312. Iniciativas sociales</v>
      </c>
      <c r="W882" s="35" t="str">
        <f>MID(Tabla1[[#This Row],[Aplicación]],14,2)</f>
        <v>63</v>
      </c>
      <c r="X882" s="35" t="str">
        <f>MID(Tabla1[[#This Row],[Aplicación]],14,6)</f>
        <v>632</v>
      </c>
    </row>
    <row r="883" spans="1:24" x14ac:dyDescent="0.25">
      <c r="A883" s="49">
        <v>220220007930</v>
      </c>
      <c r="B883" s="50" t="s">
        <v>9</v>
      </c>
      <c r="C883" s="57">
        <v>44627</v>
      </c>
      <c r="D883" s="49">
        <v>22022002600</v>
      </c>
      <c r="E883" s="50" t="s">
        <v>1890</v>
      </c>
      <c r="F883" s="58">
        <v>1848.88</v>
      </c>
      <c r="G883" s="50" t="s">
        <v>691</v>
      </c>
      <c r="H883" s="50" t="s">
        <v>2332</v>
      </c>
      <c r="I883" s="49" t="s">
        <v>107</v>
      </c>
      <c r="J883" s="50" t="s">
        <v>109</v>
      </c>
      <c r="K883" s="50" t="s">
        <v>109</v>
      </c>
      <c r="L883" s="50" t="s">
        <v>12</v>
      </c>
      <c r="M883" s="50" t="s">
        <v>10</v>
      </c>
      <c r="N883" s="50" t="s">
        <v>11</v>
      </c>
      <c r="O883" s="48" t="s">
        <v>632</v>
      </c>
      <c r="P883" s="45" t="s">
        <v>453</v>
      </c>
      <c r="Q883" s="35" t="str">
        <f>MID(Tabla1[[#This Row],[Aplicación]],14,1)</f>
        <v>2</v>
      </c>
      <c r="R883" s="35" t="s">
        <v>441</v>
      </c>
      <c r="S883" s="35" t="str">
        <f>MID(Tabla1[[#This Row],[Aplicación]],6,2)</f>
        <v>02</v>
      </c>
      <c r="T883" s="35" t="str">
        <f>VLOOKUP(Tabla1[[#This Row],[AREA]],Hoja1!A:B,2,FALSE)</f>
        <v>02. Planeamiento urbanístico y vivienda</v>
      </c>
      <c r="U883" s="35" t="str">
        <f>MID(Tabla1[[#This Row],[Aplicación]],9,4)</f>
        <v>9332</v>
      </c>
      <c r="V883" s="35" t="str">
        <f>VLOOKUP(Tabla1[[#This Row],[PROGRAMA]],Hoja1!A:B,2,FALSE)</f>
        <v>9332. Mantenimiento de edificios e instalaciones municipales</v>
      </c>
      <c r="W883" s="35" t="str">
        <f>MID(Tabla1[[#This Row],[Aplicación]],14,2)</f>
        <v>21</v>
      </c>
      <c r="X883" s="35" t="str">
        <f>MID(Tabla1[[#This Row],[Aplicación]],14,6)</f>
        <v>212</v>
      </c>
    </row>
    <row r="884" spans="1:24" x14ac:dyDescent="0.25">
      <c r="A884" s="49">
        <v>220220003114</v>
      </c>
      <c r="B884" s="50" t="s">
        <v>26</v>
      </c>
      <c r="C884" s="57">
        <v>44601</v>
      </c>
      <c r="D884" s="49">
        <v>22022001679</v>
      </c>
      <c r="E884" s="50" t="s">
        <v>1789</v>
      </c>
      <c r="F884" s="58">
        <v>712.75</v>
      </c>
      <c r="G884" s="50" t="s">
        <v>498</v>
      </c>
      <c r="H884" s="50" t="s">
        <v>2333</v>
      </c>
      <c r="I884" s="49" t="s">
        <v>197</v>
      </c>
      <c r="J884" s="50" t="s">
        <v>109</v>
      </c>
      <c r="K884" s="50" t="s">
        <v>109</v>
      </c>
      <c r="L884" s="50" t="s">
        <v>25</v>
      </c>
      <c r="M884" s="50" t="s">
        <v>13</v>
      </c>
      <c r="N884" s="50" t="s">
        <v>14</v>
      </c>
      <c r="O884" s="48" t="s">
        <v>620</v>
      </c>
      <c r="P884" s="45" t="s">
        <v>453</v>
      </c>
      <c r="Q884" s="35" t="str">
        <f>MID(Tabla1[[#This Row],[Aplicación]],14,1)</f>
        <v>6</v>
      </c>
      <c r="R884" s="35" t="s">
        <v>442</v>
      </c>
      <c r="S884" s="35" t="str">
        <f>MID(Tabla1[[#This Row],[Aplicación]],6,2)</f>
        <v>10</v>
      </c>
      <c r="T884" s="35" t="str">
        <f>VLOOKUP(Tabla1[[#This Row],[AREA]],Hoja1!A:B,2,FALSE)</f>
        <v>10. Servicios sociales y mediación comunitaria</v>
      </c>
      <c r="U884" s="35" t="str">
        <f>MID(Tabla1[[#This Row],[Aplicación]],9,4)</f>
        <v>2311</v>
      </c>
      <c r="V884" s="35" t="str">
        <f>VLOOKUP(Tabla1[[#This Row],[PROGRAMA]],Hoja1!A:B,2,FALSE)</f>
        <v>2311. Intervención social</v>
      </c>
      <c r="W884" s="35" t="str">
        <f>MID(Tabla1[[#This Row],[Aplicación]],14,2)</f>
        <v>63</v>
      </c>
      <c r="X884" s="35" t="str">
        <f>MID(Tabla1[[#This Row],[Aplicación]],14,6)</f>
        <v>632</v>
      </c>
    </row>
    <row r="885" spans="1:24" x14ac:dyDescent="0.25">
      <c r="A885" s="49">
        <v>220220002201</v>
      </c>
      <c r="B885" s="50" t="s">
        <v>9</v>
      </c>
      <c r="C885" s="57">
        <v>44592</v>
      </c>
      <c r="D885" s="49">
        <v>22022001633</v>
      </c>
      <c r="E885" s="50" t="s">
        <v>1629</v>
      </c>
      <c r="F885" s="58">
        <v>2600</v>
      </c>
      <c r="G885" s="50" t="s">
        <v>989</v>
      </c>
      <c r="H885" s="50" t="s">
        <v>2334</v>
      </c>
      <c r="I885" s="49" t="s">
        <v>107</v>
      </c>
      <c r="J885" s="50" t="s">
        <v>109</v>
      </c>
      <c r="K885" s="50" t="s">
        <v>109</v>
      </c>
      <c r="L885" s="50" t="s">
        <v>12</v>
      </c>
      <c r="M885" s="50" t="s">
        <v>10</v>
      </c>
      <c r="N885" s="50" t="s">
        <v>11</v>
      </c>
      <c r="O885" s="48" t="s">
        <v>632</v>
      </c>
      <c r="P885" s="45" t="s">
        <v>453</v>
      </c>
      <c r="Q885" s="35" t="str">
        <f>MID(Tabla1[[#This Row],[Aplicación]],14,1)</f>
        <v>2</v>
      </c>
      <c r="R885" s="35" t="s">
        <v>441</v>
      </c>
      <c r="S885" s="35" t="str">
        <f>MID(Tabla1[[#This Row],[Aplicación]],6,2)</f>
        <v>06</v>
      </c>
      <c r="T885" s="35" t="str">
        <f>VLOOKUP(Tabla1[[#This Row],[AREA]],Hoja1!A:B,2,FALSE)</f>
        <v>06. Educación, infancia, juventud e igualdad</v>
      </c>
      <c r="U885" s="35" t="str">
        <f>MID(Tabla1[[#This Row],[Aplicación]],9,4)</f>
        <v>2315</v>
      </c>
      <c r="V885" s="35" t="str">
        <f>VLOOKUP(Tabla1[[#This Row],[PROGRAMA]],Hoja1!A:B,2,FALSE)</f>
        <v>2315. Políticas de Igualdad e infancia</v>
      </c>
      <c r="W885" s="35" t="str">
        <f>MID(Tabla1[[#This Row],[Aplicación]],14,2)</f>
        <v>22</v>
      </c>
      <c r="X885" s="35" t="str">
        <f>MID(Tabla1[[#This Row],[Aplicación]],14,6)</f>
        <v>22611</v>
      </c>
    </row>
    <row r="886" spans="1:24" x14ac:dyDescent="0.25">
      <c r="A886" s="49">
        <v>220220009338</v>
      </c>
      <c r="B886" s="50" t="s">
        <v>9</v>
      </c>
      <c r="C886" s="57">
        <v>44636</v>
      </c>
      <c r="D886" s="49">
        <v>22022002299</v>
      </c>
      <c r="E886" s="50" t="s">
        <v>1629</v>
      </c>
      <c r="F886" s="58">
        <v>330</v>
      </c>
      <c r="G886" s="50" t="s">
        <v>989</v>
      </c>
      <c r="H886" s="50" t="s">
        <v>2335</v>
      </c>
      <c r="I886" s="49" t="s">
        <v>107</v>
      </c>
      <c r="J886" s="50" t="s">
        <v>109</v>
      </c>
      <c r="K886" s="50" t="s">
        <v>109</v>
      </c>
      <c r="L886" s="50" t="s">
        <v>12</v>
      </c>
      <c r="M886" s="50" t="s">
        <v>10</v>
      </c>
      <c r="N886" s="50" t="s">
        <v>11</v>
      </c>
      <c r="O886" s="48" t="s">
        <v>632</v>
      </c>
      <c r="P886" s="45" t="s">
        <v>453</v>
      </c>
      <c r="Q886" s="35" t="str">
        <f>MID(Tabla1[[#This Row],[Aplicación]],14,1)</f>
        <v>2</v>
      </c>
      <c r="R886" s="35" t="s">
        <v>441</v>
      </c>
      <c r="S886" s="35" t="str">
        <f>MID(Tabla1[[#This Row],[Aplicación]],6,2)</f>
        <v>06</v>
      </c>
      <c r="T886" s="35" t="str">
        <f>VLOOKUP(Tabla1[[#This Row],[AREA]],Hoja1!A:B,2,FALSE)</f>
        <v>06. Educación, infancia, juventud e igualdad</v>
      </c>
      <c r="U886" s="35" t="str">
        <f>MID(Tabla1[[#This Row],[Aplicación]],9,4)</f>
        <v>2315</v>
      </c>
      <c r="V886" s="35" t="str">
        <f>VLOOKUP(Tabla1[[#This Row],[PROGRAMA]],Hoja1!A:B,2,FALSE)</f>
        <v>2315. Políticas de Igualdad e infancia</v>
      </c>
      <c r="W886" s="35" t="str">
        <f>MID(Tabla1[[#This Row],[Aplicación]],14,2)</f>
        <v>22</v>
      </c>
      <c r="X886" s="35" t="str">
        <f>MID(Tabla1[[#This Row],[Aplicación]],14,6)</f>
        <v>22611</v>
      </c>
    </row>
    <row r="887" spans="1:24" x14ac:dyDescent="0.25">
      <c r="A887" s="49">
        <v>220220013430</v>
      </c>
      <c r="B887" s="50" t="s">
        <v>9</v>
      </c>
      <c r="C887" s="57">
        <v>44651</v>
      </c>
      <c r="D887" s="49">
        <v>22022003092</v>
      </c>
      <c r="E887" s="50" t="s">
        <v>2232</v>
      </c>
      <c r="F887" s="58">
        <v>220</v>
      </c>
      <c r="G887" s="50" t="s">
        <v>2336</v>
      </c>
      <c r="H887" s="50" t="s">
        <v>2337</v>
      </c>
      <c r="I887" s="49" t="s">
        <v>107</v>
      </c>
      <c r="J887" s="50" t="s">
        <v>109</v>
      </c>
      <c r="K887" s="50" t="s">
        <v>109</v>
      </c>
      <c r="L887" s="50" t="s">
        <v>12</v>
      </c>
      <c r="M887" s="50" t="s">
        <v>10</v>
      </c>
      <c r="N887" s="50" t="s">
        <v>11</v>
      </c>
      <c r="O887" s="48" t="s">
        <v>632</v>
      </c>
      <c r="P887" s="45" t="s">
        <v>453</v>
      </c>
      <c r="Q887" s="35" t="str">
        <f>MID(Tabla1[[#This Row],[Aplicación]],14,1)</f>
        <v>2</v>
      </c>
      <c r="R887" s="35" t="s">
        <v>441</v>
      </c>
      <c r="S887" s="35" t="str">
        <f>MID(Tabla1[[#This Row],[Aplicación]],6,2)</f>
        <v>06</v>
      </c>
      <c r="T887" s="35" t="str">
        <f>VLOOKUP(Tabla1[[#This Row],[AREA]],Hoja1!A:B,2,FALSE)</f>
        <v>06. Educación, infancia, juventud e igualdad</v>
      </c>
      <c r="U887" s="35" t="str">
        <f>MID(Tabla1[[#This Row],[Aplicación]],9,4)</f>
        <v>3231</v>
      </c>
      <c r="V887" s="35" t="str">
        <f>VLOOKUP(Tabla1[[#This Row],[PROGRAMA]],Hoja1!A:B,2,FALSE)</f>
        <v>3231. Escuelas infantiles</v>
      </c>
      <c r="W887" s="35" t="str">
        <f>MID(Tabla1[[#This Row],[Aplicación]],14,2)</f>
        <v>22</v>
      </c>
      <c r="X887" s="35" t="str">
        <f>MID(Tabla1[[#This Row],[Aplicación]],14,6)</f>
        <v>22699</v>
      </c>
    </row>
    <row r="888" spans="1:24" x14ac:dyDescent="0.25">
      <c r="A888" s="49">
        <v>220209000285</v>
      </c>
      <c r="B888" s="50" t="s">
        <v>9</v>
      </c>
      <c r="C888" s="57">
        <v>44562</v>
      </c>
      <c r="D888" s="49">
        <v>22022000182</v>
      </c>
      <c r="E888" s="50" t="s">
        <v>1776</v>
      </c>
      <c r="F888" s="58">
        <v>28788.38</v>
      </c>
      <c r="G888" s="50" t="s">
        <v>160</v>
      </c>
      <c r="H888" s="50" t="s">
        <v>696</v>
      </c>
      <c r="I888" s="49" t="s">
        <v>107</v>
      </c>
      <c r="J888" s="50" t="s">
        <v>134</v>
      </c>
      <c r="K888" s="50" t="s">
        <v>134</v>
      </c>
      <c r="L888" s="50" t="s">
        <v>12</v>
      </c>
      <c r="M888" s="50" t="s">
        <v>13</v>
      </c>
      <c r="N888" s="50" t="s">
        <v>14</v>
      </c>
      <c r="O888" s="48" t="s">
        <v>620</v>
      </c>
      <c r="P888" s="45" t="s">
        <v>453</v>
      </c>
      <c r="Q888" s="35" t="str">
        <f>MID(Tabla1[[#This Row],[Aplicación]],14,1)</f>
        <v>2</v>
      </c>
      <c r="R888" s="35" t="s">
        <v>441</v>
      </c>
      <c r="S888" s="35" t="str">
        <f>MID(Tabla1[[#This Row],[Aplicación]],6,2)</f>
        <v>11</v>
      </c>
      <c r="T888" s="35" t="str">
        <f>VLOOKUP(Tabla1[[#This Row],[AREA]],Hoja1!A:B,2,FALSE)</f>
        <v>11. Salud pública y seguridad ciudadana</v>
      </c>
      <c r="U888" s="35" t="str">
        <f>MID(Tabla1[[#This Row],[Aplicación]],9,4)</f>
        <v>1631</v>
      </c>
      <c r="V888" s="35" t="str">
        <f>VLOOKUP(Tabla1[[#This Row],[PROGRAMA]],Hoja1!A:B,2,FALSE)</f>
        <v>1631. Limpieza viaria</v>
      </c>
      <c r="W888" s="35" t="str">
        <f>MID(Tabla1[[#This Row],[Aplicación]],14,2)</f>
        <v>22</v>
      </c>
      <c r="X888" s="35" t="str">
        <f>MID(Tabla1[[#This Row],[Aplicación]],14,6)</f>
        <v>22700</v>
      </c>
    </row>
    <row r="889" spans="1:24" x14ac:dyDescent="0.25">
      <c r="A889" s="49">
        <v>220220012644</v>
      </c>
      <c r="B889" s="50" t="s">
        <v>172</v>
      </c>
      <c r="C889" s="57">
        <v>44644</v>
      </c>
      <c r="D889" s="49">
        <v>22022001455</v>
      </c>
      <c r="E889" s="50" t="s">
        <v>1471</v>
      </c>
      <c r="F889" s="58">
        <v>1999.84</v>
      </c>
      <c r="G889" s="50" t="s">
        <v>187</v>
      </c>
      <c r="H889" s="50" t="s">
        <v>2338</v>
      </c>
      <c r="I889" s="49" t="s">
        <v>173</v>
      </c>
      <c r="J889" s="50" t="s">
        <v>109</v>
      </c>
      <c r="K889" s="50" t="s">
        <v>109</v>
      </c>
      <c r="L889" s="50" t="s">
        <v>15</v>
      </c>
      <c r="M889" s="50" t="s">
        <v>13</v>
      </c>
      <c r="N889" s="50" t="s">
        <v>14</v>
      </c>
      <c r="O889" s="48" t="s">
        <v>631</v>
      </c>
      <c r="P889" s="45" t="s">
        <v>453</v>
      </c>
      <c r="Q889" s="35" t="str">
        <f>MID(Tabla1[[#This Row],[Aplicación]],14,1)</f>
        <v>2</v>
      </c>
      <c r="R889" s="35" t="s">
        <v>441</v>
      </c>
      <c r="S889" s="35" t="str">
        <f>MID(Tabla1[[#This Row],[Aplicación]],6,2)</f>
        <v>11</v>
      </c>
      <c r="T889" s="35" t="str">
        <f>VLOOKUP(Tabla1[[#This Row],[AREA]],Hoja1!A:B,2,FALSE)</f>
        <v>11. Salud pública y seguridad ciudadana</v>
      </c>
      <c r="U889" s="35" t="str">
        <f>MID(Tabla1[[#This Row],[Aplicación]],9,4)</f>
        <v>1321</v>
      </c>
      <c r="V889" s="35" t="str">
        <f>VLOOKUP(Tabla1[[#This Row],[PROGRAMA]],Hoja1!A:B,2,FALSE)</f>
        <v>1321. Policía municipal</v>
      </c>
      <c r="W889" s="35" t="str">
        <f>MID(Tabla1[[#This Row],[Aplicación]],14,2)</f>
        <v>21</v>
      </c>
      <c r="X889" s="35" t="str">
        <f>MID(Tabla1[[#This Row],[Aplicación]],14,6)</f>
        <v>213</v>
      </c>
    </row>
    <row r="890" spans="1:24" x14ac:dyDescent="0.25">
      <c r="A890" s="49">
        <v>220220004143</v>
      </c>
      <c r="B890" s="50" t="s">
        <v>172</v>
      </c>
      <c r="C890" s="57">
        <v>44610</v>
      </c>
      <c r="D890" s="49">
        <v>22022001456</v>
      </c>
      <c r="E890" s="50" t="s">
        <v>2012</v>
      </c>
      <c r="F890" s="58">
        <v>927.5</v>
      </c>
      <c r="G890" s="50" t="s">
        <v>187</v>
      </c>
      <c r="H890" s="50" t="s">
        <v>2339</v>
      </c>
      <c r="I890" s="49" t="s">
        <v>173</v>
      </c>
      <c r="J890" s="50" t="s">
        <v>109</v>
      </c>
      <c r="K890" s="50" t="s">
        <v>109</v>
      </c>
      <c r="L890" s="50" t="s">
        <v>15</v>
      </c>
      <c r="M890" s="50" t="s">
        <v>13</v>
      </c>
      <c r="N890" s="50" t="s">
        <v>14</v>
      </c>
      <c r="O890" s="48" t="s">
        <v>631</v>
      </c>
      <c r="P890" s="45" t="s">
        <v>453</v>
      </c>
      <c r="Q890" s="35" t="str">
        <f>MID(Tabla1[[#This Row],[Aplicación]],14,1)</f>
        <v>2</v>
      </c>
      <c r="R890" s="35" t="s">
        <v>441</v>
      </c>
      <c r="S890" s="35" t="str">
        <f>MID(Tabla1[[#This Row],[Aplicación]],6,2)</f>
        <v>11</v>
      </c>
      <c r="T890" s="35" t="str">
        <f>VLOOKUP(Tabla1[[#This Row],[AREA]],Hoja1!A:B,2,FALSE)</f>
        <v>11. Salud pública y seguridad ciudadana</v>
      </c>
      <c r="U890" s="35" t="str">
        <f>MID(Tabla1[[#This Row],[Aplicación]],9,4)</f>
        <v>1321</v>
      </c>
      <c r="V890" s="35" t="str">
        <f>VLOOKUP(Tabla1[[#This Row],[PROGRAMA]],Hoja1!A:B,2,FALSE)</f>
        <v>1321. Policía municipal</v>
      </c>
      <c r="W890" s="35" t="str">
        <f>MID(Tabla1[[#This Row],[Aplicación]],14,2)</f>
        <v>22</v>
      </c>
      <c r="X890" s="35" t="str">
        <f>MID(Tabla1[[#This Row],[Aplicación]],14,6)</f>
        <v>22199</v>
      </c>
    </row>
    <row r="891" spans="1:24" x14ac:dyDescent="0.25">
      <c r="A891" s="49">
        <v>220220008322</v>
      </c>
      <c r="B891" s="50" t="s">
        <v>172</v>
      </c>
      <c r="C891" s="57">
        <v>44631</v>
      </c>
      <c r="D891" s="49">
        <v>22022001623</v>
      </c>
      <c r="E891" s="50" t="s">
        <v>1606</v>
      </c>
      <c r="F891" s="58">
        <v>771.98</v>
      </c>
      <c r="G891" s="50" t="s">
        <v>187</v>
      </c>
      <c r="H891" s="50" t="s">
        <v>2340</v>
      </c>
      <c r="I891" s="49" t="s">
        <v>173</v>
      </c>
      <c r="J891" s="50" t="s">
        <v>109</v>
      </c>
      <c r="K891" s="50" t="s">
        <v>109</v>
      </c>
      <c r="L891" s="50" t="s">
        <v>15</v>
      </c>
      <c r="M891" s="50" t="s">
        <v>13</v>
      </c>
      <c r="N891" s="50" t="s">
        <v>14</v>
      </c>
      <c r="O891" s="48" t="s">
        <v>631</v>
      </c>
      <c r="P891" s="45" t="s">
        <v>453</v>
      </c>
      <c r="Q891" s="35" t="str">
        <f>MID(Tabla1[[#This Row],[Aplicación]],14,1)</f>
        <v>2</v>
      </c>
      <c r="R891" s="35" t="s">
        <v>441</v>
      </c>
      <c r="S891" s="35" t="str">
        <f>MID(Tabla1[[#This Row],[Aplicación]],6,2)</f>
        <v>11</v>
      </c>
      <c r="T891" s="35" t="str">
        <f>VLOOKUP(Tabla1[[#This Row],[AREA]],Hoja1!A:B,2,FALSE)</f>
        <v>11. Salud pública y seguridad ciudadana</v>
      </c>
      <c r="U891" s="35" t="str">
        <f>MID(Tabla1[[#This Row],[Aplicación]],9,4)</f>
        <v>1361</v>
      </c>
      <c r="V891" s="35" t="str">
        <f>VLOOKUP(Tabla1[[#This Row],[PROGRAMA]],Hoja1!A:B,2,FALSE)</f>
        <v>1361. Prevención y extinción de incencios</v>
      </c>
      <c r="W891" s="35" t="str">
        <f>MID(Tabla1[[#This Row],[Aplicación]],14,2)</f>
        <v>22</v>
      </c>
      <c r="X891" s="35" t="str">
        <f>MID(Tabla1[[#This Row],[Aplicación]],14,6)</f>
        <v>22199</v>
      </c>
    </row>
    <row r="892" spans="1:24" x14ac:dyDescent="0.25">
      <c r="A892" s="49">
        <v>220220003580</v>
      </c>
      <c r="B892" s="50" t="s">
        <v>172</v>
      </c>
      <c r="C892" s="57">
        <v>44607</v>
      </c>
      <c r="D892" s="49">
        <v>22022001628</v>
      </c>
      <c r="E892" s="50" t="s">
        <v>1742</v>
      </c>
      <c r="F892" s="58">
        <v>470.61</v>
      </c>
      <c r="G892" s="50" t="s">
        <v>187</v>
      </c>
      <c r="H892" s="50" t="s">
        <v>2341</v>
      </c>
      <c r="I892" s="49" t="s">
        <v>173</v>
      </c>
      <c r="J892" s="50" t="s">
        <v>109</v>
      </c>
      <c r="K892" s="50" t="s">
        <v>109</v>
      </c>
      <c r="L892" s="50" t="s">
        <v>15</v>
      </c>
      <c r="M892" s="50" t="s">
        <v>13</v>
      </c>
      <c r="N892" s="50" t="s">
        <v>16</v>
      </c>
      <c r="O892" s="48" t="s">
        <v>631</v>
      </c>
      <c r="P892" s="45" t="s">
        <v>453</v>
      </c>
      <c r="Q892" s="35" t="str">
        <f>MID(Tabla1[[#This Row],[Aplicación]],14,1)</f>
        <v>2</v>
      </c>
      <c r="R892" s="35" t="s">
        <v>441</v>
      </c>
      <c r="S892" s="35" t="str">
        <f>MID(Tabla1[[#This Row],[Aplicación]],6,2)</f>
        <v>03</v>
      </c>
      <c r="T892" s="35" t="str">
        <f>VLOOKUP(Tabla1[[#This Row],[AREA]],Hoja1!A:B,2,FALSE)</f>
        <v>03. Participación ciudadana y deportes</v>
      </c>
      <c r="U892" s="35" t="str">
        <f>MID(Tabla1[[#This Row],[Aplicación]],9,4)</f>
        <v>9241</v>
      </c>
      <c r="V892" s="35" t="str">
        <f>VLOOKUP(Tabla1[[#This Row],[PROGRAMA]],Hoja1!A:B,2,FALSE)</f>
        <v>9241. Participación ciudadana</v>
      </c>
      <c r="W892" s="35" t="str">
        <f>MID(Tabla1[[#This Row],[Aplicación]],14,2)</f>
        <v>21</v>
      </c>
      <c r="X892" s="35" t="str">
        <f>MID(Tabla1[[#This Row],[Aplicación]],14,6)</f>
        <v>213</v>
      </c>
    </row>
    <row r="893" spans="1:24" x14ac:dyDescent="0.25">
      <c r="A893" s="49">
        <v>220220005762</v>
      </c>
      <c r="B893" s="50" t="s">
        <v>172</v>
      </c>
      <c r="C893" s="57">
        <v>44614</v>
      </c>
      <c r="D893" s="49">
        <v>22022001628</v>
      </c>
      <c r="E893" s="50" t="s">
        <v>1742</v>
      </c>
      <c r="F893" s="58">
        <v>319.14999999999998</v>
      </c>
      <c r="G893" s="50" t="s">
        <v>187</v>
      </c>
      <c r="H893" s="50" t="s">
        <v>2342</v>
      </c>
      <c r="I893" s="49" t="s">
        <v>173</v>
      </c>
      <c r="J893" s="50" t="s">
        <v>109</v>
      </c>
      <c r="K893" s="50" t="s">
        <v>109</v>
      </c>
      <c r="L893" s="50" t="s">
        <v>15</v>
      </c>
      <c r="M893" s="50" t="s">
        <v>13</v>
      </c>
      <c r="N893" s="50" t="s">
        <v>16</v>
      </c>
      <c r="O893" s="48" t="s">
        <v>631</v>
      </c>
      <c r="P893" s="45" t="s">
        <v>453</v>
      </c>
      <c r="Q893" s="35" t="str">
        <f>MID(Tabla1[[#This Row],[Aplicación]],14,1)</f>
        <v>2</v>
      </c>
      <c r="R893" s="35" t="s">
        <v>441</v>
      </c>
      <c r="S893" s="35" t="str">
        <f>MID(Tabla1[[#This Row],[Aplicación]],6,2)</f>
        <v>03</v>
      </c>
      <c r="T893" s="35" t="str">
        <f>VLOOKUP(Tabla1[[#This Row],[AREA]],Hoja1!A:B,2,FALSE)</f>
        <v>03. Participación ciudadana y deportes</v>
      </c>
      <c r="U893" s="35" t="str">
        <f>MID(Tabla1[[#This Row],[Aplicación]],9,4)</f>
        <v>9241</v>
      </c>
      <c r="V893" s="35" t="str">
        <f>VLOOKUP(Tabla1[[#This Row],[PROGRAMA]],Hoja1!A:B,2,FALSE)</f>
        <v>9241. Participación ciudadana</v>
      </c>
      <c r="W893" s="35" t="str">
        <f>MID(Tabla1[[#This Row],[Aplicación]],14,2)</f>
        <v>21</v>
      </c>
      <c r="X893" s="35" t="str">
        <f>MID(Tabla1[[#This Row],[Aplicación]],14,6)</f>
        <v>213</v>
      </c>
    </row>
    <row r="894" spans="1:24" x14ac:dyDescent="0.25">
      <c r="A894" s="49">
        <v>220220001751</v>
      </c>
      <c r="B894" s="50" t="s">
        <v>172</v>
      </c>
      <c r="C894" s="57">
        <v>44588</v>
      </c>
      <c r="D894" s="49">
        <v>22022001636</v>
      </c>
      <c r="E894" s="50" t="s">
        <v>1853</v>
      </c>
      <c r="F894" s="58">
        <v>130.03</v>
      </c>
      <c r="G894" s="50" t="s">
        <v>199</v>
      </c>
      <c r="H894" s="50" t="s">
        <v>1109</v>
      </c>
      <c r="I894" s="49" t="s">
        <v>173</v>
      </c>
      <c r="J894" s="50" t="s">
        <v>109</v>
      </c>
      <c r="K894" s="50" t="s">
        <v>109</v>
      </c>
      <c r="L894" s="50" t="s">
        <v>15</v>
      </c>
      <c r="M894" s="50" t="s">
        <v>13</v>
      </c>
      <c r="N894" s="50" t="s">
        <v>14</v>
      </c>
      <c r="O894" s="48" t="s">
        <v>631</v>
      </c>
      <c r="P894" s="45" t="s">
        <v>453</v>
      </c>
      <c r="Q894" s="35" t="str">
        <f>MID(Tabla1[[#This Row],[Aplicación]],14,1)</f>
        <v>2</v>
      </c>
      <c r="R894" s="35" t="s">
        <v>441</v>
      </c>
      <c r="S894" s="35" t="str">
        <f>MID(Tabla1[[#This Row],[Aplicación]],6,2)</f>
        <v>07</v>
      </c>
      <c r="T894" s="35" t="str">
        <f>VLOOKUP(Tabla1[[#This Row],[AREA]],Hoja1!A:B,2,FALSE)</f>
        <v>07. Medio ambiente y desarrollo sostenible</v>
      </c>
      <c r="U894" s="35" t="str">
        <f>MID(Tabla1[[#This Row],[Aplicación]],9,4)</f>
        <v>1711</v>
      </c>
      <c r="V894" s="35" t="str">
        <f>VLOOKUP(Tabla1[[#This Row],[PROGRAMA]],Hoja1!A:B,2,FALSE)</f>
        <v>1711. Parques y jardines</v>
      </c>
      <c r="W894" s="35" t="str">
        <f>MID(Tabla1[[#This Row],[Aplicación]],14,2)</f>
        <v>21</v>
      </c>
      <c r="X894" s="35" t="str">
        <f>MID(Tabla1[[#This Row],[Aplicación]],14,6)</f>
        <v>213</v>
      </c>
    </row>
    <row r="895" spans="1:24" x14ac:dyDescent="0.25">
      <c r="A895" s="49">
        <v>220220001753</v>
      </c>
      <c r="B895" s="50" t="s">
        <v>172</v>
      </c>
      <c r="C895" s="57">
        <v>44588</v>
      </c>
      <c r="D895" s="49">
        <v>22022001636</v>
      </c>
      <c r="E895" s="50" t="s">
        <v>1853</v>
      </c>
      <c r="F895" s="58">
        <v>743.53</v>
      </c>
      <c r="G895" s="50" t="s">
        <v>199</v>
      </c>
      <c r="H895" s="50" t="s">
        <v>1097</v>
      </c>
      <c r="I895" s="49" t="s">
        <v>173</v>
      </c>
      <c r="J895" s="50" t="s">
        <v>109</v>
      </c>
      <c r="K895" s="50" t="s">
        <v>109</v>
      </c>
      <c r="L895" s="50" t="s">
        <v>12</v>
      </c>
      <c r="M895" s="50" t="s">
        <v>13</v>
      </c>
      <c r="N895" s="50" t="s">
        <v>14</v>
      </c>
      <c r="O895" s="48" t="s">
        <v>631</v>
      </c>
      <c r="P895" s="45" t="s">
        <v>453</v>
      </c>
      <c r="Q895" s="35" t="str">
        <f>MID(Tabla1[[#This Row],[Aplicación]],14,1)</f>
        <v>2</v>
      </c>
      <c r="R895" s="35" t="s">
        <v>441</v>
      </c>
      <c r="S895" s="35" t="str">
        <f>MID(Tabla1[[#This Row],[Aplicación]],6,2)</f>
        <v>07</v>
      </c>
      <c r="T895" s="35" t="str">
        <f>VLOOKUP(Tabla1[[#This Row],[AREA]],Hoja1!A:B,2,FALSE)</f>
        <v>07. Medio ambiente y desarrollo sostenible</v>
      </c>
      <c r="U895" s="35" t="str">
        <f>MID(Tabla1[[#This Row],[Aplicación]],9,4)</f>
        <v>1711</v>
      </c>
      <c r="V895" s="35" t="str">
        <f>VLOOKUP(Tabla1[[#This Row],[PROGRAMA]],Hoja1!A:B,2,FALSE)</f>
        <v>1711. Parques y jardines</v>
      </c>
      <c r="W895" s="35" t="str">
        <f>MID(Tabla1[[#This Row],[Aplicación]],14,2)</f>
        <v>21</v>
      </c>
      <c r="X895" s="35" t="str">
        <f>MID(Tabla1[[#This Row],[Aplicación]],14,6)</f>
        <v>213</v>
      </c>
    </row>
    <row r="896" spans="1:24" x14ac:dyDescent="0.25">
      <c r="A896" s="49">
        <v>220220001758</v>
      </c>
      <c r="B896" s="50" t="s">
        <v>172</v>
      </c>
      <c r="C896" s="57">
        <v>44588</v>
      </c>
      <c r="D896" s="49">
        <v>22022001640</v>
      </c>
      <c r="E896" s="50" t="s">
        <v>1719</v>
      </c>
      <c r="F896" s="58">
        <v>27.35</v>
      </c>
      <c r="G896" s="50" t="s">
        <v>199</v>
      </c>
      <c r="H896" s="50" t="s">
        <v>2343</v>
      </c>
      <c r="I896" s="49" t="s">
        <v>173</v>
      </c>
      <c r="J896" s="50" t="s">
        <v>109</v>
      </c>
      <c r="K896" s="50" t="s">
        <v>109</v>
      </c>
      <c r="L896" s="50" t="s">
        <v>15</v>
      </c>
      <c r="M896" s="50" t="s">
        <v>13</v>
      </c>
      <c r="N896" s="50" t="s">
        <v>16</v>
      </c>
      <c r="O896" s="48" t="s">
        <v>631</v>
      </c>
      <c r="P896" s="45" t="s">
        <v>453</v>
      </c>
      <c r="Q896" s="35" t="str">
        <f>MID(Tabla1[[#This Row],[Aplicación]],14,1)</f>
        <v>2</v>
      </c>
      <c r="R896" s="35" t="s">
        <v>441</v>
      </c>
      <c r="S896" s="35" t="str">
        <f>MID(Tabla1[[#This Row],[Aplicación]],6,2)</f>
        <v>06</v>
      </c>
      <c r="T896" s="35" t="str">
        <f>VLOOKUP(Tabla1[[#This Row],[AREA]],Hoja1!A:B,2,FALSE)</f>
        <v>06. Educación, infancia, juventud e igualdad</v>
      </c>
      <c r="U896" s="35" t="str">
        <f>MID(Tabla1[[#This Row],[Aplicación]],9,4)</f>
        <v>3231</v>
      </c>
      <c r="V896" s="35" t="str">
        <f>VLOOKUP(Tabla1[[#This Row],[PROGRAMA]],Hoja1!A:B,2,FALSE)</f>
        <v>3231. Escuelas infantiles</v>
      </c>
      <c r="W896" s="35" t="str">
        <f>MID(Tabla1[[#This Row],[Aplicación]],14,2)</f>
        <v>21</v>
      </c>
      <c r="X896" s="35" t="str">
        <f>MID(Tabla1[[#This Row],[Aplicación]],14,6)</f>
        <v>212</v>
      </c>
    </row>
    <row r="897" spans="1:24" x14ac:dyDescent="0.25">
      <c r="A897" s="49">
        <v>220220001760</v>
      </c>
      <c r="B897" s="50" t="s">
        <v>172</v>
      </c>
      <c r="C897" s="57">
        <v>44588</v>
      </c>
      <c r="D897" s="49">
        <v>22022001640</v>
      </c>
      <c r="E897" s="50" t="s">
        <v>1719</v>
      </c>
      <c r="F897" s="58">
        <v>6.22</v>
      </c>
      <c r="G897" s="50" t="s">
        <v>199</v>
      </c>
      <c r="H897" s="50" t="s">
        <v>2344</v>
      </c>
      <c r="I897" s="49" t="s">
        <v>173</v>
      </c>
      <c r="J897" s="50" t="s">
        <v>109</v>
      </c>
      <c r="K897" s="50" t="s">
        <v>109</v>
      </c>
      <c r="L897" s="50" t="s">
        <v>15</v>
      </c>
      <c r="M897" s="50" t="s">
        <v>13</v>
      </c>
      <c r="N897" s="50" t="s">
        <v>16</v>
      </c>
      <c r="O897" s="48" t="s">
        <v>631</v>
      </c>
      <c r="P897" s="45" t="s">
        <v>453</v>
      </c>
      <c r="Q897" s="35" t="str">
        <f>MID(Tabla1[[#This Row],[Aplicación]],14,1)</f>
        <v>2</v>
      </c>
      <c r="R897" s="35" t="s">
        <v>441</v>
      </c>
      <c r="S897" s="35" t="str">
        <f>MID(Tabla1[[#This Row],[Aplicación]],6,2)</f>
        <v>06</v>
      </c>
      <c r="T897" s="35" t="str">
        <f>VLOOKUP(Tabla1[[#This Row],[AREA]],Hoja1!A:B,2,FALSE)</f>
        <v>06. Educación, infancia, juventud e igualdad</v>
      </c>
      <c r="U897" s="35" t="str">
        <f>MID(Tabla1[[#This Row],[Aplicación]],9,4)</f>
        <v>3231</v>
      </c>
      <c r="V897" s="35" t="str">
        <f>VLOOKUP(Tabla1[[#This Row],[PROGRAMA]],Hoja1!A:B,2,FALSE)</f>
        <v>3231. Escuelas infantiles</v>
      </c>
      <c r="W897" s="35" t="str">
        <f>MID(Tabla1[[#This Row],[Aplicación]],14,2)</f>
        <v>21</v>
      </c>
      <c r="X897" s="35" t="str">
        <f>MID(Tabla1[[#This Row],[Aplicación]],14,6)</f>
        <v>212</v>
      </c>
    </row>
    <row r="898" spans="1:24" x14ac:dyDescent="0.25">
      <c r="A898" s="49">
        <v>220220001767</v>
      </c>
      <c r="B898" s="50" t="s">
        <v>172</v>
      </c>
      <c r="C898" s="57">
        <v>44588</v>
      </c>
      <c r="D898" s="49">
        <v>22022001641</v>
      </c>
      <c r="E898" s="50" t="s">
        <v>2034</v>
      </c>
      <c r="F898" s="58">
        <v>91.61</v>
      </c>
      <c r="G898" s="50" t="s">
        <v>199</v>
      </c>
      <c r="H898" s="50" t="s">
        <v>2345</v>
      </c>
      <c r="I898" s="49" t="s">
        <v>173</v>
      </c>
      <c r="J898" s="50" t="s">
        <v>109</v>
      </c>
      <c r="K898" s="50" t="s">
        <v>109</v>
      </c>
      <c r="L898" s="50" t="s">
        <v>15</v>
      </c>
      <c r="M898" s="50" t="s">
        <v>13</v>
      </c>
      <c r="N898" s="50" t="s">
        <v>14</v>
      </c>
      <c r="O898" s="48" t="s">
        <v>631</v>
      </c>
      <c r="P898" s="45" t="s">
        <v>453</v>
      </c>
      <c r="Q898" s="35" t="str">
        <f>MID(Tabla1[[#This Row],[Aplicación]],14,1)</f>
        <v>2</v>
      </c>
      <c r="R898" s="35" t="s">
        <v>441</v>
      </c>
      <c r="S898" s="35" t="str">
        <f>MID(Tabla1[[#This Row],[Aplicación]],6,2)</f>
        <v>06</v>
      </c>
      <c r="T898" s="35" t="str">
        <f>VLOOKUP(Tabla1[[#This Row],[AREA]],Hoja1!A:B,2,FALSE)</f>
        <v>06. Educación, infancia, juventud e igualdad</v>
      </c>
      <c r="U898" s="35" t="str">
        <f>MID(Tabla1[[#This Row],[Aplicación]],9,4)</f>
        <v>3232</v>
      </c>
      <c r="V898" s="35" t="str">
        <f>VLOOKUP(Tabla1[[#This Row],[PROGRAMA]],Hoja1!A:B,2,FALSE)</f>
        <v>3232. Conservación y mantenimiento centros educación infantil y primaria</v>
      </c>
      <c r="W898" s="35" t="str">
        <f>MID(Tabla1[[#This Row],[Aplicación]],14,2)</f>
        <v>21</v>
      </c>
      <c r="X898" s="35" t="str">
        <f>MID(Tabla1[[#This Row],[Aplicación]],14,6)</f>
        <v>212</v>
      </c>
    </row>
    <row r="899" spans="1:24" x14ac:dyDescent="0.25">
      <c r="A899" s="49">
        <v>220220002458</v>
      </c>
      <c r="B899" s="50" t="s">
        <v>172</v>
      </c>
      <c r="C899" s="57">
        <v>44594</v>
      </c>
      <c r="D899" s="49">
        <v>22022001641</v>
      </c>
      <c r="E899" s="50" t="s">
        <v>2034</v>
      </c>
      <c r="F899" s="58">
        <v>398.07</v>
      </c>
      <c r="G899" s="50" t="s">
        <v>199</v>
      </c>
      <c r="H899" s="50" t="s">
        <v>2346</v>
      </c>
      <c r="I899" s="49" t="s">
        <v>173</v>
      </c>
      <c r="J899" s="50" t="s">
        <v>109</v>
      </c>
      <c r="K899" s="50" t="s">
        <v>109</v>
      </c>
      <c r="L899" s="50" t="s">
        <v>15</v>
      </c>
      <c r="M899" s="50" t="s">
        <v>13</v>
      </c>
      <c r="N899" s="50" t="s">
        <v>14</v>
      </c>
      <c r="O899" s="48" t="s">
        <v>631</v>
      </c>
      <c r="P899" s="45" t="s">
        <v>453</v>
      </c>
      <c r="Q899" s="35" t="str">
        <f>MID(Tabla1[[#This Row],[Aplicación]],14,1)</f>
        <v>2</v>
      </c>
      <c r="R899" s="35" t="s">
        <v>441</v>
      </c>
      <c r="S899" s="35" t="str">
        <f>MID(Tabla1[[#This Row],[Aplicación]],6,2)</f>
        <v>06</v>
      </c>
      <c r="T899" s="35" t="str">
        <f>VLOOKUP(Tabla1[[#This Row],[AREA]],Hoja1!A:B,2,FALSE)</f>
        <v>06. Educación, infancia, juventud e igualdad</v>
      </c>
      <c r="U899" s="35" t="str">
        <f>MID(Tabla1[[#This Row],[Aplicación]],9,4)</f>
        <v>3232</v>
      </c>
      <c r="V899" s="35" t="str">
        <f>VLOOKUP(Tabla1[[#This Row],[PROGRAMA]],Hoja1!A:B,2,FALSE)</f>
        <v>3232. Conservación y mantenimiento centros educación infantil y primaria</v>
      </c>
      <c r="W899" s="35" t="str">
        <f>MID(Tabla1[[#This Row],[Aplicación]],14,2)</f>
        <v>21</v>
      </c>
      <c r="X899" s="35" t="str">
        <f>MID(Tabla1[[#This Row],[Aplicación]],14,6)</f>
        <v>212</v>
      </c>
    </row>
    <row r="900" spans="1:24" x14ac:dyDescent="0.25">
      <c r="A900" s="49">
        <v>220220002476</v>
      </c>
      <c r="B900" s="50" t="s">
        <v>172</v>
      </c>
      <c r="C900" s="57">
        <v>44594</v>
      </c>
      <c r="D900" s="49">
        <v>22022001626</v>
      </c>
      <c r="E900" s="50" t="s">
        <v>1635</v>
      </c>
      <c r="F900" s="58">
        <v>352.12</v>
      </c>
      <c r="G900" s="50" t="s">
        <v>199</v>
      </c>
      <c r="H900" s="50" t="s">
        <v>2347</v>
      </c>
      <c r="I900" s="49" t="s">
        <v>173</v>
      </c>
      <c r="J900" s="50" t="s">
        <v>109</v>
      </c>
      <c r="K900" s="50" t="s">
        <v>109</v>
      </c>
      <c r="L900" s="50" t="s">
        <v>15</v>
      </c>
      <c r="M900" s="50" t="s">
        <v>13</v>
      </c>
      <c r="N900" s="50" t="s">
        <v>16</v>
      </c>
      <c r="O900" s="48" t="s">
        <v>631</v>
      </c>
      <c r="P900" s="45" t="s">
        <v>453</v>
      </c>
      <c r="Q900" s="35" t="str">
        <f>MID(Tabla1[[#This Row],[Aplicación]],14,1)</f>
        <v>2</v>
      </c>
      <c r="R900" s="35" t="s">
        <v>441</v>
      </c>
      <c r="S900" s="35" t="str">
        <f>MID(Tabla1[[#This Row],[Aplicación]],6,2)</f>
        <v>03</v>
      </c>
      <c r="T900" s="35" t="str">
        <f>VLOOKUP(Tabla1[[#This Row],[AREA]],Hoja1!A:B,2,FALSE)</f>
        <v>03. Participación ciudadana y deportes</v>
      </c>
      <c r="U900" s="35" t="str">
        <f>MID(Tabla1[[#This Row],[Aplicación]],9,4)</f>
        <v>9241</v>
      </c>
      <c r="V900" s="35" t="str">
        <f>VLOOKUP(Tabla1[[#This Row],[PROGRAMA]],Hoja1!A:B,2,FALSE)</f>
        <v>9241. Participación ciudadana</v>
      </c>
      <c r="W900" s="35" t="str">
        <f>MID(Tabla1[[#This Row],[Aplicación]],14,2)</f>
        <v>21</v>
      </c>
      <c r="X900" s="35" t="str">
        <f>MID(Tabla1[[#This Row],[Aplicación]],14,6)</f>
        <v>212</v>
      </c>
    </row>
    <row r="901" spans="1:24" x14ac:dyDescent="0.25">
      <c r="A901" s="49">
        <v>220220002482</v>
      </c>
      <c r="B901" s="50" t="s">
        <v>172</v>
      </c>
      <c r="C901" s="57">
        <v>44594</v>
      </c>
      <c r="D901" s="49">
        <v>22022001636</v>
      </c>
      <c r="E901" s="50" t="s">
        <v>1853</v>
      </c>
      <c r="F901" s="58">
        <v>1710.4</v>
      </c>
      <c r="G901" s="50" t="s">
        <v>199</v>
      </c>
      <c r="H901" s="50" t="s">
        <v>1097</v>
      </c>
      <c r="I901" s="49" t="s">
        <v>173</v>
      </c>
      <c r="J901" s="50" t="s">
        <v>109</v>
      </c>
      <c r="K901" s="50" t="s">
        <v>109</v>
      </c>
      <c r="L901" s="50" t="s">
        <v>12</v>
      </c>
      <c r="M901" s="50" t="s">
        <v>13</v>
      </c>
      <c r="N901" s="50" t="s">
        <v>14</v>
      </c>
      <c r="O901" s="48" t="s">
        <v>631</v>
      </c>
      <c r="P901" s="45" t="s">
        <v>453</v>
      </c>
      <c r="Q901" s="35" t="str">
        <f>MID(Tabla1[[#This Row],[Aplicación]],14,1)</f>
        <v>2</v>
      </c>
      <c r="R901" s="35" t="s">
        <v>441</v>
      </c>
      <c r="S901" s="35" t="str">
        <f>MID(Tabla1[[#This Row],[Aplicación]],6,2)</f>
        <v>07</v>
      </c>
      <c r="T901" s="35" t="str">
        <f>VLOOKUP(Tabla1[[#This Row],[AREA]],Hoja1!A:B,2,FALSE)</f>
        <v>07. Medio ambiente y desarrollo sostenible</v>
      </c>
      <c r="U901" s="35" t="str">
        <f>MID(Tabla1[[#This Row],[Aplicación]],9,4)</f>
        <v>1711</v>
      </c>
      <c r="V901" s="35" t="str">
        <f>VLOOKUP(Tabla1[[#This Row],[PROGRAMA]],Hoja1!A:B,2,FALSE)</f>
        <v>1711. Parques y jardines</v>
      </c>
      <c r="W901" s="35" t="str">
        <f>MID(Tabla1[[#This Row],[Aplicación]],14,2)</f>
        <v>21</v>
      </c>
      <c r="X901" s="35" t="str">
        <f>MID(Tabla1[[#This Row],[Aplicación]],14,6)</f>
        <v>213</v>
      </c>
    </row>
    <row r="902" spans="1:24" x14ac:dyDescent="0.25">
      <c r="A902" s="49">
        <v>220220002484</v>
      </c>
      <c r="B902" s="50" t="s">
        <v>172</v>
      </c>
      <c r="C902" s="57">
        <v>44594</v>
      </c>
      <c r="D902" s="49">
        <v>22022001636</v>
      </c>
      <c r="E902" s="50" t="s">
        <v>1853</v>
      </c>
      <c r="F902" s="58">
        <v>71.81</v>
      </c>
      <c r="G902" s="50" t="s">
        <v>199</v>
      </c>
      <c r="H902" s="50" t="s">
        <v>1109</v>
      </c>
      <c r="I902" s="49" t="s">
        <v>173</v>
      </c>
      <c r="J902" s="50" t="s">
        <v>109</v>
      </c>
      <c r="K902" s="50" t="s">
        <v>109</v>
      </c>
      <c r="L902" s="50" t="s">
        <v>15</v>
      </c>
      <c r="M902" s="50" t="s">
        <v>13</v>
      </c>
      <c r="N902" s="50" t="s">
        <v>14</v>
      </c>
      <c r="O902" s="48" t="s">
        <v>631</v>
      </c>
      <c r="P902" s="45" t="s">
        <v>453</v>
      </c>
      <c r="Q902" s="35" t="str">
        <f>MID(Tabla1[[#This Row],[Aplicación]],14,1)</f>
        <v>2</v>
      </c>
      <c r="R902" s="35" t="s">
        <v>441</v>
      </c>
      <c r="S902" s="35" t="str">
        <f>MID(Tabla1[[#This Row],[Aplicación]],6,2)</f>
        <v>07</v>
      </c>
      <c r="T902" s="35" t="str">
        <f>VLOOKUP(Tabla1[[#This Row],[AREA]],Hoja1!A:B,2,FALSE)</f>
        <v>07. Medio ambiente y desarrollo sostenible</v>
      </c>
      <c r="U902" s="35" t="str">
        <f>MID(Tabla1[[#This Row],[Aplicación]],9,4)</f>
        <v>1711</v>
      </c>
      <c r="V902" s="35" t="str">
        <f>VLOOKUP(Tabla1[[#This Row],[PROGRAMA]],Hoja1!A:B,2,FALSE)</f>
        <v>1711. Parques y jardines</v>
      </c>
      <c r="W902" s="35" t="str">
        <f>MID(Tabla1[[#This Row],[Aplicación]],14,2)</f>
        <v>21</v>
      </c>
      <c r="X902" s="35" t="str">
        <f>MID(Tabla1[[#This Row],[Aplicación]],14,6)</f>
        <v>213</v>
      </c>
    </row>
    <row r="903" spans="1:24" x14ac:dyDescent="0.25">
      <c r="A903" s="49">
        <v>220220001658</v>
      </c>
      <c r="B903" s="50" t="s">
        <v>26</v>
      </c>
      <c r="C903" s="57">
        <v>44588</v>
      </c>
      <c r="D903" s="49">
        <v>22022001494</v>
      </c>
      <c r="E903" s="50" t="s">
        <v>1800</v>
      </c>
      <c r="F903" s="58">
        <v>256.43</v>
      </c>
      <c r="G903" s="50" t="s">
        <v>58</v>
      </c>
      <c r="H903" s="50" t="s">
        <v>2348</v>
      </c>
      <c r="I903" s="49" t="s">
        <v>197</v>
      </c>
      <c r="J903" s="50" t="s">
        <v>109</v>
      </c>
      <c r="K903" s="50" t="s">
        <v>109</v>
      </c>
      <c r="L903" s="50" t="s">
        <v>12</v>
      </c>
      <c r="M903" s="50" t="s">
        <v>13</v>
      </c>
      <c r="N903" s="50" t="s">
        <v>14</v>
      </c>
      <c r="O903" s="48" t="s">
        <v>620</v>
      </c>
      <c r="P903" s="45" t="s">
        <v>453</v>
      </c>
      <c r="Q903" s="35" t="str">
        <f>MID(Tabla1[[#This Row],[Aplicación]],14,1)</f>
        <v>2</v>
      </c>
      <c r="R903" s="35" t="s">
        <v>441</v>
      </c>
      <c r="S903" s="35" t="str">
        <f>MID(Tabla1[[#This Row],[Aplicación]],6,2)</f>
        <v>04</v>
      </c>
      <c r="T903" s="35" t="str">
        <f>VLOOKUP(Tabla1[[#This Row],[AREA]],Hoja1!A:B,2,FALSE)</f>
        <v>04. Planificación y recursos</v>
      </c>
      <c r="U903" s="35" t="str">
        <f>MID(Tabla1[[#This Row],[Aplicación]],9,4)</f>
        <v>9202</v>
      </c>
      <c r="V903" s="35" t="str">
        <f>VLOOKUP(Tabla1[[#This Row],[PROGRAMA]],Hoja1!A:B,2,FALSE)</f>
        <v>9202. Gestión de recursos humanos</v>
      </c>
      <c r="W903" s="35" t="str">
        <f>MID(Tabla1[[#This Row],[Aplicación]],14,2)</f>
        <v>21</v>
      </c>
      <c r="X903" s="35" t="str">
        <f>MID(Tabla1[[#This Row],[Aplicación]],14,6)</f>
        <v>213</v>
      </c>
    </row>
    <row r="904" spans="1:24" x14ac:dyDescent="0.25">
      <c r="A904" s="49">
        <v>220220003192</v>
      </c>
      <c r="B904" s="50" t="s">
        <v>172</v>
      </c>
      <c r="C904" s="57">
        <v>44601</v>
      </c>
      <c r="D904" s="49">
        <v>22022001641</v>
      </c>
      <c r="E904" s="50" t="s">
        <v>2034</v>
      </c>
      <c r="F904" s="58">
        <v>9.17</v>
      </c>
      <c r="G904" s="50" t="s">
        <v>199</v>
      </c>
      <c r="H904" s="50" t="s">
        <v>2349</v>
      </c>
      <c r="I904" s="49" t="s">
        <v>173</v>
      </c>
      <c r="J904" s="50" t="s">
        <v>109</v>
      </c>
      <c r="K904" s="50" t="s">
        <v>109</v>
      </c>
      <c r="L904" s="50" t="s">
        <v>15</v>
      </c>
      <c r="M904" s="50" t="s">
        <v>13</v>
      </c>
      <c r="N904" s="50" t="s">
        <v>14</v>
      </c>
      <c r="O904" s="48" t="s">
        <v>631</v>
      </c>
      <c r="P904" s="45" t="s">
        <v>453</v>
      </c>
      <c r="Q904" s="35" t="str">
        <f>MID(Tabla1[[#This Row],[Aplicación]],14,1)</f>
        <v>2</v>
      </c>
      <c r="R904" s="35" t="s">
        <v>441</v>
      </c>
      <c r="S904" s="35" t="str">
        <f>MID(Tabla1[[#This Row],[Aplicación]],6,2)</f>
        <v>06</v>
      </c>
      <c r="T904" s="35" t="str">
        <f>VLOOKUP(Tabla1[[#This Row],[AREA]],Hoja1!A:B,2,FALSE)</f>
        <v>06. Educación, infancia, juventud e igualdad</v>
      </c>
      <c r="U904" s="35" t="str">
        <f>MID(Tabla1[[#This Row],[Aplicación]],9,4)</f>
        <v>3232</v>
      </c>
      <c r="V904" s="35" t="str">
        <f>VLOOKUP(Tabla1[[#This Row],[PROGRAMA]],Hoja1!A:B,2,FALSE)</f>
        <v>3232. Conservación y mantenimiento centros educación infantil y primaria</v>
      </c>
      <c r="W904" s="35" t="str">
        <f>MID(Tabla1[[#This Row],[Aplicación]],14,2)</f>
        <v>21</v>
      </c>
      <c r="X904" s="35" t="str">
        <f>MID(Tabla1[[#This Row],[Aplicación]],14,6)</f>
        <v>212</v>
      </c>
    </row>
    <row r="905" spans="1:24" x14ac:dyDescent="0.25">
      <c r="A905" s="49">
        <v>220220003259</v>
      </c>
      <c r="B905" s="50" t="s">
        <v>172</v>
      </c>
      <c r="C905" s="57">
        <v>44601</v>
      </c>
      <c r="D905" s="49">
        <v>22022001636</v>
      </c>
      <c r="E905" s="50" t="s">
        <v>1853</v>
      </c>
      <c r="F905" s="58">
        <v>574.75</v>
      </c>
      <c r="G905" s="50" t="s">
        <v>199</v>
      </c>
      <c r="H905" s="50" t="s">
        <v>1097</v>
      </c>
      <c r="I905" s="49" t="s">
        <v>173</v>
      </c>
      <c r="J905" s="50" t="s">
        <v>109</v>
      </c>
      <c r="K905" s="50" t="s">
        <v>109</v>
      </c>
      <c r="L905" s="50" t="s">
        <v>12</v>
      </c>
      <c r="M905" s="50" t="s">
        <v>13</v>
      </c>
      <c r="N905" s="50" t="s">
        <v>14</v>
      </c>
      <c r="O905" s="48" t="s">
        <v>631</v>
      </c>
      <c r="P905" s="45" t="s">
        <v>453</v>
      </c>
      <c r="Q905" s="35" t="str">
        <f>MID(Tabla1[[#This Row],[Aplicación]],14,1)</f>
        <v>2</v>
      </c>
      <c r="R905" s="35" t="s">
        <v>441</v>
      </c>
      <c r="S905" s="35" t="str">
        <f>MID(Tabla1[[#This Row],[Aplicación]],6,2)</f>
        <v>07</v>
      </c>
      <c r="T905" s="35" t="str">
        <f>VLOOKUP(Tabla1[[#This Row],[AREA]],Hoja1!A:B,2,FALSE)</f>
        <v>07. Medio ambiente y desarrollo sostenible</v>
      </c>
      <c r="U905" s="35" t="str">
        <f>MID(Tabla1[[#This Row],[Aplicación]],9,4)</f>
        <v>1711</v>
      </c>
      <c r="V905" s="35" t="str">
        <f>VLOOKUP(Tabla1[[#This Row],[PROGRAMA]],Hoja1!A:B,2,FALSE)</f>
        <v>1711. Parques y jardines</v>
      </c>
      <c r="W905" s="35" t="str">
        <f>MID(Tabla1[[#This Row],[Aplicación]],14,2)</f>
        <v>21</v>
      </c>
      <c r="X905" s="35" t="str">
        <f>MID(Tabla1[[#This Row],[Aplicación]],14,6)</f>
        <v>213</v>
      </c>
    </row>
    <row r="906" spans="1:24" x14ac:dyDescent="0.25">
      <c r="A906" s="49">
        <v>220220003562</v>
      </c>
      <c r="B906" s="50" t="s">
        <v>172</v>
      </c>
      <c r="C906" s="57">
        <v>44607</v>
      </c>
      <c r="D906" s="49">
        <v>22022001641</v>
      </c>
      <c r="E906" s="50" t="s">
        <v>2034</v>
      </c>
      <c r="F906" s="58">
        <v>413.03</v>
      </c>
      <c r="G906" s="50" t="s">
        <v>199</v>
      </c>
      <c r="H906" s="50" t="s">
        <v>2350</v>
      </c>
      <c r="I906" s="49" t="s">
        <v>173</v>
      </c>
      <c r="J906" s="50" t="s">
        <v>109</v>
      </c>
      <c r="K906" s="50" t="s">
        <v>109</v>
      </c>
      <c r="L906" s="50" t="s">
        <v>15</v>
      </c>
      <c r="M906" s="50" t="s">
        <v>13</v>
      </c>
      <c r="N906" s="50" t="s">
        <v>14</v>
      </c>
      <c r="O906" s="48" t="s">
        <v>631</v>
      </c>
      <c r="P906" s="45" t="s">
        <v>453</v>
      </c>
      <c r="Q906" s="35" t="str">
        <f>MID(Tabla1[[#This Row],[Aplicación]],14,1)</f>
        <v>2</v>
      </c>
      <c r="R906" s="35" t="s">
        <v>441</v>
      </c>
      <c r="S906" s="35" t="str">
        <f>MID(Tabla1[[#This Row],[Aplicación]],6,2)</f>
        <v>06</v>
      </c>
      <c r="T906" s="35" t="str">
        <f>VLOOKUP(Tabla1[[#This Row],[AREA]],Hoja1!A:B,2,FALSE)</f>
        <v>06. Educación, infancia, juventud e igualdad</v>
      </c>
      <c r="U906" s="35" t="str">
        <f>MID(Tabla1[[#This Row],[Aplicación]],9,4)</f>
        <v>3232</v>
      </c>
      <c r="V906" s="35" t="str">
        <f>VLOOKUP(Tabla1[[#This Row],[PROGRAMA]],Hoja1!A:B,2,FALSE)</f>
        <v>3232. Conservación y mantenimiento centros educación infantil y primaria</v>
      </c>
      <c r="W906" s="35" t="str">
        <f>MID(Tabla1[[#This Row],[Aplicación]],14,2)</f>
        <v>21</v>
      </c>
      <c r="X906" s="35" t="str">
        <f>MID(Tabla1[[#This Row],[Aplicación]],14,6)</f>
        <v>212</v>
      </c>
    </row>
    <row r="907" spans="1:24" x14ac:dyDescent="0.25">
      <c r="A907" s="49">
        <v>220220003578</v>
      </c>
      <c r="B907" s="50" t="s">
        <v>172</v>
      </c>
      <c r="C907" s="57">
        <v>44607</v>
      </c>
      <c r="D907" s="49">
        <v>22022001626</v>
      </c>
      <c r="E907" s="50" t="s">
        <v>1635</v>
      </c>
      <c r="F907" s="58">
        <v>40.43</v>
      </c>
      <c r="G907" s="50" t="s">
        <v>199</v>
      </c>
      <c r="H907" s="50" t="s">
        <v>2351</v>
      </c>
      <c r="I907" s="49" t="s">
        <v>173</v>
      </c>
      <c r="J907" s="50" t="s">
        <v>109</v>
      </c>
      <c r="K907" s="50" t="s">
        <v>109</v>
      </c>
      <c r="L907" s="50" t="s">
        <v>15</v>
      </c>
      <c r="M907" s="50" t="s">
        <v>13</v>
      </c>
      <c r="N907" s="50" t="s">
        <v>16</v>
      </c>
      <c r="O907" s="48" t="s">
        <v>631</v>
      </c>
      <c r="P907" s="45" t="s">
        <v>453</v>
      </c>
      <c r="Q907" s="35" t="str">
        <f>MID(Tabla1[[#This Row],[Aplicación]],14,1)</f>
        <v>2</v>
      </c>
      <c r="R907" s="35" t="s">
        <v>441</v>
      </c>
      <c r="S907" s="35" t="str">
        <f>MID(Tabla1[[#This Row],[Aplicación]],6,2)</f>
        <v>03</v>
      </c>
      <c r="T907" s="35" t="str">
        <f>VLOOKUP(Tabla1[[#This Row],[AREA]],Hoja1!A:B,2,FALSE)</f>
        <v>03. Participación ciudadana y deportes</v>
      </c>
      <c r="U907" s="35" t="str">
        <f>MID(Tabla1[[#This Row],[Aplicación]],9,4)</f>
        <v>9241</v>
      </c>
      <c r="V907" s="35" t="str">
        <f>VLOOKUP(Tabla1[[#This Row],[PROGRAMA]],Hoja1!A:B,2,FALSE)</f>
        <v>9241. Participación ciudadana</v>
      </c>
      <c r="W907" s="35" t="str">
        <f>MID(Tabla1[[#This Row],[Aplicación]],14,2)</f>
        <v>21</v>
      </c>
      <c r="X907" s="35" t="str">
        <f>MID(Tabla1[[#This Row],[Aplicación]],14,6)</f>
        <v>212</v>
      </c>
    </row>
    <row r="908" spans="1:24" x14ac:dyDescent="0.25">
      <c r="A908" s="49">
        <v>220220003802</v>
      </c>
      <c r="B908" s="50" t="s">
        <v>172</v>
      </c>
      <c r="C908" s="57">
        <v>44608</v>
      </c>
      <c r="D908" s="49">
        <v>22022001636</v>
      </c>
      <c r="E908" s="50" t="s">
        <v>1853</v>
      </c>
      <c r="F908" s="58">
        <v>683.7</v>
      </c>
      <c r="G908" s="50" t="s">
        <v>199</v>
      </c>
      <c r="H908" s="50" t="s">
        <v>1109</v>
      </c>
      <c r="I908" s="49" t="s">
        <v>173</v>
      </c>
      <c r="J908" s="50" t="s">
        <v>109</v>
      </c>
      <c r="K908" s="50" t="s">
        <v>109</v>
      </c>
      <c r="L908" s="50" t="s">
        <v>15</v>
      </c>
      <c r="M908" s="50" t="s">
        <v>13</v>
      </c>
      <c r="N908" s="50" t="s">
        <v>14</v>
      </c>
      <c r="O908" s="48" t="s">
        <v>631</v>
      </c>
      <c r="P908" s="45" t="s">
        <v>453</v>
      </c>
      <c r="Q908" s="35" t="str">
        <f>MID(Tabla1[[#This Row],[Aplicación]],14,1)</f>
        <v>2</v>
      </c>
      <c r="R908" s="35" t="s">
        <v>441</v>
      </c>
      <c r="S908" s="35" t="str">
        <f>MID(Tabla1[[#This Row],[Aplicación]],6,2)</f>
        <v>07</v>
      </c>
      <c r="T908" s="35" t="str">
        <f>VLOOKUP(Tabla1[[#This Row],[AREA]],Hoja1!A:B,2,FALSE)</f>
        <v>07. Medio ambiente y desarrollo sostenible</v>
      </c>
      <c r="U908" s="35" t="str">
        <f>MID(Tabla1[[#This Row],[Aplicación]],9,4)</f>
        <v>1711</v>
      </c>
      <c r="V908" s="35" t="str">
        <f>VLOOKUP(Tabla1[[#This Row],[PROGRAMA]],Hoja1!A:B,2,FALSE)</f>
        <v>1711. Parques y jardines</v>
      </c>
      <c r="W908" s="35" t="str">
        <f>MID(Tabla1[[#This Row],[Aplicación]],14,2)</f>
        <v>21</v>
      </c>
      <c r="X908" s="35" t="str">
        <f>MID(Tabla1[[#This Row],[Aplicación]],14,6)</f>
        <v>213</v>
      </c>
    </row>
    <row r="909" spans="1:24" x14ac:dyDescent="0.25">
      <c r="A909" s="49">
        <v>220220003804</v>
      </c>
      <c r="B909" s="50" t="s">
        <v>172</v>
      </c>
      <c r="C909" s="57">
        <v>44608</v>
      </c>
      <c r="D909" s="49">
        <v>22022001636</v>
      </c>
      <c r="E909" s="50" t="s">
        <v>1853</v>
      </c>
      <c r="F909" s="58">
        <v>724.79</v>
      </c>
      <c r="G909" s="50" t="s">
        <v>199</v>
      </c>
      <c r="H909" s="50" t="s">
        <v>1097</v>
      </c>
      <c r="I909" s="49" t="s">
        <v>173</v>
      </c>
      <c r="J909" s="50" t="s">
        <v>109</v>
      </c>
      <c r="K909" s="50" t="s">
        <v>109</v>
      </c>
      <c r="L909" s="50" t="s">
        <v>12</v>
      </c>
      <c r="M909" s="50" t="s">
        <v>13</v>
      </c>
      <c r="N909" s="50" t="s">
        <v>14</v>
      </c>
      <c r="O909" s="48" t="s">
        <v>631</v>
      </c>
      <c r="P909" s="45" t="s">
        <v>453</v>
      </c>
      <c r="Q909" s="35" t="str">
        <f>MID(Tabla1[[#This Row],[Aplicación]],14,1)</f>
        <v>2</v>
      </c>
      <c r="R909" s="35" t="s">
        <v>441</v>
      </c>
      <c r="S909" s="35" t="str">
        <f>MID(Tabla1[[#This Row],[Aplicación]],6,2)</f>
        <v>07</v>
      </c>
      <c r="T909" s="35" t="str">
        <f>VLOOKUP(Tabla1[[#This Row],[AREA]],Hoja1!A:B,2,FALSE)</f>
        <v>07. Medio ambiente y desarrollo sostenible</v>
      </c>
      <c r="U909" s="35" t="str">
        <f>MID(Tabla1[[#This Row],[Aplicación]],9,4)</f>
        <v>1711</v>
      </c>
      <c r="V909" s="35" t="str">
        <f>VLOOKUP(Tabla1[[#This Row],[PROGRAMA]],Hoja1!A:B,2,FALSE)</f>
        <v>1711. Parques y jardines</v>
      </c>
      <c r="W909" s="35" t="str">
        <f>MID(Tabla1[[#This Row],[Aplicación]],14,2)</f>
        <v>21</v>
      </c>
      <c r="X909" s="35" t="str">
        <f>MID(Tabla1[[#This Row],[Aplicación]],14,6)</f>
        <v>213</v>
      </c>
    </row>
    <row r="910" spans="1:24" x14ac:dyDescent="0.25">
      <c r="A910" s="49">
        <v>220220004194</v>
      </c>
      <c r="B910" s="50" t="s">
        <v>172</v>
      </c>
      <c r="C910" s="57">
        <v>44610</v>
      </c>
      <c r="D910" s="49">
        <v>22022000030</v>
      </c>
      <c r="E910" s="50" t="s">
        <v>2007</v>
      </c>
      <c r="F910" s="58">
        <v>23.52</v>
      </c>
      <c r="G910" s="50" t="s">
        <v>199</v>
      </c>
      <c r="H910" s="50" t="s">
        <v>2352</v>
      </c>
      <c r="I910" s="49" t="s">
        <v>173</v>
      </c>
      <c r="J910" s="50" t="s">
        <v>109</v>
      </c>
      <c r="K910" s="50" t="s">
        <v>109</v>
      </c>
      <c r="L910" s="50" t="s">
        <v>15</v>
      </c>
      <c r="M910" s="50" t="s">
        <v>13</v>
      </c>
      <c r="N910" s="50" t="s">
        <v>14</v>
      </c>
      <c r="O910" s="48" t="s">
        <v>631</v>
      </c>
      <c r="P910" s="45" t="s">
        <v>453</v>
      </c>
      <c r="Q910" s="35" t="str">
        <f>MID(Tabla1[[#This Row],[Aplicación]],14,1)</f>
        <v>2</v>
      </c>
      <c r="R910" s="35" t="s">
        <v>441</v>
      </c>
      <c r="S910" s="35" t="str">
        <f>MID(Tabla1[[#This Row],[Aplicación]],6,2)</f>
        <v>11</v>
      </c>
      <c r="T910" s="35" t="str">
        <f>VLOOKUP(Tabla1[[#This Row],[AREA]],Hoja1!A:B,2,FALSE)</f>
        <v>11. Salud pública y seguridad ciudadana</v>
      </c>
      <c r="U910" s="35" t="str">
        <f>MID(Tabla1[[#This Row],[Aplicación]],9,4)</f>
        <v>1621</v>
      </c>
      <c r="V910" s="35" t="str">
        <f>VLOOKUP(Tabla1[[#This Row],[PROGRAMA]],Hoja1!A:B,2,FALSE)</f>
        <v>1621. Servicio de limpieza</v>
      </c>
      <c r="W910" s="35" t="str">
        <f>MID(Tabla1[[#This Row],[Aplicación]],14,2)</f>
        <v>22</v>
      </c>
      <c r="X910" s="35" t="str">
        <f>MID(Tabla1[[#This Row],[Aplicación]],14,6)</f>
        <v>22199</v>
      </c>
    </row>
    <row r="911" spans="1:24" x14ac:dyDescent="0.25">
      <c r="A911" s="49">
        <v>220220005530</v>
      </c>
      <c r="B911" s="50" t="s">
        <v>172</v>
      </c>
      <c r="C911" s="57">
        <v>44614</v>
      </c>
      <c r="D911" s="49">
        <v>22022001178</v>
      </c>
      <c r="E911" s="50" t="s">
        <v>1653</v>
      </c>
      <c r="F911" s="58">
        <v>11.39</v>
      </c>
      <c r="G911" s="50" t="s">
        <v>199</v>
      </c>
      <c r="H911" s="50" t="s">
        <v>2353</v>
      </c>
      <c r="I911" s="49" t="s">
        <v>173</v>
      </c>
      <c r="J911" s="50" t="s">
        <v>109</v>
      </c>
      <c r="K911" s="50" t="s">
        <v>109</v>
      </c>
      <c r="L911" s="50" t="s">
        <v>15</v>
      </c>
      <c r="M911" s="50" t="s">
        <v>13</v>
      </c>
      <c r="N911" s="50" t="s">
        <v>14</v>
      </c>
      <c r="O911" s="48" t="s">
        <v>631</v>
      </c>
      <c r="P911" s="45" t="s">
        <v>453</v>
      </c>
      <c r="Q911" s="35" t="str">
        <f>MID(Tabla1[[#This Row],[Aplicación]],14,1)</f>
        <v>2</v>
      </c>
      <c r="R911" s="35" t="s">
        <v>441</v>
      </c>
      <c r="S911" s="35" t="str">
        <f>MID(Tabla1[[#This Row],[Aplicación]],6,2)</f>
        <v>10</v>
      </c>
      <c r="T911" s="35" t="str">
        <f>VLOOKUP(Tabla1[[#This Row],[AREA]],Hoja1!A:B,2,FALSE)</f>
        <v>10. Servicios sociales y mediación comunitaria</v>
      </c>
      <c r="U911" s="35" t="str">
        <f>MID(Tabla1[[#This Row],[Aplicación]],9,4)</f>
        <v>2311</v>
      </c>
      <c r="V911" s="35" t="str">
        <f>VLOOKUP(Tabla1[[#This Row],[PROGRAMA]],Hoja1!A:B,2,FALSE)</f>
        <v>2311. Intervención social</v>
      </c>
      <c r="W911" s="35" t="str">
        <f>MID(Tabla1[[#This Row],[Aplicación]],14,2)</f>
        <v>21</v>
      </c>
      <c r="X911" s="35" t="str">
        <f>MID(Tabla1[[#This Row],[Aplicación]],14,6)</f>
        <v>212</v>
      </c>
    </row>
    <row r="912" spans="1:24" x14ac:dyDescent="0.25">
      <c r="A912" s="49">
        <v>220220006791</v>
      </c>
      <c r="B912" s="50" t="s">
        <v>172</v>
      </c>
      <c r="C912" s="57">
        <v>44622</v>
      </c>
      <c r="D912" s="49">
        <v>22022001650</v>
      </c>
      <c r="E912" s="50" t="s">
        <v>2036</v>
      </c>
      <c r="F912" s="58">
        <v>15.34</v>
      </c>
      <c r="G912" s="50" t="s">
        <v>199</v>
      </c>
      <c r="H912" s="50" t="s">
        <v>2354</v>
      </c>
      <c r="I912" s="49" t="s">
        <v>173</v>
      </c>
      <c r="J912" s="50" t="s">
        <v>109</v>
      </c>
      <c r="K912" s="50" t="s">
        <v>109</v>
      </c>
      <c r="L912" s="50" t="s">
        <v>15</v>
      </c>
      <c r="M912" s="50" t="s">
        <v>13</v>
      </c>
      <c r="N912" s="50" t="s">
        <v>14</v>
      </c>
      <c r="O912" s="48" t="s">
        <v>631</v>
      </c>
      <c r="P912" s="45" t="s">
        <v>453</v>
      </c>
      <c r="Q912" s="35" t="str">
        <f>MID(Tabla1[[#This Row],[Aplicación]],14,1)</f>
        <v>2</v>
      </c>
      <c r="R912" s="35" t="s">
        <v>441</v>
      </c>
      <c r="S912" s="35" t="str">
        <f>MID(Tabla1[[#This Row],[Aplicación]],6,2)</f>
        <v>11</v>
      </c>
      <c r="T912" s="35" t="str">
        <f>VLOOKUP(Tabla1[[#This Row],[AREA]],Hoja1!A:B,2,FALSE)</f>
        <v>11. Salud pública y seguridad ciudadana</v>
      </c>
      <c r="U912" s="35" t="str">
        <f>MID(Tabla1[[#This Row],[Aplicación]],9,4)</f>
        <v>3111</v>
      </c>
      <c r="V912" s="35" t="str">
        <f>VLOOKUP(Tabla1[[#This Row],[PROGRAMA]],Hoja1!A:B,2,FALSE)</f>
        <v>3111. Protección de la salubridad pública</v>
      </c>
      <c r="W912" s="35" t="str">
        <f>MID(Tabla1[[#This Row],[Aplicación]],14,2)</f>
        <v>22</v>
      </c>
      <c r="X912" s="35" t="str">
        <f>MID(Tabla1[[#This Row],[Aplicación]],14,6)</f>
        <v>22199</v>
      </c>
    </row>
    <row r="913" spans="1:24" x14ac:dyDescent="0.25">
      <c r="A913" s="49">
        <v>220220006795</v>
      </c>
      <c r="B913" s="50" t="s">
        <v>172</v>
      </c>
      <c r="C913" s="57">
        <v>44622</v>
      </c>
      <c r="D913" s="49">
        <v>22022001626</v>
      </c>
      <c r="E913" s="50" t="s">
        <v>1635</v>
      </c>
      <c r="F913" s="58">
        <v>606.62</v>
      </c>
      <c r="G913" s="50" t="s">
        <v>199</v>
      </c>
      <c r="H913" s="50" t="s">
        <v>2355</v>
      </c>
      <c r="I913" s="49" t="s">
        <v>173</v>
      </c>
      <c r="J913" s="50" t="s">
        <v>109</v>
      </c>
      <c r="K913" s="50" t="s">
        <v>109</v>
      </c>
      <c r="L913" s="50" t="s">
        <v>15</v>
      </c>
      <c r="M913" s="50" t="s">
        <v>13</v>
      </c>
      <c r="N913" s="50" t="s">
        <v>16</v>
      </c>
      <c r="O913" s="48" t="s">
        <v>631</v>
      </c>
      <c r="P913" s="45" t="s">
        <v>453</v>
      </c>
      <c r="Q913" s="35" t="str">
        <f>MID(Tabla1[[#This Row],[Aplicación]],14,1)</f>
        <v>2</v>
      </c>
      <c r="R913" s="35" t="s">
        <v>441</v>
      </c>
      <c r="S913" s="35" t="str">
        <f>MID(Tabla1[[#This Row],[Aplicación]],6,2)</f>
        <v>03</v>
      </c>
      <c r="T913" s="35" t="str">
        <f>VLOOKUP(Tabla1[[#This Row],[AREA]],Hoja1!A:B,2,FALSE)</f>
        <v>03. Participación ciudadana y deportes</v>
      </c>
      <c r="U913" s="35" t="str">
        <f>MID(Tabla1[[#This Row],[Aplicación]],9,4)</f>
        <v>9241</v>
      </c>
      <c r="V913" s="35" t="str">
        <f>VLOOKUP(Tabla1[[#This Row],[PROGRAMA]],Hoja1!A:B,2,FALSE)</f>
        <v>9241. Participación ciudadana</v>
      </c>
      <c r="W913" s="35" t="str">
        <f>MID(Tabla1[[#This Row],[Aplicación]],14,2)</f>
        <v>21</v>
      </c>
      <c r="X913" s="35" t="str">
        <f>MID(Tabla1[[#This Row],[Aplicación]],14,6)</f>
        <v>212</v>
      </c>
    </row>
    <row r="914" spans="1:24" x14ac:dyDescent="0.25">
      <c r="A914" s="49">
        <v>220220006844</v>
      </c>
      <c r="B914" s="50" t="s">
        <v>172</v>
      </c>
      <c r="C914" s="57">
        <v>44622</v>
      </c>
      <c r="D914" s="49">
        <v>22022001641</v>
      </c>
      <c r="E914" s="50" t="s">
        <v>2034</v>
      </c>
      <c r="F914" s="58">
        <v>146.91</v>
      </c>
      <c r="G914" s="50" t="s">
        <v>199</v>
      </c>
      <c r="H914" s="50" t="s">
        <v>2356</v>
      </c>
      <c r="I914" s="49" t="s">
        <v>173</v>
      </c>
      <c r="J914" s="50" t="s">
        <v>109</v>
      </c>
      <c r="K914" s="50" t="s">
        <v>109</v>
      </c>
      <c r="L914" s="50" t="s">
        <v>15</v>
      </c>
      <c r="M914" s="50" t="s">
        <v>13</v>
      </c>
      <c r="N914" s="50" t="s">
        <v>14</v>
      </c>
      <c r="O914" s="48" t="s">
        <v>631</v>
      </c>
      <c r="P914" s="45" t="s">
        <v>453</v>
      </c>
      <c r="Q914" s="35" t="str">
        <f>MID(Tabla1[[#This Row],[Aplicación]],14,1)</f>
        <v>2</v>
      </c>
      <c r="R914" s="35" t="s">
        <v>441</v>
      </c>
      <c r="S914" s="35" t="str">
        <f>MID(Tabla1[[#This Row],[Aplicación]],6,2)</f>
        <v>06</v>
      </c>
      <c r="T914" s="35" t="str">
        <f>VLOOKUP(Tabla1[[#This Row],[AREA]],Hoja1!A:B,2,FALSE)</f>
        <v>06. Educación, infancia, juventud e igualdad</v>
      </c>
      <c r="U914" s="35" t="str">
        <f>MID(Tabla1[[#This Row],[Aplicación]],9,4)</f>
        <v>3232</v>
      </c>
      <c r="V914" s="35" t="str">
        <f>VLOOKUP(Tabla1[[#This Row],[PROGRAMA]],Hoja1!A:B,2,FALSE)</f>
        <v>3232. Conservación y mantenimiento centros educación infantil y primaria</v>
      </c>
      <c r="W914" s="35" t="str">
        <f>MID(Tabla1[[#This Row],[Aplicación]],14,2)</f>
        <v>21</v>
      </c>
      <c r="X914" s="35" t="str">
        <f>MID(Tabla1[[#This Row],[Aplicación]],14,6)</f>
        <v>212</v>
      </c>
    </row>
    <row r="915" spans="1:24" x14ac:dyDescent="0.25">
      <c r="A915" s="49">
        <v>220220006856</v>
      </c>
      <c r="B915" s="50" t="s">
        <v>172</v>
      </c>
      <c r="C915" s="57">
        <v>44622</v>
      </c>
      <c r="D915" s="49">
        <v>22022001636</v>
      </c>
      <c r="E915" s="50" t="s">
        <v>1853</v>
      </c>
      <c r="F915" s="58">
        <v>582.03</v>
      </c>
      <c r="G915" s="50" t="s">
        <v>199</v>
      </c>
      <c r="H915" s="50" t="s">
        <v>1097</v>
      </c>
      <c r="I915" s="49" t="s">
        <v>173</v>
      </c>
      <c r="J915" s="50" t="s">
        <v>109</v>
      </c>
      <c r="K915" s="50" t="s">
        <v>109</v>
      </c>
      <c r="L915" s="50" t="s">
        <v>12</v>
      </c>
      <c r="M915" s="50" t="s">
        <v>13</v>
      </c>
      <c r="N915" s="50" t="s">
        <v>14</v>
      </c>
      <c r="O915" s="48" t="s">
        <v>631</v>
      </c>
      <c r="P915" s="45" t="s">
        <v>453</v>
      </c>
      <c r="Q915" s="35" t="str">
        <f>MID(Tabla1[[#This Row],[Aplicación]],14,1)</f>
        <v>2</v>
      </c>
      <c r="R915" s="35" t="s">
        <v>441</v>
      </c>
      <c r="S915" s="35" t="str">
        <f>MID(Tabla1[[#This Row],[Aplicación]],6,2)</f>
        <v>07</v>
      </c>
      <c r="T915" s="35" t="str">
        <f>VLOOKUP(Tabla1[[#This Row],[AREA]],Hoja1!A:B,2,FALSE)</f>
        <v>07. Medio ambiente y desarrollo sostenible</v>
      </c>
      <c r="U915" s="35" t="str">
        <f>MID(Tabla1[[#This Row],[Aplicación]],9,4)</f>
        <v>1711</v>
      </c>
      <c r="V915" s="35" t="str">
        <f>VLOOKUP(Tabla1[[#This Row],[PROGRAMA]],Hoja1!A:B,2,FALSE)</f>
        <v>1711. Parques y jardines</v>
      </c>
      <c r="W915" s="35" t="str">
        <f>MID(Tabla1[[#This Row],[Aplicación]],14,2)</f>
        <v>21</v>
      </c>
      <c r="X915" s="35" t="str">
        <f>MID(Tabla1[[#This Row],[Aplicación]],14,6)</f>
        <v>213</v>
      </c>
    </row>
    <row r="916" spans="1:24" x14ac:dyDescent="0.25">
      <c r="A916" s="49">
        <v>220220006858</v>
      </c>
      <c r="B916" s="50" t="s">
        <v>172</v>
      </c>
      <c r="C916" s="57">
        <v>44622</v>
      </c>
      <c r="D916" s="49">
        <v>22022001636</v>
      </c>
      <c r="E916" s="50" t="s">
        <v>1853</v>
      </c>
      <c r="F916" s="58">
        <v>70.069999999999993</v>
      </c>
      <c r="G916" s="50" t="s">
        <v>199</v>
      </c>
      <c r="H916" s="50" t="s">
        <v>1109</v>
      </c>
      <c r="I916" s="49" t="s">
        <v>173</v>
      </c>
      <c r="J916" s="50" t="s">
        <v>109</v>
      </c>
      <c r="K916" s="50" t="s">
        <v>109</v>
      </c>
      <c r="L916" s="50" t="s">
        <v>15</v>
      </c>
      <c r="M916" s="50" t="s">
        <v>13</v>
      </c>
      <c r="N916" s="50" t="s">
        <v>14</v>
      </c>
      <c r="O916" s="48" t="s">
        <v>631</v>
      </c>
      <c r="P916" s="45" t="s">
        <v>453</v>
      </c>
      <c r="Q916" s="35" t="str">
        <f>MID(Tabla1[[#This Row],[Aplicación]],14,1)</f>
        <v>2</v>
      </c>
      <c r="R916" s="35" t="s">
        <v>441</v>
      </c>
      <c r="S916" s="35" t="str">
        <f>MID(Tabla1[[#This Row],[Aplicación]],6,2)</f>
        <v>07</v>
      </c>
      <c r="T916" s="35" t="str">
        <f>VLOOKUP(Tabla1[[#This Row],[AREA]],Hoja1!A:B,2,FALSE)</f>
        <v>07. Medio ambiente y desarrollo sostenible</v>
      </c>
      <c r="U916" s="35" t="str">
        <f>MID(Tabla1[[#This Row],[Aplicación]],9,4)</f>
        <v>1711</v>
      </c>
      <c r="V916" s="35" t="str">
        <f>VLOOKUP(Tabla1[[#This Row],[PROGRAMA]],Hoja1!A:B,2,FALSE)</f>
        <v>1711. Parques y jardines</v>
      </c>
      <c r="W916" s="35" t="str">
        <f>MID(Tabla1[[#This Row],[Aplicación]],14,2)</f>
        <v>21</v>
      </c>
      <c r="X916" s="35" t="str">
        <f>MID(Tabla1[[#This Row],[Aplicación]],14,6)</f>
        <v>213</v>
      </c>
    </row>
    <row r="917" spans="1:24" x14ac:dyDescent="0.25">
      <c r="A917" s="49">
        <v>220220007033</v>
      </c>
      <c r="B917" s="50" t="s">
        <v>172</v>
      </c>
      <c r="C917" s="57">
        <v>44623</v>
      </c>
      <c r="D917" s="49">
        <v>22022001183</v>
      </c>
      <c r="E917" s="50" t="s">
        <v>2020</v>
      </c>
      <c r="F917" s="58">
        <v>183.29</v>
      </c>
      <c r="G917" s="50" t="s">
        <v>199</v>
      </c>
      <c r="H917" s="50" t="s">
        <v>2357</v>
      </c>
      <c r="I917" s="49" t="s">
        <v>173</v>
      </c>
      <c r="J917" s="50" t="s">
        <v>109</v>
      </c>
      <c r="K917" s="50" t="s">
        <v>109</v>
      </c>
      <c r="L917" s="50" t="s">
        <v>15</v>
      </c>
      <c r="M917" s="50" t="s">
        <v>13</v>
      </c>
      <c r="N917" s="50" t="s">
        <v>14</v>
      </c>
      <c r="O917" s="48" t="s">
        <v>631</v>
      </c>
      <c r="P917" s="45" t="s">
        <v>453</v>
      </c>
      <c r="Q917" s="35" t="str">
        <f>MID(Tabla1[[#This Row],[Aplicación]],14,1)</f>
        <v>2</v>
      </c>
      <c r="R917" s="35" t="s">
        <v>441</v>
      </c>
      <c r="S917" s="35" t="str">
        <f>MID(Tabla1[[#This Row],[Aplicación]],6,2)</f>
        <v>10</v>
      </c>
      <c r="T917" s="35" t="str">
        <f>VLOOKUP(Tabla1[[#This Row],[AREA]],Hoja1!A:B,2,FALSE)</f>
        <v>10. Servicios sociales y mediación comunitaria</v>
      </c>
      <c r="U917" s="35" t="str">
        <f>MID(Tabla1[[#This Row],[Aplicación]],9,4)</f>
        <v>2312</v>
      </c>
      <c r="V917" s="35" t="str">
        <f>VLOOKUP(Tabla1[[#This Row],[PROGRAMA]],Hoja1!A:B,2,FALSE)</f>
        <v>2312. Iniciativas sociales</v>
      </c>
      <c r="W917" s="35" t="str">
        <f>MID(Tabla1[[#This Row],[Aplicación]],14,2)</f>
        <v>21</v>
      </c>
      <c r="X917" s="35" t="str">
        <f>MID(Tabla1[[#This Row],[Aplicación]],14,6)</f>
        <v>212</v>
      </c>
    </row>
    <row r="918" spans="1:24" x14ac:dyDescent="0.25">
      <c r="A918" s="49">
        <v>220220007065</v>
      </c>
      <c r="B918" s="50" t="s">
        <v>172</v>
      </c>
      <c r="C918" s="57">
        <v>44623</v>
      </c>
      <c r="D918" s="49">
        <v>22022001552</v>
      </c>
      <c r="E918" s="50" t="s">
        <v>1975</v>
      </c>
      <c r="F918" s="58">
        <v>87.23</v>
      </c>
      <c r="G918" s="50" t="s">
        <v>199</v>
      </c>
      <c r="H918" s="50" t="s">
        <v>2358</v>
      </c>
      <c r="I918" s="49" t="s">
        <v>173</v>
      </c>
      <c r="J918" s="50" t="s">
        <v>109</v>
      </c>
      <c r="K918" s="50" t="s">
        <v>109</v>
      </c>
      <c r="L918" s="50" t="s">
        <v>15</v>
      </c>
      <c r="M918" s="50" t="s">
        <v>13</v>
      </c>
      <c r="N918" s="50" t="s">
        <v>14</v>
      </c>
      <c r="O918" s="48" t="s">
        <v>631</v>
      </c>
      <c r="P918" s="45" t="s">
        <v>453</v>
      </c>
      <c r="Q918" s="35" t="str">
        <f>MID(Tabla1[[#This Row],[Aplicación]],14,1)</f>
        <v>2</v>
      </c>
      <c r="R918" s="35" t="s">
        <v>441</v>
      </c>
      <c r="S918" s="35" t="str">
        <f>MID(Tabla1[[#This Row],[Aplicación]],6,2)</f>
        <v>08</v>
      </c>
      <c r="T918" s="35" t="str">
        <f>VLOOKUP(Tabla1[[#This Row],[AREA]],Hoja1!A:B,2,FALSE)</f>
        <v>08. Movilidad y espacio urbano</v>
      </c>
      <c r="U918" s="35" t="str">
        <f>MID(Tabla1[[#This Row],[Aplicación]],9,4)</f>
        <v>1532</v>
      </c>
      <c r="V918" s="35" t="str">
        <f>VLOOKUP(Tabla1[[#This Row],[PROGRAMA]],Hoja1!A:B,2,FALSE)</f>
        <v>1532. Pavimentación vias públicas y otros servicios urbanísticos</v>
      </c>
      <c r="W918" s="35" t="str">
        <f>MID(Tabla1[[#This Row],[Aplicación]],14,2)</f>
        <v>21</v>
      </c>
      <c r="X918" s="35" t="str">
        <f>MID(Tabla1[[#This Row],[Aplicación]],14,6)</f>
        <v>210</v>
      </c>
    </row>
    <row r="919" spans="1:24" x14ac:dyDescent="0.25">
      <c r="A919" s="49">
        <v>220220008485</v>
      </c>
      <c r="B919" s="50" t="s">
        <v>172</v>
      </c>
      <c r="C919" s="57">
        <v>44631</v>
      </c>
      <c r="D919" s="49">
        <v>22022000030</v>
      </c>
      <c r="E919" s="50" t="s">
        <v>2007</v>
      </c>
      <c r="F919" s="58">
        <v>52.54</v>
      </c>
      <c r="G919" s="50" t="s">
        <v>199</v>
      </c>
      <c r="H919" s="50" t="s">
        <v>2359</v>
      </c>
      <c r="I919" s="49" t="s">
        <v>173</v>
      </c>
      <c r="J919" s="50" t="s">
        <v>109</v>
      </c>
      <c r="K919" s="50" t="s">
        <v>109</v>
      </c>
      <c r="L919" s="50" t="s">
        <v>15</v>
      </c>
      <c r="M919" s="50" t="s">
        <v>13</v>
      </c>
      <c r="N919" s="50" t="s">
        <v>14</v>
      </c>
      <c r="O919" s="48" t="s">
        <v>631</v>
      </c>
      <c r="P919" s="45" t="s">
        <v>453</v>
      </c>
      <c r="Q919" s="35" t="str">
        <f>MID(Tabla1[[#This Row],[Aplicación]],14,1)</f>
        <v>2</v>
      </c>
      <c r="R919" s="35" t="s">
        <v>441</v>
      </c>
      <c r="S919" s="35" t="str">
        <f>MID(Tabla1[[#This Row],[Aplicación]],6,2)</f>
        <v>11</v>
      </c>
      <c r="T919" s="35" t="str">
        <f>VLOOKUP(Tabla1[[#This Row],[AREA]],Hoja1!A:B,2,FALSE)</f>
        <v>11. Salud pública y seguridad ciudadana</v>
      </c>
      <c r="U919" s="35" t="str">
        <f>MID(Tabla1[[#This Row],[Aplicación]],9,4)</f>
        <v>1621</v>
      </c>
      <c r="V919" s="35" t="str">
        <f>VLOOKUP(Tabla1[[#This Row],[PROGRAMA]],Hoja1!A:B,2,FALSE)</f>
        <v>1621. Servicio de limpieza</v>
      </c>
      <c r="W919" s="35" t="str">
        <f>MID(Tabla1[[#This Row],[Aplicación]],14,2)</f>
        <v>22</v>
      </c>
      <c r="X919" s="35" t="str">
        <f>MID(Tabla1[[#This Row],[Aplicación]],14,6)</f>
        <v>22199</v>
      </c>
    </row>
    <row r="920" spans="1:24" x14ac:dyDescent="0.25">
      <c r="A920" s="49">
        <v>220220008582</v>
      </c>
      <c r="B920" s="50" t="s">
        <v>172</v>
      </c>
      <c r="C920" s="57">
        <v>44631</v>
      </c>
      <c r="D920" s="49">
        <v>22022001641</v>
      </c>
      <c r="E920" s="50" t="s">
        <v>2034</v>
      </c>
      <c r="F920" s="58">
        <v>2052.8000000000002</v>
      </c>
      <c r="G920" s="50" t="s">
        <v>199</v>
      </c>
      <c r="H920" s="50" t="s">
        <v>2360</v>
      </c>
      <c r="I920" s="49" t="s">
        <v>173</v>
      </c>
      <c r="J920" s="50" t="s">
        <v>109</v>
      </c>
      <c r="K920" s="50" t="s">
        <v>109</v>
      </c>
      <c r="L920" s="50" t="s">
        <v>15</v>
      </c>
      <c r="M920" s="50" t="s">
        <v>13</v>
      </c>
      <c r="N920" s="50" t="s">
        <v>14</v>
      </c>
      <c r="O920" s="48" t="s">
        <v>631</v>
      </c>
      <c r="P920" s="45" t="s">
        <v>453</v>
      </c>
      <c r="Q920" s="35" t="str">
        <f>MID(Tabla1[[#This Row],[Aplicación]],14,1)</f>
        <v>2</v>
      </c>
      <c r="R920" s="35" t="s">
        <v>441</v>
      </c>
      <c r="S920" s="35" t="str">
        <f>MID(Tabla1[[#This Row],[Aplicación]],6,2)</f>
        <v>06</v>
      </c>
      <c r="T920" s="35" t="str">
        <f>VLOOKUP(Tabla1[[#This Row],[AREA]],Hoja1!A:B,2,FALSE)</f>
        <v>06. Educación, infancia, juventud e igualdad</v>
      </c>
      <c r="U920" s="35" t="str">
        <f>MID(Tabla1[[#This Row],[Aplicación]],9,4)</f>
        <v>3232</v>
      </c>
      <c r="V920" s="35" t="str">
        <f>VLOOKUP(Tabla1[[#This Row],[PROGRAMA]],Hoja1!A:B,2,FALSE)</f>
        <v>3232. Conservación y mantenimiento centros educación infantil y primaria</v>
      </c>
      <c r="W920" s="35" t="str">
        <f>MID(Tabla1[[#This Row],[Aplicación]],14,2)</f>
        <v>21</v>
      </c>
      <c r="X920" s="35" t="str">
        <f>MID(Tabla1[[#This Row],[Aplicación]],14,6)</f>
        <v>212</v>
      </c>
    </row>
    <row r="921" spans="1:24" x14ac:dyDescent="0.25">
      <c r="A921" s="49">
        <v>220220008741</v>
      </c>
      <c r="B921" s="50" t="s">
        <v>172</v>
      </c>
      <c r="C921" s="57">
        <v>44634</v>
      </c>
      <c r="D921" s="49">
        <v>22022001626</v>
      </c>
      <c r="E921" s="50" t="s">
        <v>1635</v>
      </c>
      <c r="F921" s="58">
        <v>289.31</v>
      </c>
      <c r="G921" s="50" t="s">
        <v>199</v>
      </c>
      <c r="H921" s="50" t="s">
        <v>2361</v>
      </c>
      <c r="I921" s="49" t="s">
        <v>173</v>
      </c>
      <c r="J921" s="50" t="s">
        <v>109</v>
      </c>
      <c r="K921" s="50" t="s">
        <v>109</v>
      </c>
      <c r="L921" s="50" t="s">
        <v>15</v>
      </c>
      <c r="M921" s="50" t="s">
        <v>13</v>
      </c>
      <c r="N921" s="50" t="s">
        <v>16</v>
      </c>
      <c r="O921" s="48" t="s">
        <v>631</v>
      </c>
      <c r="P921" s="45" t="s">
        <v>453</v>
      </c>
      <c r="Q921" s="35" t="str">
        <f>MID(Tabla1[[#This Row],[Aplicación]],14,1)</f>
        <v>2</v>
      </c>
      <c r="R921" s="35" t="s">
        <v>441</v>
      </c>
      <c r="S921" s="35" t="str">
        <f>MID(Tabla1[[#This Row],[Aplicación]],6,2)</f>
        <v>03</v>
      </c>
      <c r="T921" s="35" t="str">
        <f>VLOOKUP(Tabla1[[#This Row],[AREA]],Hoja1!A:B,2,FALSE)</f>
        <v>03. Participación ciudadana y deportes</v>
      </c>
      <c r="U921" s="35" t="str">
        <f>MID(Tabla1[[#This Row],[Aplicación]],9,4)</f>
        <v>9241</v>
      </c>
      <c r="V921" s="35" t="str">
        <f>VLOOKUP(Tabla1[[#This Row],[PROGRAMA]],Hoja1!A:B,2,FALSE)</f>
        <v>9241. Participación ciudadana</v>
      </c>
      <c r="W921" s="35" t="str">
        <f>MID(Tabla1[[#This Row],[Aplicación]],14,2)</f>
        <v>21</v>
      </c>
      <c r="X921" s="35" t="str">
        <f>MID(Tabla1[[#This Row],[Aplicación]],14,6)</f>
        <v>212</v>
      </c>
    </row>
    <row r="922" spans="1:24" x14ac:dyDescent="0.25">
      <c r="A922" s="49">
        <v>220220009368</v>
      </c>
      <c r="B922" s="50" t="s">
        <v>172</v>
      </c>
      <c r="C922" s="57">
        <v>44636</v>
      </c>
      <c r="D922" s="49">
        <v>22022001178</v>
      </c>
      <c r="E922" s="50" t="s">
        <v>1653</v>
      </c>
      <c r="F922" s="58">
        <v>236.03</v>
      </c>
      <c r="G922" s="50" t="s">
        <v>199</v>
      </c>
      <c r="H922" s="50" t="s">
        <v>2362</v>
      </c>
      <c r="I922" s="49" t="s">
        <v>173</v>
      </c>
      <c r="J922" s="50" t="s">
        <v>109</v>
      </c>
      <c r="K922" s="50" t="s">
        <v>109</v>
      </c>
      <c r="L922" s="50" t="s">
        <v>15</v>
      </c>
      <c r="M922" s="50" t="s">
        <v>13</v>
      </c>
      <c r="N922" s="50" t="s">
        <v>14</v>
      </c>
      <c r="O922" s="48" t="s">
        <v>631</v>
      </c>
      <c r="P922" s="45" t="s">
        <v>453</v>
      </c>
      <c r="Q922" s="35" t="str">
        <f>MID(Tabla1[[#This Row],[Aplicación]],14,1)</f>
        <v>2</v>
      </c>
      <c r="R922" s="35" t="s">
        <v>441</v>
      </c>
      <c r="S922" s="35" t="str">
        <f>MID(Tabla1[[#This Row],[Aplicación]],6,2)</f>
        <v>10</v>
      </c>
      <c r="T922" s="35" t="str">
        <f>VLOOKUP(Tabla1[[#This Row],[AREA]],Hoja1!A:B,2,FALSE)</f>
        <v>10. Servicios sociales y mediación comunitaria</v>
      </c>
      <c r="U922" s="35" t="str">
        <f>MID(Tabla1[[#This Row],[Aplicación]],9,4)</f>
        <v>2311</v>
      </c>
      <c r="V922" s="35" t="str">
        <f>VLOOKUP(Tabla1[[#This Row],[PROGRAMA]],Hoja1!A:B,2,FALSE)</f>
        <v>2311. Intervención social</v>
      </c>
      <c r="W922" s="35" t="str">
        <f>MID(Tabla1[[#This Row],[Aplicación]],14,2)</f>
        <v>21</v>
      </c>
      <c r="X922" s="35" t="str">
        <f>MID(Tabla1[[#This Row],[Aplicación]],14,6)</f>
        <v>212</v>
      </c>
    </row>
    <row r="923" spans="1:24" x14ac:dyDescent="0.25">
      <c r="A923" s="49">
        <v>220220009380</v>
      </c>
      <c r="B923" s="50" t="s">
        <v>172</v>
      </c>
      <c r="C923" s="57">
        <v>44636</v>
      </c>
      <c r="D923" s="49">
        <v>22022001172</v>
      </c>
      <c r="E923" s="50" t="s">
        <v>1579</v>
      </c>
      <c r="F923" s="58">
        <v>6.05</v>
      </c>
      <c r="G923" s="50" t="s">
        <v>199</v>
      </c>
      <c r="H923" s="50" t="s">
        <v>2363</v>
      </c>
      <c r="I923" s="49" t="s">
        <v>173</v>
      </c>
      <c r="J923" s="50" t="s">
        <v>109</v>
      </c>
      <c r="K923" s="50" t="s">
        <v>109</v>
      </c>
      <c r="L923" s="50" t="s">
        <v>15</v>
      </c>
      <c r="M923" s="50" t="s">
        <v>13</v>
      </c>
      <c r="N923" s="50" t="s">
        <v>14</v>
      </c>
      <c r="O923" s="48" t="s">
        <v>631</v>
      </c>
      <c r="P923" s="45" t="s">
        <v>453</v>
      </c>
      <c r="Q923" s="35" t="str">
        <f>MID(Tabla1[[#This Row],[Aplicación]],14,1)</f>
        <v>2</v>
      </c>
      <c r="R923" s="35" t="s">
        <v>441</v>
      </c>
      <c r="S923" s="35" t="str">
        <f>MID(Tabla1[[#This Row],[Aplicación]],6,2)</f>
        <v>10</v>
      </c>
      <c r="T923" s="35" t="str">
        <f>VLOOKUP(Tabla1[[#This Row],[AREA]],Hoja1!A:B,2,FALSE)</f>
        <v>10. Servicios sociales y mediación comunitaria</v>
      </c>
      <c r="U923" s="35" t="str">
        <f>MID(Tabla1[[#This Row],[Aplicación]],9,4)</f>
        <v>2412</v>
      </c>
      <c r="V923" s="35" t="str">
        <f>VLOOKUP(Tabla1[[#This Row],[PROGRAMA]],Hoja1!A:B,2,FALSE)</f>
        <v>2412. Formación para el empleo</v>
      </c>
      <c r="W923" s="35" t="str">
        <f>MID(Tabla1[[#This Row],[Aplicación]],14,2)</f>
        <v>22</v>
      </c>
      <c r="X923" s="35" t="str">
        <f>MID(Tabla1[[#This Row],[Aplicación]],14,6)</f>
        <v>22199</v>
      </c>
    </row>
    <row r="924" spans="1:24" x14ac:dyDescent="0.25">
      <c r="A924" s="49">
        <v>220220009382</v>
      </c>
      <c r="B924" s="50" t="s">
        <v>172</v>
      </c>
      <c r="C924" s="57">
        <v>44636</v>
      </c>
      <c r="D924" s="49">
        <v>22022001173</v>
      </c>
      <c r="E924" s="50" t="s">
        <v>1579</v>
      </c>
      <c r="F924" s="58">
        <v>33.880000000000003</v>
      </c>
      <c r="G924" s="50" t="s">
        <v>199</v>
      </c>
      <c r="H924" s="50" t="s">
        <v>2364</v>
      </c>
      <c r="I924" s="49" t="s">
        <v>173</v>
      </c>
      <c r="J924" s="50" t="s">
        <v>109</v>
      </c>
      <c r="K924" s="50" t="s">
        <v>109</v>
      </c>
      <c r="L924" s="50" t="s">
        <v>15</v>
      </c>
      <c r="M924" s="50" t="s">
        <v>13</v>
      </c>
      <c r="N924" s="50" t="s">
        <v>14</v>
      </c>
      <c r="O924" s="48" t="s">
        <v>631</v>
      </c>
      <c r="P924" s="45" t="s">
        <v>453</v>
      </c>
      <c r="Q924" s="35" t="str">
        <f>MID(Tabla1[[#This Row],[Aplicación]],14,1)</f>
        <v>2</v>
      </c>
      <c r="R924" s="35" t="s">
        <v>441</v>
      </c>
      <c r="S924" s="35" t="str">
        <f>MID(Tabla1[[#This Row],[Aplicación]],6,2)</f>
        <v>10</v>
      </c>
      <c r="T924" s="35" t="str">
        <f>VLOOKUP(Tabla1[[#This Row],[AREA]],Hoja1!A:B,2,FALSE)</f>
        <v>10. Servicios sociales y mediación comunitaria</v>
      </c>
      <c r="U924" s="35" t="str">
        <f>MID(Tabla1[[#This Row],[Aplicación]],9,4)</f>
        <v>2412</v>
      </c>
      <c r="V924" s="35" t="str">
        <f>VLOOKUP(Tabla1[[#This Row],[PROGRAMA]],Hoja1!A:B,2,FALSE)</f>
        <v>2412. Formación para el empleo</v>
      </c>
      <c r="W924" s="35" t="str">
        <f>MID(Tabla1[[#This Row],[Aplicación]],14,2)</f>
        <v>22</v>
      </c>
      <c r="X924" s="35" t="str">
        <f>MID(Tabla1[[#This Row],[Aplicación]],14,6)</f>
        <v>22199</v>
      </c>
    </row>
    <row r="925" spans="1:24" x14ac:dyDescent="0.25">
      <c r="A925" s="49">
        <v>220220009384</v>
      </c>
      <c r="B925" s="50" t="s">
        <v>172</v>
      </c>
      <c r="C925" s="57">
        <v>44636</v>
      </c>
      <c r="D925" s="49">
        <v>22022001169</v>
      </c>
      <c r="E925" s="50" t="s">
        <v>2045</v>
      </c>
      <c r="F925" s="58">
        <v>49.85</v>
      </c>
      <c r="G925" s="50" t="s">
        <v>199</v>
      </c>
      <c r="H925" s="50" t="s">
        <v>2365</v>
      </c>
      <c r="I925" s="49" t="s">
        <v>173</v>
      </c>
      <c r="J925" s="50" t="s">
        <v>109</v>
      </c>
      <c r="K925" s="50" t="s">
        <v>109</v>
      </c>
      <c r="L925" s="50" t="s">
        <v>15</v>
      </c>
      <c r="M925" s="50" t="s">
        <v>13</v>
      </c>
      <c r="N925" s="50" t="s">
        <v>14</v>
      </c>
      <c r="O925" s="48" t="s">
        <v>631</v>
      </c>
      <c r="P925" s="45" t="s">
        <v>453</v>
      </c>
      <c r="Q925" s="35" t="str">
        <f>MID(Tabla1[[#This Row],[Aplicación]],14,1)</f>
        <v>2</v>
      </c>
      <c r="R925" s="35" t="s">
        <v>441</v>
      </c>
      <c r="S925" s="35" t="str">
        <f>MID(Tabla1[[#This Row],[Aplicación]],6,2)</f>
        <v>10</v>
      </c>
      <c r="T925" s="35" t="str">
        <f>VLOOKUP(Tabla1[[#This Row],[AREA]],Hoja1!A:B,2,FALSE)</f>
        <v>10. Servicios sociales y mediación comunitaria</v>
      </c>
      <c r="U925" s="35" t="str">
        <f>MID(Tabla1[[#This Row],[Aplicación]],9,4)</f>
        <v>2412</v>
      </c>
      <c r="V925" s="35" t="str">
        <f>VLOOKUP(Tabla1[[#This Row],[PROGRAMA]],Hoja1!A:B,2,FALSE)</f>
        <v>2412. Formación para el empleo</v>
      </c>
      <c r="W925" s="35" t="str">
        <f>MID(Tabla1[[#This Row],[Aplicación]],14,2)</f>
        <v>21</v>
      </c>
      <c r="X925" s="35" t="str">
        <f>MID(Tabla1[[#This Row],[Aplicación]],14,6)</f>
        <v>212</v>
      </c>
    </row>
    <row r="926" spans="1:24" x14ac:dyDescent="0.25">
      <c r="A926" s="49">
        <v>220220009396</v>
      </c>
      <c r="B926" s="50" t="s">
        <v>172</v>
      </c>
      <c r="C926" s="57">
        <v>44636</v>
      </c>
      <c r="D926" s="49">
        <v>22022001623</v>
      </c>
      <c r="E926" s="50" t="s">
        <v>1606</v>
      </c>
      <c r="F926" s="58">
        <v>9.8000000000000007</v>
      </c>
      <c r="G926" s="50" t="s">
        <v>199</v>
      </c>
      <c r="H926" s="50" t="s">
        <v>2366</v>
      </c>
      <c r="I926" s="49" t="s">
        <v>173</v>
      </c>
      <c r="J926" s="50" t="s">
        <v>109</v>
      </c>
      <c r="K926" s="50" t="s">
        <v>109</v>
      </c>
      <c r="L926" s="50" t="s">
        <v>15</v>
      </c>
      <c r="M926" s="50" t="s">
        <v>13</v>
      </c>
      <c r="N926" s="50" t="s">
        <v>14</v>
      </c>
      <c r="O926" s="48" t="s">
        <v>631</v>
      </c>
      <c r="P926" s="45" t="s">
        <v>453</v>
      </c>
      <c r="Q926" s="35" t="str">
        <f>MID(Tabla1[[#This Row],[Aplicación]],14,1)</f>
        <v>2</v>
      </c>
      <c r="R926" s="35" t="s">
        <v>441</v>
      </c>
      <c r="S926" s="35" t="str">
        <f>MID(Tabla1[[#This Row],[Aplicación]],6,2)</f>
        <v>11</v>
      </c>
      <c r="T926" s="35" t="str">
        <f>VLOOKUP(Tabla1[[#This Row],[AREA]],Hoja1!A:B,2,FALSE)</f>
        <v>11. Salud pública y seguridad ciudadana</v>
      </c>
      <c r="U926" s="35" t="str">
        <f>MID(Tabla1[[#This Row],[Aplicación]],9,4)</f>
        <v>1361</v>
      </c>
      <c r="V926" s="35" t="str">
        <f>VLOOKUP(Tabla1[[#This Row],[PROGRAMA]],Hoja1!A:B,2,FALSE)</f>
        <v>1361. Prevención y extinción de incencios</v>
      </c>
      <c r="W926" s="35" t="str">
        <f>MID(Tabla1[[#This Row],[Aplicación]],14,2)</f>
        <v>22</v>
      </c>
      <c r="X926" s="35" t="str">
        <f>MID(Tabla1[[#This Row],[Aplicación]],14,6)</f>
        <v>22199</v>
      </c>
    </row>
    <row r="927" spans="1:24" x14ac:dyDescent="0.25">
      <c r="A927" s="49">
        <v>220220009441</v>
      </c>
      <c r="B927" s="50" t="s">
        <v>172</v>
      </c>
      <c r="C927" s="57">
        <v>44636</v>
      </c>
      <c r="D927" s="49">
        <v>22022001636</v>
      </c>
      <c r="E927" s="50" t="s">
        <v>1853</v>
      </c>
      <c r="F927" s="58">
        <v>1274.3499999999999</v>
      </c>
      <c r="G927" s="50" t="s">
        <v>199</v>
      </c>
      <c r="H927" s="50" t="s">
        <v>1097</v>
      </c>
      <c r="I927" s="49" t="s">
        <v>173</v>
      </c>
      <c r="J927" s="50" t="s">
        <v>109</v>
      </c>
      <c r="K927" s="50" t="s">
        <v>109</v>
      </c>
      <c r="L927" s="50" t="s">
        <v>12</v>
      </c>
      <c r="M927" s="50" t="s">
        <v>13</v>
      </c>
      <c r="N927" s="50" t="s">
        <v>14</v>
      </c>
      <c r="O927" s="48" t="s">
        <v>631</v>
      </c>
      <c r="P927" s="45" t="s">
        <v>453</v>
      </c>
      <c r="Q927" s="35" t="str">
        <f>MID(Tabla1[[#This Row],[Aplicación]],14,1)</f>
        <v>2</v>
      </c>
      <c r="R927" s="35" t="s">
        <v>441</v>
      </c>
      <c r="S927" s="35" t="str">
        <f>MID(Tabla1[[#This Row],[Aplicación]],6,2)</f>
        <v>07</v>
      </c>
      <c r="T927" s="35" t="str">
        <f>VLOOKUP(Tabla1[[#This Row],[AREA]],Hoja1!A:B,2,FALSE)</f>
        <v>07. Medio ambiente y desarrollo sostenible</v>
      </c>
      <c r="U927" s="35" t="str">
        <f>MID(Tabla1[[#This Row],[Aplicación]],9,4)</f>
        <v>1711</v>
      </c>
      <c r="V927" s="35" t="str">
        <f>VLOOKUP(Tabla1[[#This Row],[PROGRAMA]],Hoja1!A:B,2,FALSE)</f>
        <v>1711. Parques y jardines</v>
      </c>
      <c r="W927" s="35" t="str">
        <f>MID(Tabla1[[#This Row],[Aplicación]],14,2)</f>
        <v>21</v>
      </c>
      <c r="X927" s="35" t="str">
        <f>MID(Tabla1[[#This Row],[Aplicación]],14,6)</f>
        <v>213</v>
      </c>
    </row>
    <row r="928" spans="1:24" x14ac:dyDescent="0.25">
      <c r="A928" s="49">
        <v>220220009443</v>
      </c>
      <c r="B928" s="50" t="s">
        <v>172</v>
      </c>
      <c r="C928" s="57">
        <v>44636</v>
      </c>
      <c r="D928" s="49">
        <v>22022001636</v>
      </c>
      <c r="E928" s="50" t="s">
        <v>1853</v>
      </c>
      <c r="F928" s="58">
        <v>61.54</v>
      </c>
      <c r="G928" s="50" t="s">
        <v>199</v>
      </c>
      <c r="H928" s="50" t="s">
        <v>1109</v>
      </c>
      <c r="I928" s="49" t="s">
        <v>173</v>
      </c>
      <c r="J928" s="50" t="s">
        <v>109</v>
      </c>
      <c r="K928" s="50" t="s">
        <v>109</v>
      </c>
      <c r="L928" s="50" t="s">
        <v>15</v>
      </c>
      <c r="M928" s="50" t="s">
        <v>13</v>
      </c>
      <c r="N928" s="50" t="s">
        <v>14</v>
      </c>
      <c r="O928" s="48" t="s">
        <v>631</v>
      </c>
      <c r="P928" s="45" t="s">
        <v>453</v>
      </c>
      <c r="Q928" s="35" t="str">
        <f>MID(Tabla1[[#This Row],[Aplicación]],14,1)</f>
        <v>2</v>
      </c>
      <c r="R928" s="35" t="s">
        <v>441</v>
      </c>
      <c r="S928" s="35" t="str">
        <f>MID(Tabla1[[#This Row],[Aplicación]],6,2)</f>
        <v>07</v>
      </c>
      <c r="T928" s="35" t="str">
        <f>VLOOKUP(Tabla1[[#This Row],[AREA]],Hoja1!A:B,2,FALSE)</f>
        <v>07. Medio ambiente y desarrollo sostenible</v>
      </c>
      <c r="U928" s="35" t="str">
        <f>MID(Tabla1[[#This Row],[Aplicación]],9,4)</f>
        <v>1711</v>
      </c>
      <c r="V928" s="35" t="str">
        <f>VLOOKUP(Tabla1[[#This Row],[PROGRAMA]],Hoja1!A:B,2,FALSE)</f>
        <v>1711. Parques y jardines</v>
      </c>
      <c r="W928" s="35" t="str">
        <f>MID(Tabla1[[#This Row],[Aplicación]],14,2)</f>
        <v>21</v>
      </c>
      <c r="X928" s="35" t="str">
        <f>MID(Tabla1[[#This Row],[Aplicación]],14,6)</f>
        <v>213</v>
      </c>
    </row>
    <row r="929" spans="1:24" x14ac:dyDescent="0.25">
      <c r="A929" s="49">
        <v>220220009489</v>
      </c>
      <c r="B929" s="50" t="s">
        <v>172</v>
      </c>
      <c r="C929" s="57">
        <v>44636</v>
      </c>
      <c r="D929" s="49">
        <v>22022001449</v>
      </c>
      <c r="E929" s="50" t="s">
        <v>1890</v>
      </c>
      <c r="F929" s="58">
        <v>134.44</v>
      </c>
      <c r="G929" s="50" t="s">
        <v>199</v>
      </c>
      <c r="H929" s="50" t="s">
        <v>2367</v>
      </c>
      <c r="I929" s="49" t="s">
        <v>173</v>
      </c>
      <c r="J929" s="50" t="s">
        <v>109</v>
      </c>
      <c r="K929" s="50" t="s">
        <v>109</v>
      </c>
      <c r="L929" s="50" t="s">
        <v>15</v>
      </c>
      <c r="M929" s="50" t="s">
        <v>13</v>
      </c>
      <c r="N929" s="50" t="s">
        <v>14</v>
      </c>
      <c r="O929" s="48" t="s">
        <v>631</v>
      </c>
      <c r="P929" s="45" t="s">
        <v>453</v>
      </c>
      <c r="Q929" s="35" t="str">
        <f>MID(Tabla1[[#This Row],[Aplicación]],14,1)</f>
        <v>2</v>
      </c>
      <c r="R929" s="35" t="s">
        <v>441</v>
      </c>
      <c r="S929" s="35" t="str">
        <f>MID(Tabla1[[#This Row],[Aplicación]],6,2)</f>
        <v>02</v>
      </c>
      <c r="T929" s="35" t="str">
        <f>VLOOKUP(Tabla1[[#This Row],[AREA]],Hoja1!A:B,2,FALSE)</f>
        <v>02. Planeamiento urbanístico y vivienda</v>
      </c>
      <c r="U929" s="35" t="str">
        <f>MID(Tabla1[[#This Row],[Aplicación]],9,4)</f>
        <v>9332</v>
      </c>
      <c r="V929" s="35" t="str">
        <f>VLOOKUP(Tabla1[[#This Row],[PROGRAMA]],Hoja1!A:B,2,FALSE)</f>
        <v>9332. Mantenimiento de edificios e instalaciones municipales</v>
      </c>
      <c r="W929" s="35" t="str">
        <f>MID(Tabla1[[#This Row],[Aplicación]],14,2)</f>
        <v>21</v>
      </c>
      <c r="X929" s="35" t="str">
        <f>MID(Tabla1[[#This Row],[Aplicación]],14,6)</f>
        <v>212</v>
      </c>
    </row>
    <row r="930" spans="1:24" x14ac:dyDescent="0.25">
      <c r="A930" s="49">
        <v>220220009507</v>
      </c>
      <c r="B930" s="50" t="s">
        <v>172</v>
      </c>
      <c r="C930" s="57">
        <v>44636</v>
      </c>
      <c r="D930" s="49">
        <v>22022001449</v>
      </c>
      <c r="E930" s="50" t="s">
        <v>1890</v>
      </c>
      <c r="F930" s="58">
        <v>101.22</v>
      </c>
      <c r="G930" s="50" t="s">
        <v>199</v>
      </c>
      <c r="H930" s="50" t="s">
        <v>2368</v>
      </c>
      <c r="I930" s="49" t="s">
        <v>173</v>
      </c>
      <c r="J930" s="50" t="s">
        <v>109</v>
      </c>
      <c r="K930" s="50" t="s">
        <v>109</v>
      </c>
      <c r="L930" s="50" t="s">
        <v>15</v>
      </c>
      <c r="M930" s="50" t="s">
        <v>13</v>
      </c>
      <c r="N930" s="50" t="s">
        <v>14</v>
      </c>
      <c r="O930" s="48" t="s">
        <v>631</v>
      </c>
      <c r="P930" s="45" t="s">
        <v>453</v>
      </c>
      <c r="Q930" s="35" t="str">
        <f>MID(Tabla1[[#This Row],[Aplicación]],14,1)</f>
        <v>2</v>
      </c>
      <c r="R930" s="35" t="s">
        <v>441</v>
      </c>
      <c r="S930" s="35" t="str">
        <f>MID(Tabla1[[#This Row],[Aplicación]],6,2)</f>
        <v>02</v>
      </c>
      <c r="T930" s="35" t="str">
        <f>VLOOKUP(Tabla1[[#This Row],[AREA]],Hoja1!A:B,2,FALSE)</f>
        <v>02. Planeamiento urbanístico y vivienda</v>
      </c>
      <c r="U930" s="35" t="str">
        <f>MID(Tabla1[[#This Row],[Aplicación]],9,4)</f>
        <v>9332</v>
      </c>
      <c r="V930" s="35" t="str">
        <f>VLOOKUP(Tabla1[[#This Row],[PROGRAMA]],Hoja1!A:B,2,FALSE)</f>
        <v>9332. Mantenimiento de edificios e instalaciones municipales</v>
      </c>
      <c r="W930" s="35" t="str">
        <f>MID(Tabla1[[#This Row],[Aplicación]],14,2)</f>
        <v>21</v>
      </c>
      <c r="X930" s="35" t="str">
        <f>MID(Tabla1[[#This Row],[Aplicación]],14,6)</f>
        <v>212</v>
      </c>
    </row>
    <row r="931" spans="1:24" x14ac:dyDescent="0.25">
      <c r="A931" s="49">
        <v>220220009517</v>
      </c>
      <c r="B931" s="50" t="s">
        <v>172</v>
      </c>
      <c r="C931" s="57">
        <v>44636</v>
      </c>
      <c r="D931" s="49">
        <v>22022001449</v>
      </c>
      <c r="E931" s="50" t="s">
        <v>1890</v>
      </c>
      <c r="F931" s="58">
        <v>858.65</v>
      </c>
      <c r="G931" s="50" t="s">
        <v>199</v>
      </c>
      <c r="H931" s="50" t="s">
        <v>2369</v>
      </c>
      <c r="I931" s="49" t="s">
        <v>173</v>
      </c>
      <c r="J931" s="50" t="s">
        <v>109</v>
      </c>
      <c r="K931" s="50" t="s">
        <v>109</v>
      </c>
      <c r="L931" s="50" t="s">
        <v>15</v>
      </c>
      <c r="M931" s="50" t="s">
        <v>13</v>
      </c>
      <c r="N931" s="50" t="s">
        <v>14</v>
      </c>
      <c r="O931" s="48" t="s">
        <v>631</v>
      </c>
      <c r="P931" s="45" t="s">
        <v>453</v>
      </c>
      <c r="Q931" s="35" t="str">
        <f>MID(Tabla1[[#This Row],[Aplicación]],14,1)</f>
        <v>2</v>
      </c>
      <c r="R931" s="35" t="s">
        <v>441</v>
      </c>
      <c r="S931" s="35" t="str">
        <f>MID(Tabla1[[#This Row],[Aplicación]],6,2)</f>
        <v>02</v>
      </c>
      <c r="T931" s="35" t="str">
        <f>VLOOKUP(Tabla1[[#This Row],[AREA]],Hoja1!A:B,2,FALSE)</f>
        <v>02. Planeamiento urbanístico y vivienda</v>
      </c>
      <c r="U931" s="35" t="str">
        <f>MID(Tabla1[[#This Row],[Aplicación]],9,4)</f>
        <v>9332</v>
      </c>
      <c r="V931" s="35" t="str">
        <f>VLOOKUP(Tabla1[[#This Row],[PROGRAMA]],Hoja1!A:B,2,FALSE)</f>
        <v>9332. Mantenimiento de edificios e instalaciones municipales</v>
      </c>
      <c r="W931" s="35" t="str">
        <f>MID(Tabla1[[#This Row],[Aplicación]],14,2)</f>
        <v>21</v>
      </c>
      <c r="X931" s="35" t="str">
        <f>MID(Tabla1[[#This Row],[Aplicación]],14,6)</f>
        <v>212</v>
      </c>
    </row>
    <row r="932" spans="1:24" x14ac:dyDescent="0.25">
      <c r="A932" s="49">
        <v>220220009538</v>
      </c>
      <c r="B932" s="50" t="s">
        <v>172</v>
      </c>
      <c r="C932" s="57">
        <v>44636</v>
      </c>
      <c r="D932" s="49">
        <v>22022001449</v>
      </c>
      <c r="E932" s="50" t="s">
        <v>1890</v>
      </c>
      <c r="F932" s="58">
        <v>16.79</v>
      </c>
      <c r="G932" s="50" t="s">
        <v>199</v>
      </c>
      <c r="H932" s="50" t="s">
        <v>2370</v>
      </c>
      <c r="I932" s="49" t="s">
        <v>173</v>
      </c>
      <c r="J932" s="50" t="s">
        <v>109</v>
      </c>
      <c r="K932" s="50" t="s">
        <v>109</v>
      </c>
      <c r="L932" s="50" t="s">
        <v>15</v>
      </c>
      <c r="M932" s="50" t="s">
        <v>13</v>
      </c>
      <c r="N932" s="50" t="s">
        <v>14</v>
      </c>
      <c r="O932" s="48" t="s">
        <v>631</v>
      </c>
      <c r="P932" s="45" t="s">
        <v>453</v>
      </c>
      <c r="Q932" s="35" t="str">
        <f>MID(Tabla1[[#This Row],[Aplicación]],14,1)</f>
        <v>2</v>
      </c>
      <c r="R932" s="35" t="s">
        <v>441</v>
      </c>
      <c r="S932" s="35" t="str">
        <f>MID(Tabla1[[#This Row],[Aplicación]],6,2)</f>
        <v>02</v>
      </c>
      <c r="T932" s="35" t="str">
        <f>VLOOKUP(Tabla1[[#This Row],[AREA]],Hoja1!A:B,2,FALSE)</f>
        <v>02. Planeamiento urbanístico y vivienda</v>
      </c>
      <c r="U932" s="35" t="str">
        <f>MID(Tabla1[[#This Row],[Aplicación]],9,4)</f>
        <v>9332</v>
      </c>
      <c r="V932" s="35" t="str">
        <f>VLOOKUP(Tabla1[[#This Row],[PROGRAMA]],Hoja1!A:B,2,FALSE)</f>
        <v>9332. Mantenimiento de edificios e instalaciones municipales</v>
      </c>
      <c r="W932" s="35" t="str">
        <f>MID(Tabla1[[#This Row],[Aplicación]],14,2)</f>
        <v>21</v>
      </c>
      <c r="X932" s="35" t="str">
        <f>MID(Tabla1[[#This Row],[Aplicación]],14,6)</f>
        <v>212</v>
      </c>
    </row>
    <row r="933" spans="1:24" x14ac:dyDescent="0.25">
      <c r="A933" s="49">
        <v>220220009677</v>
      </c>
      <c r="B933" s="50" t="s">
        <v>172</v>
      </c>
      <c r="C933" s="57">
        <v>44636</v>
      </c>
      <c r="D933" s="49">
        <v>22022001449</v>
      </c>
      <c r="E933" s="50" t="s">
        <v>1890</v>
      </c>
      <c r="F933" s="58">
        <v>450.98</v>
      </c>
      <c r="G933" s="50" t="s">
        <v>199</v>
      </c>
      <c r="H933" s="50" t="s">
        <v>2371</v>
      </c>
      <c r="I933" s="49" t="s">
        <v>173</v>
      </c>
      <c r="J933" s="50" t="s">
        <v>109</v>
      </c>
      <c r="K933" s="50" t="s">
        <v>109</v>
      </c>
      <c r="L933" s="50" t="s">
        <v>15</v>
      </c>
      <c r="M933" s="50" t="s">
        <v>13</v>
      </c>
      <c r="N933" s="50" t="s">
        <v>14</v>
      </c>
      <c r="O933" s="48" t="s">
        <v>631</v>
      </c>
      <c r="P933" s="45" t="s">
        <v>453</v>
      </c>
      <c r="Q933" s="35" t="str">
        <f>MID(Tabla1[[#This Row],[Aplicación]],14,1)</f>
        <v>2</v>
      </c>
      <c r="R933" s="35" t="s">
        <v>441</v>
      </c>
      <c r="S933" s="35" t="str">
        <f>MID(Tabla1[[#This Row],[Aplicación]],6,2)</f>
        <v>02</v>
      </c>
      <c r="T933" s="35" t="str">
        <f>VLOOKUP(Tabla1[[#This Row],[AREA]],Hoja1!A:B,2,FALSE)</f>
        <v>02. Planeamiento urbanístico y vivienda</v>
      </c>
      <c r="U933" s="35" t="str">
        <f>MID(Tabla1[[#This Row],[Aplicación]],9,4)</f>
        <v>9332</v>
      </c>
      <c r="V933" s="35" t="str">
        <f>VLOOKUP(Tabla1[[#This Row],[PROGRAMA]],Hoja1!A:B,2,FALSE)</f>
        <v>9332. Mantenimiento de edificios e instalaciones municipales</v>
      </c>
      <c r="W933" s="35" t="str">
        <f>MID(Tabla1[[#This Row],[Aplicación]],14,2)</f>
        <v>21</v>
      </c>
      <c r="X933" s="35" t="str">
        <f>MID(Tabla1[[#This Row],[Aplicación]],14,6)</f>
        <v>212</v>
      </c>
    </row>
    <row r="934" spans="1:24" x14ac:dyDescent="0.25">
      <c r="A934" s="49">
        <v>220220009966</v>
      </c>
      <c r="B934" s="50" t="s">
        <v>172</v>
      </c>
      <c r="C934" s="57">
        <v>44638</v>
      </c>
      <c r="D934" s="49">
        <v>22022001184</v>
      </c>
      <c r="E934" s="50" t="s">
        <v>2020</v>
      </c>
      <c r="F934" s="58">
        <v>7.44</v>
      </c>
      <c r="G934" s="50" t="s">
        <v>199</v>
      </c>
      <c r="H934" s="50" t="s">
        <v>2372</v>
      </c>
      <c r="I934" s="49" t="s">
        <v>173</v>
      </c>
      <c r="J934" s="50" t="s">
        <v>109</v>
      </c>
      <c r="K934" s="50" t="s">
        <v>109</v>
      </c>
      <c r="L934" s="50" t="s">
        <v>15</v>
      </c>
      <c r="M934" s="50" t="s">
        <v>13</v>
      </c>
      <c r="N934" s="50" t="s">
        <v>14</v>
      </c>
      <c r="O934" s="48" t="s">
        <v>631</v>
      </c>
      <c r="P934" s="45" t="s">
        <v>453</v>
      </c>
      <c r="Q934" s="35" t="str">
        <f>MID(Tabla1[[#This Row],[Aplicación]],14,1)</f>
        <v>2</v>
      </c>
      <c r="R934" s="35" t="s">
        <v>441</v>
      </c>
      <c r="S934" s="35" t="str">
        <f>MID(Tabla1[[#This Row],[Aplicación]],6,2)</f>
        <v>10</v>
      </c>
      <c r="T934" s="35" t="str">
        <f>VLOOKUP(Tabla1[[#This Row],[AREA]],Hoja1!A:B,2,FALSE)</f>
        <v>10. Servicios sociales y mediación comunitaria</v>
      </c>
      <c r="U934" s="35" t="str">
        <f>MID(Tabla1[[#This Row],[Aplicación]],9,4)</f>
        <v>2312</v>
      </c>
      <c r="V934" s="35" t="str">
        <f>VLOOKUP(Tabla1[[#This Row],[PROGRAMA]],Hoja1!A:B,2,FALSE)</f>
        <v>2312. Iniciativas sociales</v>
      </c>
      <c r="W934" s="35" t="str">
        <f>MID(Tabla1[[#This Row],[Aplicación]],14,2)</f>
        <v>21</v>
      </c>
      <c r="X934" s="35" t="str">
        <f>MID(Tabla1[[#This Row],[Aplicación]],14,6)</f>
        <v>212</v>
      </c>
    </row>
    <row r="935" spans="1:24" x14ac:dyDescent="0.25">
      <c r="A935" s="49">
        <v>220220012702</v>
      </c>
      <c r="B935" s="50" t="s">
        <v>172</v>
      </c>
      <c r="C935" s="57">
        <v>44644</v>
      </c>
      <c r="D935" s="49">
        <v>22022001626</v>
      </c>
      <c r="E935" s="50" t="s">
        <v>1635</v>
      </c>
      <c r="F935" s="58">
        <v>29.25</v>
      </c>
      <c r="G935" s="50" t="s">
        <v>199</v>
      </c>
      <c r="H935" s="50" t="s">
        <v>2373</v>
      </c>
      <c r="I935" s="49" t="s">
        <v>173</v>
      </c>
      <c r="J935" s="50" t="s">
        <v>109</v>
      </c>
      <c r="K935" s="50" t="s">
        <v>109</v>
      </c>
      <c r="L935" s="50" t="s">
        <v>15</v>
      </c>
      <c r="M935" s="50" t="s">
        <v>13</v>
      </c>
      <c r="N935" s="50" t="s">
        <v>16</v>
      </c>
      <c r="O935" s="48" t="s">
        <v>631</v>
      </c>
      <c r="P935" s="45" t="s">
        <v>453</v>
      </c>
      <c r="Q935" s="35" t="str">
        <f>MID(Tabla1[[#This Row],[Aplicación]],14,1)</f>
        <v>2</v>
      </c>
      <c r="R935" s="35" t="s">
        <v>441</v>
      </c>
      <c r="S935" s="35" t="str">
        <f>MID(Tabla1[[#This Row],[Aplicación]],6,2)</f>
        <v>03</v>
      </c>
      <c r="T935" s="35" t="str">
        <f>VLOOKUP(Tabla1[[#This Row],[AREA]],Hoja1!A:B,2,FALSE)</f>
        <v>03. Participación ciudadana y deportes</v>
      </c>
      <c r="U935" s="35" t="str">
        <f>MID(Tabla1[[#This Row],[Aplicación]],9,4)</f>
        <v>9241</v>
      </c>
      <c r="V935" s="35" t="str">
        <f>VLOOKUP(Tabla1[[#This Row],[PROGRAMA]],Hoja1!A:B,2,FALSE)</f>
        <v>9241. Participación ciudadana</v>
      </c>
      <c r="W935" s="35" t="str">
        <f>MID(Tabla1[[#This Row],[Aplicación]],14,2)</f>
        <v>21</v>
      </c>
      <c r="X935" s="35" t="str">
        <f>MID(Tabla1[[#This Row],[Aplicación]],14,6)</f>
        <v>212</v>
      </c>
    </row>
    <row r="936" spans="1:24" x14ac:dyDescent="0.25">
      <c r="A936" s="49">
        <v>220220012742</v>
      </c>
      <c r="B936" s="50" t="s">
        <v>172</v>
      </c>
      <c r="C936" s="57">
        <v>44644</v>
      </c>
      <c r="D936" s="49">
        <v>22022001449</v>
      </c>
      <c r="E936" s="50" t="s">
        <v>1890</v>
      </c>
      <c r="F936" s="58">
        <v>572.37</v>
      </c>
      <c r="G936" s="50" t="s">
        <v>199</v>
      </c>
      <c r="H936" s="50" t="s">
        <v>2374</v>
      </c>
      <c r="I936" s="49" t="s">
        <v>173</v>
      </c>
      <c r="J936" s="50" t="s">
        <v>109</v>
      </c>
      <c r="K936" s="50" t="s">
        <v>109</v>
      </c>
      <c r="L936" s="50" t="s">
        <v>15</v>
      </c>
      <c r="M936" s="50" t="s">
        <v>13</v>
      </c>
      <c r="N936" s="50" t="s">
        <v>14</v>
      </c>
      <c r="O936" s="48" t="s">
        <v>631</v>
      </c>
      <c r="P936" s="45" t="s">
        <v>453</v>
      </c>
      <c r="Q936" s="35" t="str">
        <f>MID(Tabla1[[#This Row],[Aplicación]],14,1)</f>
        <v>2</v>
      </c>
      <c r="R936" s="35" t="s">
        <v>441</v>
      </c>
      <c r="S936" s="35" t="str">
        <f>MID(Tabla1[[#This Row],[Aplicación]],6,2)</f>
        <v>02</v>
      </c>
      <c r="T936" s="35" t="str">
        <f>VLOOKUP(Tabla1[[#This Row],[AREA]],Hoja1!A:B,2,FALSE)</f>
        <v>02. Planeamiento urbanístico y vivienda</v>
      </c>
      <c r="U936" s="35" t="str">
        <f>MID(Tabla1[[#This Row],[Aplicación]],9,4)</f>
        <v>9332</v>
      </c>
      <c r="V936" s="35" t="str">
        <f>VLOOKUP(Tabla1[[#This Row],[PROGRAMA]],Hoja1!A:B,2,FALSE)</f>
        <v>9332. Mantenimiento de edificios e instalaciones municipales</v>
      </c>
      <c r="W936" s="35" t="str">
        <f>MID(Tabla1[[#This Row],[Aplicación]],14,2)</f>
        <v>21</v>
      </c>
      <c r="X936" s="35" t="str">
        <f>MID(Tabla1[[#This Row],[Aplicación]],14,6)</f>
        <v>212</v>
      </c>
    </row>
    <row r="937" spans="1:24" x14ac:dyDescent="0.25">
      <c r="A937" s="49">
        <v>220220013143</v>
      </c>
      <c r="B937" s="50" t="s">
        <v>172</v>
      </c>
      <c r="C937" s="57">
        <v>44649</v>
      </c>
      <c r="D937" s="49">
        <v>22022001636</v>
      </c>
      <c r="E937" s="50" t="s">
        <v>1853</v>
      </c>
      <c r="F937" s="58">
        <v>3283.12</v>
      </c>
      <c r="G937" s="50" t="s">
        <v>199</v>
      </c>
      <c r="H937" s="50" t="s">
        <v>2375</v>
      </c>
      <c r="I937" s="49" t="s">
        <v>173</v>
      </c>
      <c r="J937" s="50" t="s">
        <v>109</v>
      </c>
      <c r="K937" s="50" t="s">
        <v>109</v>
      </c>
      <c r="L937" s="50" t="s">
        <v>12</v>
      </c>
      <c r="M937" s="50" t="s">
        <v>13</v>
      </c>
      <c r="N937" s="50" t="s">
        <v>14</v>
      </c>
      <c r="O937" s="48" t="s">
        <v>631</v>
      </c>
      <c r="P937" s="45" t="s">
        <v>453</v>
      </c>
      <c r="Q937" s="35" t="str">
        <f>MID(Tabla1[[#This Row],[Aplicación]],14,1)</f>
        <v>2</v>
      </c>
      <c r="R937" s="35" t="s">
        <v>441</v>
      </c>
      <c r="S937" s="35" t="str">
        <f>MID(Tabla1[[#This Row],[Aplicación]],6,2)</f>
        <v>07</v>
      </c>
      <c r="T937" s="35" t="str">
        <f>VLOOKUP(Tabla1[[#This Row],[AREA]],Hoja1!A:B,2,FALSE)</f>
        <v>07. Medio ambiente y desarrollo sostenible</v>
      </c>
      <c r="U937" s="35" t="str">
        <f>MID(Tabla1[[#This Row],[Aplicación]],9,4)</f>
        <v>1711</v>
      </c>
      <c r="V937" s="35" t="str">
        <f>VLOOKUP(Tabla1[[#This Row],[PROGRAMA]],Hoja1!A:B,2,FALSE)</f>
        <v>1711. Parques y jardines</v>
      </c>
      <c r="W937" s="35" t="str">
        <f>MID(Tabla1[[#This Row],[Aplicación]],14,2)</f>
        <v>21</v>
      </c>
      <c r="X937" s="35" t="str">
        <f>MID(Tabla1[[#This Row],[Aplicación]],14,6)</f>
        <v>213</v>
      </c>
    </row>
    <row r="938" spans="1:24" x14ac:dyDescent="0.25">
      <c r="A938" s="49">
        <v>220220013145</v>
      </c>
      <c r="B938" s="50" t="s">
        <v>172</v>
      </c>
      <c r="C938" s="57">
        <v>44649</v>
      </c>
      <c r="D938" s="49">
        <v>22022001636</v>
      </c>
      <c r="E938" s="50" t="s">
        <v>1853</v>
      </c>
      <c r="F938" s="58">
        <v>54.3</v>
      </c>
      <c r="G938" s="50" t="s">
        <v>199</v>
      </c>
      <c r="H938" s="50" t="s">
        <v>2376</v>
      </c>
      <c r="I938" s="49" t="s">
        <v>173</v>
      </c>
      <c r="J938" s="50" t="s">
        <v>109</v>
      </c>
      <c r="K938" s="50" t="s">
        <v>109</v>
      </c>
      <c r="L938" s="50" t="s">
        <v>15</v>
      </c>
      <c r="M938" s="50" t="s">
        <v>13</v>
      </c>
      <c r="N938" s="50" t="s">
        <v>14</v>
      </c>
      <c r="O938" s="48" t="s">
        <v>631</v>
      </c>
      <c r="P938" s="45" t="s">
        <v>453</v>
      </c>
      <c r="Q938" s="35" t="str">
        <f>MID(Tabla1[[#This Row],[Aplicación]],14,1)</f>
        <v>2</v>
      </c>
      <c r="R938" s="35" t="s">
        <v>441</v>
      </c>
      <c r="S938" s="35" t="str">
        <f>MID(Tabla1[[#This Row],[Aplicación]],6,2)</f>
        <v>07</v>
      </c>
      <c r="T938" s="35" t="str">
        <f>VLOOKUP(Tabla1[[#This Row],[AREA]],Hoja1!A:B,2,FALSE)</f>
        <v>07. Medio ambiente y desarrollo sostenible</v>
      </c>
      <c r="U938" s="35" t="str">
        <f>MID(Tabla1[[#This Row],[Aplicación]],9,4)</f>
        <v>1711</v>
      </c>
      <c r="V938" s="35" t="str">
        <f>VLOOKUP(Tabla1[[#This Row],[PROGRAMA]],Hoja1!A:B,2,FALSE)</f>
        <v>1711. Parques y jardines</v>
      </c>
      <c r="W938" s="35" t="str">
        <f>MID(Tabla1[[#This Row],[Aplicación]],14,2)</f>
        <v>21</v>
      </c>
      <c r="X938" s="35" t="str">
        <f>MID(Tabla1[[#This Row],[Aplicación]],14,6)</f>
        <v>213</v>
      </c>
    </row>
    <row r="939" spans="1:24" x14ac:dyDescent="0.25">
      <c r="A939" s="49">
        <v>220220013158</v>
      </c>
      <c r="B939" s="50" t="s">
        <v>172</v>
      </c>
      <c r="C939" s="57">
        <v>44649</v>
      </c>
      <c r="D939" s="49">
        <v>22022001641</v>
      </c>
      <c r="E939" s="50" t="s">
        <v>2034</v>
      </c>
      <c r="F939" s="58">
        <v>1297.51</v>
      </c>
      <c r="G939" s="50" t="s">
        <v>199</v>
      </c>
      <c r="H939" s="50" t="s">
        <v>2377</v>
      </c>
      <c r="I939" s="49" t="s">
        <v>173</v>
      </c>
      <c r="J939" s="50" t="s">
        <v>109</v>
      </c>
      <c r="K939" s="50" t="s">
        <v>109</v>
      </c>
      <c r="L939" s="50" t="s">
        <v>15</v>
      </c>
      <c r="M939" s="50" t="s">
        <v>13</v>
      </c>
      <c r="N939" s="50" t="s">
        <v>16</v>
      </c>
      <c r="O939" s="48" t="s">
        <v>631</v>
      </c>
      <c r="P939" s="45" t="s">
        <v>453</v>
      </c>
      <c r="Q939" s="35" t="str">
        <f>MID(Tabla1[[#This Row],[Aplicación]],14,1)</f>
        <v>2</v>
      </c>
      <c r="R939" s="35" t="s">
        <v>441</v>
      </c>
      <c r="S939" s="35" t="str">
        <f>MID(Tabla1[[#This Row],[Aplicación]],6,2)</f>
        <v>06</v>
      </c>
      <c r="T939" s="35" t="str">
        <f>VLOOKUP(Tabla1[[#This Row],[AREA]],Hoja1!A:B,2,FALSE)</f>
        <v>06. Educación, infancia, juventud e igualdad</v>
      </c>
      <c r="U939" s="35" t="str">
        <f>MID(Tabla1[[#This Row],[Aplicación]],9,4)</f>
        <v>3232</v>
      </c>
      <c r="V939" s="35" t="str">
        <f>VLOOKUP(Tabla1[[#This Row],[PROGRAMA]],Hoja1!A:B,2,FALSE)</f>
        <v>3232. Conservación y mantenimiento centros educación infantil y primaria</v>
      </c>
      <c r="W939" s="35" t="str">
        <f>MID(Tabla1[[#This Row],[Aplicación]],14,2)</f>
        <v>21</v>
      </c>
      <c r="X939" s="35" t="str">
        <f>MID(Tabla1[[#This Row],[Aplicación]],14,6)</f>
        <v>212</v>
      </c>
    </row>
    <row r="940" spans="1:24" x14ac:dyDescent="0.25">
      <c r="A940" s="49">
        <v>220220006751</v>
      </c>
      <c r="B940" s="50" t="s">
        <v>172</v>
      </c>
      <c r="C940" s="57">
        <v>44622</v>
      </c>
      <c r="D940" s="49">
        <v>22022001623</v>
      </c>
      <c r="E940" s="50" t="s">
        <v>1606</v>
      </c>
      <c r="F940" s="58">
        <v>158.27000000000001</v>
      </c>
      <c r="G940" s="50" t="s">
        <v>199</v>
      </c>
      <c r="H940" s="50" t="s">
        <v>2378</v>
      </c>
      <c r="I940" s="49" t="s">
        <v>173</v>
      </c>
      <c r="J940" s="50" t="s">
        <v>109</v>
      </c>
      <c r="K940" s="50" t="s">
        <v>109</v>
      </c>
      <c r="L940" s="50" t="s">
        <v>15</v>
      </c>
      <c r="M940" s="50" t="s">
        <v>13</v>
      </c>
      <c r="N940" s="50" t="s">
        <v>14</v>
      </c>
      <c r="O940" s="48" t="s">
        <v>631</v>
      </c>
      <c r="P940" s="45" t="s">
        <v>453</v>
      </c>
      <c r="Q940" s="35" t="str">
        <f>MID(Tabla1[[#This Row],[Aplicación]],14,1)</f>
        <v>2</v>
      </c>
      <c r="R940" s="35" t="s">
        <v>441</v>
      </c>
      <c r="S940" s="35" t="str">
        <f>MID(Tabla1[[#This Row],[Aplicación]],6,2)</f>
        <v>11</v>
      </c>
      <c r="T940" s="35" t="str">
        <f>VLOOKUP(Tabla1[[#This Row],[AREA]],Hoja1!A:B,2,FALSE)</f>
        <v>11. Salud pública y seguridad ciudadana</v>
      </c>
      <c r="U940" s="35" t="str">
        <f>MID(Tabla1[[#This Row],[Aplicación]],9,4)</f>
        <v>1361</v>
      </c>
      <c r="V940" s="35" t="str">
        <f>VLOOKUP(Tabla1[[#This Row],[PROGRAMA]],Hoja1!A:B,2,FALSE)</f>
        <v>1361. Prevención y extinción de incencios</v>
      </c>
      <c r="W940" s="35" t="str">
        <f>MID(Tabla1[[#This Row],[Aplicación]],14,2)</f>
        <v>22</v>
      </c>
      <c r="X940" s="35" t="str">
        <f>MID(Tabla1[[#This Row],[Aplicación]],14,6)</f>
        <v>22199</v>
      </c>
    </row>
    <row r="941" spans="1:24" x14ac:dyDescent="0.25">
      <c r="A941" s="49">
        <v>220220008325</v>
      </c>
      <c r="B941" s="50" t="s">
        <v>172</v>
      </c>
      <c r="C941" s="57">
        <v>44631</v>
      </c>
      <c r="D941" s="49">
        <v>22022001623</v>
      </c>
      <c r="E941" s="50" t="s">
        <v>1606</v>
      </c>
      <c r="F941" s="58">
        <v>265.64</v>
      </c>
      <c r="G941" s="50" t="s">
        <v>199</v>
      </c>
      <c r="H941" s="50" t="s">
        <v>2379</v>
      </c>
      <c r="I941" s="49" t="s">
        <v>173</v>
      </c>
      <c r="J941" s="50" t="s">
        <v>109</v>
      </c>
      <c r="K941" s="50" t="s">
        <v>109</v>
      </c>
      <c r="L941" s="50" t="s">
        <v>15</v>
      </c>
      <c r="M941" s="50" t="s">
        <v>13</v>
      </c>
      <c r="N941" s="50" t="s">
        <v>14</v>
      </c>
      <c r="O941" s="48" t="s">
        <v>631</v>
      </c>
      <c r="P941" s="45" t="s">
        <v>453</v>
      </c>
      <c r="Q941" s="35" t="str">
        <f>MID(Tabla1[[#This Row],[Aplicación]],14,1)</f>
        <v>2</v>
      </c>
      <c r="R941" s="35" t="s">
        <v>441</v>
      </c>
      <c r="S941" s="35" t="str">
        <f>MID(Tabla1[[#This Row],[Aplicación]],6,2)</f>
        <v>11</v>
      </c>
      <c r="T941" s="35" t="str">
        <f>VLOOKUP(Tabla1[[#This Row],[AREA]],Hoja1!A:B,2,FALSE)</f>
        <v>11. Salud pública y seguridad ciudadana</v>
      </c>
      <c r="U941" s="35" t="str">
        <f>MID(Tabla1[[#This Row],[Aplicación]],9,4)</f>
        <v>1361</v>
      </c>
      <c r="V941" s="35" t="str">
        <f>VLOOKUP(Tabla1[[#This Row],[PROGRAMA]],Hoja1!A:B,2,FALSE)</f>
        <v>1361. Prevención y extinción de incencios</v>
      </c>
      <c r="W941" s="35" t="str">
        <f>MID(Tabla1[[#This Row],[Aplicación]],14,2)</f>
        <v>22</v>
      </c>
      <c r="X941" s="35" t="str">
        <f>MID(Tabla1[[#This Row],[Aplicación]],14,6)</f>
        <v>22199</v>
      </c>
    </row>
    <row r="942" spans="1:24" x14ac:dyDescent="0.25">
      <c r="A942" s="49">
        <v>220220004152</v>
      </c>
      <c r="B942" s="50" t="s">
        <v>172</v>
      </c>
      <c r="C942" s="57">
        <v>44610</v>
      </c>
      <c r="D942" s="49">
        <v>22022001453</v>
      </c>
      <c r="E942" s="50" t="s">
        <v>1608</v>
      </c>
      <c r="F942" s="58">
        <v>59.56</v>
      </c>
      <c r="G942" s="50" t="s">
        <v>214</v>
      </c>
      <c r="H942" s="50" t="s">
        <v>2380</v>
      </c>
      <c r="I942" s="49" t="s">
        <v>173</v>
      </c>
      <c r="J942" s="50" t="s">
        <v>109</v>
      </c>
      <c r="K942" s="50" t="s">
        <v>109</v>
      </c>
      <c r="L942" s="50" t="s">
        <v>12</v>
      </c>
      <c r="M942" s="50" t="s">
        <v>13</v>
      </c>
      <c r="N942" s="50" t="s">
        <v>14</v>
      </c>
      <c r="O942" s="48" t="s">
        <v>631</v>
      </c>
      <c r="P942" s="45" t="s">
        <v>453</v>
      </c>
      <c r="Q942" s="35" t="str">
        <f>MID(Tabla1[[#This Row],[Aplicación]],14,1)</f>
        <v>2</v>
      </c>
      <c r="R942" s="35" t="s">
        <v>441</v>
      </c>
      <c r="S942" s="35" t="str">
        <f>MID(Tabla1[[#This Row],[Aplicación]],6,2)</f>
        <v>11</v>
      </c>
      <c r="T942" s="35" t="str">
        <f>VLOOKUP(Tabla1[[#This Row],[AREA]],Hoja1!A:B,2,FALSE)</f>
        <v>11. Salud pública y seguridad ciudadana</v>
      </c>
      <c r="U942" s="35" t="str">
        <f>MID(Tabla1[[#This Row],[Aplicación]],9,4)</f>
        <v>1321</v>
      </c>
      <c r="V942" s="35" t="str">
        <f>VLOOKUP(Tabla1[[#This Row],[PROGRAMA]],Hoja1!A:B,2,FALSE)</f>
        <v>1321. Policía municipal</v>
      </c>
      <c r="W942" s="35" t="str">
        <f>MID(Tabla1[[#This Row],[Aplicación]],14,2)</f>
        <v>21</v>
      </c>
      <c r="X942" s="35" t="str">
        <f>MID(Tabla1[[#This Row],[Aplicación]],14,6)</f>
        <v>214</v>
      </c>
    </row>
    <row r="943" spans="1:24" x14ac:dyDescent="0.25">
      <c r="A943" s="49">
        <v>220220006784</v>
      </c>
      <c r="B943" s="50" t="s">
        <v>172</v>
      </c>
      <c r="C943" s="57">
        <v>44622</v>
      </c>
      <c r="D943" s="49">
        <v>22022000026</v>
      </c>
      <c r="E943" s="50" t="s">
        <v>1644</v>
      </c>
      <c r="F943" s="58">
        <v>216.83</v>
      </c>
      <c r="G943" s="50" t="s">
        <v>187</v>
      </c>
      <c r="H943" s="50" t="s">
        <v>2381</v>
      </c>
      <c r="I943" s="49" t="s">
        <v>173</v>
      </c>
      <c r="J943" s="50" t="s">
        <v>109</v>
      </c>
      <c r="K943" s="50" t="s">
        <v>109</v>
      </c>
      <c r="L943" s="50" t="s">
        <v>15</v>
      </c>
      <c r="M943" s="50" t="s">
        <v>13</v>
      </c>
      <c r="N943" s="50" t="s">
        <v>14</v>
      </c>
      <c r="O943" s="48" t="s">
        <v>631</v>
      </c>
      <c r="P943" s="45" t="s">
        <v>453</v>
      </c>
      <c r="Q943" s="35" t="str">
        <f>MID(Tabla1[[#This Row],[Aplicación]],14,1)</f>
        <v>2</v>
      </c>
      <c r="R943" s="35" t="s">
        <v>441</v>
      </c>
      <c r="S943" s="35" t="str">
        <f>MID(Tabla1[[#This Row],[Aplicación]],6,2)</f>
        <v>11</v>
      </c>
      <c r="T943" s="35" t="str">
        <f>VLOOKUP(Tabla1[[#This Row],[AREA]],Hoja1!A:B,2,FALSE)</f>
        <v>11. Salud pública y seguridad ciudadana</v>
      </c>
      <c r="U943" s="35" t="str">
        <f>MID(Tabla1[[#This Row],[Aplicación]],9,4)</f>
        <v>1621</v>
      </c>
      <c r="V943" s="35" t="str">
        <f>VLOOKUP(Tabla1[[#This Row],[PROGRAMA]],Hoja1!A:B,2,FALSE)</f>
        <v>1621. Servicio de limpieza</v>
      </c>
      <c r="W943" s="35" t="str">
        <f>MID(Tabla1[[#This Row],[Aplicación]],14,2)</f>
        <v>21</v>
      </c>
      <c r="X943" s="35" t="str">
        <f>MID(Tabla1[[#This Row],[Aplicación]],14,6)</f>
        <v>214</v>
      </c>
    </row>
    <row r="944" spans="1:24" x14ac:dyDescent="0.25">
      <c r="A944" s="49">
        <v>220220013102</v>
      </c>
      <c r="B944" s="50" t="s">
        <v>172</v>
      </c>
      <c r="C944" s="57">
        <v>44649</v>
      </c>
      <c r="D944" s="49">
        <v>22022001178</v>
      </c>
      <c r="E944" s="50" t="s">
        <v>1653</v>
      </c>
      <c r="F944" s="58">
        <v>40.67</v>
      </c>
      <c r="G944" s="50" t="s">
        <v>187</v>
      </c>
      <c r="H944" s="50" t="s">
        <v>2383</v>
      </c>
      <c r="I944" s="49" t="s">
        <v>173</v>
      </c>
      <c r="J944" s="50" t="s">
        <v>109</v>
      </c>
      <c r="K944" s="50" t="s">
        <v>109</v>
      </c>
      <c r="L944" s="50" t="s">
        <v>15</v>
      </c>
      <c r="M944" s="50" t="s">
        <v>13</v>
      </c>
      <c r="N944" s="50" t="s">
        <v>14</v>
      </c>
      <c r="O944" s="48" t="s">
        <v>631</v>
      </c>
      <c r="P944" s="45" t="s">
        <v>453</v>
      </c>
      <c r="Q944" s="35" t="str">
        <f>MID(Tabla1[[#This Row],[Aplicación]],14,1)</f>
        <v>2</v>
      </c>
      <c r="R944" s="35" t="s">
        <v>441</v>
      </c>
      <c r="S944" s="35" t="str">
        <f>MID(Tabla1[[#This Row],[Aplicación]],6,2)</f>
        <v>10</v>
      </c>
      <c r="T944" s="35" t="str">
        <f>VLOOKUP(Tabla1[[#This Row],[AREA]],Hoja1!A:B,2,FALSE)</f>
        <v>10. Servicios sociales y mediación comunitaria</v>
      </c>
      <c r="U944" s="35" t="str">
        <f>MID(Tabla1[[#This Row],[Aplicación]],9,4)</f>
        <v>2311</v>
      </c>
      <c r="V944" s="35" t="str">
        <f>VLOOKUP(Tabla1[[#This Row],[PROGRAMA]],Hoja1!A:B,2,FALSE)</f>
        <v>2311. Intervención social</v>
      </c>
      <c r="W944" s="35" t="str">
        <f>MID(Tabla1[[#This Row],[Aplicación]],14,2)</f>
        <v>21</v>
      </c>
      <c r="X944" s="35" t="str">
        <f>MID(Tabla1[[#This Row],[Aplicación]],14,6)</f>
        <v>212</v>
      </c>
    </row>
    <row r="945" spans="1:24" x14ac:dyDescent="0.25">
      <c r="A945" s="49">
        <v>220220009427</v>
      </c>
      <c r="B945" s="50" t="s">
        <v>172</v>
      </c>
      <c r="C945" s="57">
        <v>44636</v>
      </c>
      <c r="D945" s="49">
        <v>22022001178</v>
      </c>
      <c r="E945" s="50" t="s">
        <v>1653</v>
      </c>
      <c r="F945" s="58">
        <v>26.11</v>
      </c>
      <c r="G945" s="50" t="s">
        <v>187</v>
      </c>
      <c r="H945" s="50" t="s">
        <v>2384</v>
      </c>
      <c r="I945" s="49" t="s">
        <v>173</v>
      </c>
      <c r="J945" s="50" t="s">
        <v>109</v>
      </c>
      <c r="K945" s="50" t="s">
        <v>109</v>
      </c>
      <c r="L945" s="50" t="s">
        <v>15</v>
      </c>
      <c r="M945" s="50" t="s">
        <v>13</v>
      </c>
      <c r="N945" s="50" t="s">
        <v>14</v>
      </c>
      <c r="O945" s="48" t="s">
        <v>631</v>
      </c>
      <c r="P945" s="45" t="s">
        <v>453</v>
      </c>
      <c r="Q945" s="35" t="str">
        <f>MID(Tabla1[[#This Row],[Aplicación]],14,1)</f>
        <v>2</v>
      </c>
      <c r="R945" s="35" t="s">
        <v>441</v>
      </c>
      <c r="S945" s="35" t="str">
        <f>MID(Tabla1[[#This Row],[Aplicación]],6,2)</f>
        <v>10</v>
      </c>
      <c r="T945" s="35" t="str">
        <f>VLOOKUP(Tabla1[[#This Row],[AREA]],Hoja1!A:B,2,FALSE)</f>
        <v>10. Servicios sociales y mediación comunitaria</v>
      </c>
      <c r="U945" s="35" t="str">
        <f>MID(Tabla1[[#This Row],[Aplicación]],9,4)</f>
        <v>2311</v>
      </c>
      <c r="V945" s="35" t="str">
        <f>VLOOKUP(Tabla1[[#This Row],[PROGRAMA]],Hoja1!A:B,2,FALSE)</f>
        <v>2311. Intervención social</v>
      </c>
      <c r="W945" s="35" t="str">
        <f>MID(Tabla1[[#This Row],[Aplicación]],14,2)</f>
        <v>21</v>
      </c>
      <c r="X945" s="35" t="str">
        <f>MID(Tabla1[[#This Row],[Aplicación]],14,6)</f>
        <v>212</v>
      </c>
    </row>
    <row r="946" spans="1:24" x14ac:dyDescent="0.25">
      <c r="A946" s="49">
        <v>220220009487</v>
      </c>
      <c r="B946" s="50" t="s">
        <v>172</v>
      </c>
      <c r="C946" s="57">
        <v>44636</v>
      </c>
      <c r="D946" s="49">
        <v>22022001449</v>
      </c>
      <c r="E946" s="50" t="s">
        <v>1890</v>
      </c>
      <c r="F946" s="58">
        <v>25.99</v>
      </c>
      <c r="G946" s="50" t="s">
        <v>187</v>
      </c>
      <c r="H946" s="50" t="s">
        <v>2385</v>
      </c>
      <c r="I946" s="49" t="s">
        <v>173</v>
      </c>
      <c r="J946" s="50" t="s">
        <v>109</v>
      </c>
      <c r="K946" s="50" t="s">
        <v>109</v>
      </c>
      <c r="L946" s="50" t="s">
        <v>15</v>
      </c>
      <c r="M946" s="50" t="s">
        <v>13</v>
      </c>
      <c r="N946" s="50" t="s">
        <v>14</v>
      </c>
      <c r="O946" s="48" t="s">
        <v>631</v>
      </c>
      <c r="P946" s="45" t="s">
        <v>453</v>
      </c>
      <c r="Q946" s="35" t="str">
        <f>MID(Tabla1[[#This Row],[Aplicación]],14,1)</f>
        <v>2</v>
      </c>
      <c r="R946" s="35" t="s">
        <v>441</v>
      </c>
      <c r="S946" s="35" t="str">
        <f>MID(Tabla1[[#This Row],[Aplicación]],6,2)</f>
        <v>02</v>
      </c>
      <c r="T946" s="35" t="str">
        <f>VLOOKUP(Tabla1[[#This Row],[AREA]],Hoja1!A:B,2,FALSE)</f>
        <v>02. Planeamiento urbanístico y vivienda</v>
      </c>
      <c r="U946" s="35" t="str">
        <f>MID(Tabla1[[#This Row],[Aplicación]],9,4)</f>
        <v>9332</v>
      </c>
      <c r="V946" s="35" t="str">
        <f>VLOOKUP(Tabla1[[#This Row],[PROGRAMA]],Hoja1!A:B,2,FALSE)</f>
        <v>9332. Mantenimiento de edificios e instalaciones municipales</v>
      </c>
      <c r="W946" s="35" t="str">
        <f>MID(Tabla1[[#This Row],[Aplicación]],14,2)</f>
        <v>21</v>
      </c>
      <c r="X946" s="35" t="str">
        <f>MID(Tabla1[[#This Row],[Aplicación]],14,6)</f>
        <v>212</v>
      </c>
    </row>
    <row r="947" spans="1:24" x14ac:dyDescent="0.25">
      <c r="A947" s="49">
        <v>220220012699</v>
      </c>
      <c r="B947" s="50" t="s">
        <v>172</v>
      </c>
      <c r="C947" s="57">
        <v>44644</v>
      </c>
      <c r="D947" s="49">
        <v>22022001628</v>
      </c>
      <c r="E947" s="50" t="s">
        <v>1742</v>
      </c>
      <c r="F947" s="58">
        <v>23.46</v>
      </c>
      <c r="G947" s="50" t="s">
        <v>187</v>
      </c>
      <c r="H947" s="50" t="s">
        <v>2386</v>
      </c>
      <c r="I947" s="49" t="s">
        <v>173</v>
      </c>
      <c r="J947" s="50" t="s">
        <v>109</v>
      </c>
      <c r="K947" s="50" t="s">
        <v>109</v>
      </c>
      <c r="L947" s="50" t="s">
        <v>15</v>
      </c>
      <c r="M947" s="50" t="s">
        <v>13</v>
      </c>
      <c r="N947" s="50" t="s">
        <v>16</v>
      </c>
      <c r="O947" s="48" t="s">
        <v>631</v>
      </c>
      <c r="P947" s="45" t="s">
        <v>453</v>
      </c>
      <c r="Q947" s="35" t="str">
        <f>MID(Tabla1[[#This Row],[Aplicación]],14,1)</f>
        <v>2</v>
      </c>
      <c r="R947" s="35" t="s">
        <v>441</v>
      </c>
      <c r="S947" s="35" t="str">
        <f>MID(Tabla1[[#This Row],[Aplicación]],6,2)</f>
        <v>03</v>
      </c>
      <c r="T947" s="35" t="str">
        <f>VLOOKUP(Tabla1[[#This Row],[AREA]],Hoja1!A:B,2,FALSE)</f>
        <v>03. Participación ciudadana y deportes</v>
      </c>
      <c r="U947" s="35" t="str">
        <f>MID(Tabla1[[#This Row],[Aplicación]],9,4)</f>
        <v>9241</v>
      </c>
      <c r="V947" s="35" t="str">
        <f>VLOOKUP(Tabla1[[#This Row],[PROGRAMA]],Hoja1!A:B,2,FALSE)</f>
        <v>9241. Participación ciudadana</v>
      </c>
      <c r="W947" s="35" t="str">
        <f>MID(Tabla1[[#This Row],[Aplicación]],14,2)</f>
        <v>21</v>
      </c>
      <c r="X947" s="35" t="str">
        <f>MID(Tabla1[[#This Row],[Aplicación]],14,6)</f>
        <v>213</v>
      </c>
    </row>
    <row r="948" spans="1:24" x14ac:dyDescent="0.25">
      <c r="A948" s="49">
        <v>220210032816</v>
      </c>
      <c r="B948" s="50" t="s">
        <v>9</v>
      </c>
      <c r="C948" s="57">
        <v>44620</v>
      </c>
      <c r="D948" s="49">
        <v>22021005005</v>
      </c>
      <c r="E948" s="50" t="s">
        <v>1665</v>
      </c>
      <c r="F948" s="58">
        <v>933.97</v>
      </c>
      <c r="G948" s="50" t="s">
        <v>187</v>
      </c>
      <c r="H948" s="50" t="s">
        <v>1007</v>
      </c>
      <c r="I948" s="49" t="s">
        <v>107</v>
      </c>
      <c r="J948" s="50" t="s">
        <v>109</v>
      </c>
      <c r="K948" s="50" t="s">
        <v>109</v>
      </c>
      <c r="L948" s="50" t="s">
        <v>15</v>
      </c>
      <c r="M948" s="50" t="s">
        <v>13</v>
      </c>
      <c r="N948" s="50" t="s">
        <v>14</v>
      </c>
      <c r="O948" s="48" t="s">
        <v>631</v>
      </c>
      <c r="P948" s="45" t="s">
        <v>453</v>
      </c>
      <c r="Q948" s="35" t="str">
        <f>MID(Tabla1[[#This Row],[Aplicación]],14,1)</f>
        <v>6</v>
      </c>
      <c r="R948" s="35" t="s">
        <v>442</v>
      </c>
      <c r="S948" s="35" t="str">
        <f>MID(Tabla1[[#This Row],[Aplicación]],6,2)</f>
        <v>02</v>
      </c>
      <c r="T948" s="35" t="str">
        <f>VLOOKUP(Tabla1[[#This Row],[AREA]],Hoja1!A:B,2,FALSE)</f>
        <v>02. Planeamiento urbanístico y vivienda</v>
      </c>
      <c r="U948" s="35" t="str">
        <f>MID(Tabla1[[#This Row],[Aplicación]],9,4)</f>
        <v>9332</v>
      </c>
      <c r="V948" s="35" t="str">
        <f>VLOOKUP(Tabla1[[#This Row],[PROGRAMA]],Hoja1!A:B,2,FALSE)</f>
        <v>9332. Mantenimiento de edificios e instalaciones municipales</v>
      </c>
      <c r="W948" s="35" t="str">
        <f>MID(Tabla1[[#This Row],[Aplicación]],14,2)</f>
        <v>63</v>
      </c>
      <c r="X948" s="35" t="str">
        <f>MID(Tabla1[[#This Row],[Aplicación]],14,6)</f>
        <v>632</v>
      </c>
    </row>
    <row r="949" spans="1:24" x14ac:dyDescent="0.25">
      <c r="A949" s="49">
        <v>220220013277</v>
      </c>
      <c r="B949" s="50" t="s">
        <v>26</v>
      </c>
      <c r="C949" s="57">
        <v>44650</v>
      </c>
      <c r="D949" s="49">
        <v>22022002929</v>
      </c>
      <c r="E949" s="50" t="s">
        <v>1594</v>
      </c>
      <c r="F949" s="58">
        <v>107870.66</v>
      </c>
      <c r="G949" s="50" t="s">
        <v>1042</v>
      </c>
      <c r="H949" s="50" t="s">
        <v>2387</v>
      </c>
      <c r="I949" s="49" t="s">
        <v>1596</v>
      </c>
      <c r="J949" s="50" t="s">
        <v>109</v>
      </c>
      <c r="K949" s="50" t="s">
        <v>109</v>
      </c>
      <c r="L949" s="50" t="s">
        <v>12</v>
      </c>
      <c r="M949" s="50" t="s">
        <v>13</v>
      </c>
      <c r="N949" s="50" t="s">
        <v>14</v>
      </c>
      <c r="O949" s="48" t="s">
        <v>620</v>
      </c>
      <c r="P949" s="45" t="s">
        <v>453</v>
      </c>
      <c r="Q949" s="35" t="str">
        <f>MID(Tabla1[[#This Row],[Aplicación]],14,1)</f>
        <v>2</v>
      </c>
      <c r="R949" s="35" t="s">
        <v>441</v>
      </c>
      <c r="S949" s="35" t="str">
        <f>MID(Tabla1[[#This Row],[Aplicación]],6,2)</f>
        <v>07</v>
      </c>
      <c r="T949" s="35" t="str">
        <f>VLOOKUP(Tabla1[[#This Row],[AREA]],Hoja1!A:B,2,FALSE)</f>
        <v>07. Medio ambiente y desarrollo sostenible</v>
      </c>
      <c r="U949" s="35" t="str">
        <f>MID(Tabla1[[#This Row],[Aplicación]],9,4)</f>
        <v>1623</v>
      </c>
      <c r="V949" s="35" t="str">
        <f>VLOOKUP(Tabla1[[#This Row],[PROGRAMA]],Hoja1!A:B,2,FALSE)</f>
        <v>1623. Tratamiento de residuos</v>
      </c>
      <c r="W949" s="35" t="str">
        <f>MID(Tabla1[[#This Row],[Aplicación]],14,2)</f>
        <v>22</v>
      </c>
      <c r="X949" s="35" t="str">
        <f>MID(Tabla1[[#This Row],[Aplicación]],14,6)</f>
        <v>22700</v>
      </c>
    </row>
    <row r="950" spans="1:24" x14ac:dyDescent="0.25">
      <c r="A950" s="49">
        <v>220220009342</v>
      </c>
      <c r="B950" s="50" t="s">
        <v>9</v>
      </c>
      <c r="C950" s="57">
        <v>44636</v>
      </c>
      <c r="D950" s="49">
        <v>22022002645</v>
      </c>
      <c r="E950" s="50" t="s">
        <v>2388</v>
      </c>
      <c r="F950" s="58">
        <v>4000</v>
      </c>
      <c r="G950" s="50" t="s">
        <v>505</v>
      </c>
      <c r="H950" s="50" t="s">
        <v>2389</v>
      </c>
      <c r="I950" s="49" t="s">
        <v>107</v>
      </c>
      <c r="J950" s="50" t="s">
        <v>109</v>
      </c>
      <c r="K950" s="50" t="s">
        <v>109</v>
      </c>
      <c r="L950" s="50" t="s">
        <v>12</v>
      </c>
      <c r="M950" s="50" t="s">
        <v>10</v>
      </c>
      <c r="N950" s="50" t="s">
        <v>11</v>
      </c>
      <c r="O950" s="48" t="s">
        <v>632</v>
      </c>
      <c r="P950" s="45" t="s">
        <v>453</v>
      </c>
      <c r="Q950" s="35" t="str">
        <f>MID(Tabla1[[#This Row],[Aplicación]],14,1)</f>
        <v>2</v>
      </c>
      <c r="R950" s="35" t="s">
        <v>441</v>
      </c>
      <c r="S950" s="35" t="str">
        <f>MID(Tabla1[[#This Row],[Aplicación]],6,2)</f>
        <v>06</v>
      </c>
      <c r="T950" s="35" t="str">
        <f>VLOOKUP(Tabla1[[#This Row],[AREA]],Hoja1!A:B,2,FALSE)</f>
        <v>06. Educación, infancia, juventud e igualdad</v>
      </c>
      <c r="U950" s="35" t="str">
        <f>MID(Tabla1[[#This Row],[Aplicación]],9,4)</f>
        <v>2315</v>
      </c>
      <c r="V950" s="35" t="str">
        <f>VLOOKUP(Tabla1[[#This Row],[PROGRAMA]],Hoja1!A:B,2,FALSE)</f>
        <v>2315. Políticas de Igualdad e infancia</v>
      </c>
      <c r="W950" s="35" t="str">
        <f>MID(Tabla1[[#This Row],[Aplicación]],14,2)</f>
        <v>22</v>
      </c>
      <c r="X950" s="35" t="str">
        <f>MID(Tabla1[[#This Row],[Aplicación]],14,6)</f>
        <v>22613</v>
      </c>
    </row>
    <row r="951" spans="1:24" x14ac:dyDescent="0.25">
      <c r="A951" s="49">
        <v>220220006312</v>
      </c>
      <c r="B951" s="50" t="s">
        <v>26</v>
      </c>
      <c r="C951" s="57">
        <v>44617</v>
      </c>
      <c r="D951" s="49">
        <v>22022002372</v>
      </c>
      <c r="E951" s="50" t="s">
        <v>1629</v>
      </c>
      <c r="F951" s="58">
        <v>60.02</v>
      </c>
      <c r="G951" s="50" t="s">
        <v>505</v>
      </c>
      <c r="H951" s="50" t="s">
        <v>2390</v>
      </c>
      <c r="I951" s="49" t="s">
        <v>197</v>
      </c>
      <c r="J951" s="50" t="s">
        <v>109</v>
      </c>
      <c r="K951" s="50" t="s">
        <v>109</v>
      </c>
      <c r="L951" s="50" t="s">
        <v>12</v>
      </c>
      <c r="M951" s="50" t="s">
        <v>10</v>
      </c>
      <c r="N951" s="50" t="s">
        <v>11</v>
      </c>
      <c r="O951" s="48" t="s">
        <v>632</v>
      </c>
      <c r="P951" s="45" t="s">
        <v>453</v>
      </c>
      <c r="Q951" s="35" t="str">
        <f>MID(Tabla1[[#This Row],[Aplicación]],14,1)</f>
        <v>2</v>
      </c>
      <c r="R951" s="35" t="s">
        <v>441</v>
      </c>
      <c r="S951" s="35" t="str">
        <f>MID(Tabla1[[#This Row],[Aplicación]],6,2)</f>
        <v>06</v>
      </c>
      <c r="T951" s="35" t="str">
        <f>VLOOKUP(Tabla1[[#This Row],[AREA]],Hoja1!A:B,2,FALSE)</f>
        <v>06. Educación, infancia, juventud e igualdad</v>
      </c>
      <c r="U951" s="35" t="str">
        <f>MID(Tabla1[[#This Row],[Aplicación]],9,4)</f>
        <v>2315</v>
      </c>
      <c r="V951" s="35" t="str">
        <f>VLOOKUP(Tabla1[[#This Row],[PROGRAMA]],Hoja1!A:B,2,FALSE)</f>
        <v>2315. Políticas de Igualdad e infancia</v>
      </c>
      <c r="W951" s="35" t="str">
        <f>MID(Tabla1[[#This Row],[Aplicación]],14,2)</f>
        <v>22</v>
      </c>
      <c r="X951" s="35" t="str">
        <f>MID(Tabla1[[#This Row],[Aplicación]],14,6)</f>
        <v>22611</v>
      </c>
    </row>
    <row r="952" spans="1:24" x14ac:dyDescent="0.25">
      <c r="A952" s="49">
        <v>220220005820</v>
      </c>
      <c r="B952" s="50" t="s">
        <v>9</v>
      </c>
      <c r="C952" s="57">
        <v>44615</v>
      </c>
      <c r="D952" s="49">
        <v>22022000712</v>
      </c>
      <c r="E952" s="50" t="s">
        <v>1627</v>
      </c>
      <c r="F952" s="58">
        <v>20204.5</v>
      </c>
      <c r="G952" s="50" t="s">
        <v>192</v>
      </c>
      <c r="H952" s="50" t="s">
        <v>2391</v>
      </c>
      <c r="I952" s="49" t="s">
        <v>107</v>
      </c>
      <c r="J952" s="50" t="s">
        <v>519</v>
      </c>
      <c r="K952" s="50" t="s">
        <v>165</v>
      </c>
      <c r="L952" s="50" t="s">
        <v>12</v>
      </c>
      <c r="M952" s="50" t="s">
        <v>13</v>
      </c>
      <c r="N952" s="50" t="s">
        <v>14</v>
      </c>
      <c r="O952" s="48" t="s">
        <v>620</v>
      </c>
      <c r="P952" s="45" t="s">
        <v>453</v>
      </c>
      <c r="Q952" s="35" t="str">
        <f>MID(Tabla1[[#This Row],[Aplicación]],14,1)</f>
        <v>2</v>
      </c>
      <c r="R952" s="35" t="s">
        <v>441</v>
      </c>
      <c r="S952" s="35" t="str">
        <f>MID(Tabla1[[#This Row],[Aplicación]],6,2)</f>
        <v>07</v>
      </c>
      <c r="T952" s="35" t="str">
        <f>VLOOKUP(Tabla1[[#This Row],[AREA]],Hoja1!A:B,2,FALSE)</f>
        <v>07. Medio ambiente y desarrollo sostenible</v>
      </c>
      <c r="U952" s="35" t="str">
        <f>MID(Tabla1[[#This Row],[Aplicación]],9,4)</f>
        <v>1721</v>
      </c>
      <c r="V952" s="35" t="str">
        <f>VLOOKUP(Tabla1[[#This Row],[PROGRAMA]],Hoja1!A:B,2,FALSE)</f>
        <v>1721. Protección del medio ambiente</v>
      </c>
      <c r="W952" s="35" t="str">
        <f>MID(Tabla1[[#This Row],[Aplicación]],14,2)</f>
        <v>22</v>
      </c>
      <c r="X952" s="35" t="str">
        <f>MID(Tabla1[[#This Row],[Aplicación]],14,6)</f>
        <v>22799</v>
      </c>
    </row>
    <row r="953" spans="1:24" x14ac:dyDescent="0.25">
      <c r="A953" s="49">
        <v>220220000064</v>
      </c>
      <c r="B953" s="50" t="s">
        <v>9</v>
      </c>
      <c r="C953" s="57">
        <v>44580</v>
      </c>
      <c r="D953" s="49">
        <v>22022000007</v>
      </c>
      <c r="E953" s="50" t="s">
        <v>1627</v>
      </c>
      <c r="F953" s="58">
        <v>3173.12</v>
      </c>
      <c r="G953" s="50" t="s">
        <v>192</v>
      </c>
      <c r="H953" s="50" t="s">
        <v>2392</v>
      </c>
      <c r="I953" s="49" t="s">
        <v>107</v>
      </c>
      <c r="J953" s="50" t="s">
        <v>519</v>
      </c>
      <c r="K953" s="50" t="s">
        <v>165</v>
      </c>
      <c r="L953" s="50" t="s">
        <v>12</v>
      </c>
      <c r="M953" s="50" t="s">
        <v>10</v>
      </c>
      <c r="N953" s="50" t="s">
        <v>11</v>
      </c>
      <c r="O953" s="48" t="s">
        <v>632</v>
      </c>
      <c r="P953" s="45" t="s">
        <v>453</v>
      </c>
      <c r="Q953" s="35" t="str">
        <f>MID(Tabla1[[#This Row],[Aplicación]],14,1)</f>
        <v>2</v>
      </c>
      <c r="R953" s="35" t="s">
        <v>441</v>
      </c>
      <c r="S953" s="35" t="str">
        <f>MID(Tabla1[[#This Row],[Aplicación]],6,2)</f>
        <v>07</v>
      </c>
      <c r="T953" s="35" t="str">
        <f>VLOOKUP(Tabla1[[#This Row],[AREA]],Hoja1!A:B,2,FALSE)</f>
        <v>07. Medio ambiente y desarrollo sostenible</v>
      </c>
      <c r="U953" s="35" t="str">
        <f>MID(Tabla1[[#This Row],[Aplicación]],9,4)</f>
        <v>1721</v>
      </c>
      <c r="V953" s="35" t="str">
        <f>VLOOKUP(Tabla1[[#This Row],[PROGRAMA]],Hoja1!A:B,2,FALSE)</f>
        <v>1721. Protección del medio ambiente</v>
      </c>
      <c r="W953" s="35" t="str">
        <f>MID(Tabla1[[#This Row],[Aplicación]],14,2)</f>
        <v>22</v>
      </c>
      <c r="X953" s="35" t="str">
        <f>MID(Tabla1[[#This Row],[Aplicación]],14,6)</f>
        <v>22799</v>
      </c>
    </row>
    <row r="954" spans="1:24" x14ac:dyDescent="0.25">
      <c r="A954" s="49">
        <v>220220005801</v>
      </c>
      <c r="B954" s="50" t="s">
        <v>9</v>
      </c>
      <c r="C954" s="57">
        <v>44615</v>
      </c>
      <c r="D954" s="49">
        <v>22022002392</v>
      </c>
      <c r="E954" s="50" t="s">
        <v>1627</v>
      </c>
      <c r="F954" s="58">
        <v>2662</v>
      </c>
      <c r="G954" s="50" t="s">
        <v>192</v>
      </c>
      <c r="H954" s="50" t="s">
        <v>2393</v>
      </c>
      <c r="I954" s="49" t="s">
        <v>107</v>
      </c>
      <c r="J954" s="50" t="s">
        <v>519</v>
      </c>
      <c r="K954" s="50" t="s">
        <v>165</v>
      </c>
      <c r="L954" s="50" t="s">
        <v>12</v>
      </c>
      <c r="M954" s="50" t="s">
        <v>10</v>
      </c>
      <c r="N954" s="50" t="s">
        <v>11</v>
      </c>
      <c r="O954" s="48" t="s">
        <v>632</v>
      </c>
      <c r="P954" s="45" t="s">
        <v>453</v>
      </c>
      <c r="Q954" s="35" t="str">
        <f>MID(Tabla1[[#This Row],[Aplicación]],14,1)</f>
        <v>2</v>
      </c>
      <c r="R954" s="35" t="s">
        <v>441</v>
      </c>
      <c r="S954" s="35" t="str">
        <f>MID(Tabla1[[#This Row],[Aplicación]],6,2)</f>
        <v>07</v>
      </c>
      <c r="T954" s="35" t="str">
        <f>VLOOKUP(Tabla1[[#This Row],[AREA]],Hoja1!A:B,2,FALSE)</f>
        <v>07. Medio ambiente y desarrollo sostenible</v>
      </c>
      <c r="U954" s="35" t="str">
        <f>MID(Tabla1[[#This Row],[Aplicación]],9,4)</f>
        <v>1721</v>
      </c>
      <c r="V954" s="35" t="str">
        <f>VLOOKUP(Tabla1[[#This Row],[PROGRAMA]],Hoja1!A:B,2,FALSE)</f>
        <v>1721. Protección del medio ambiente</v>
      </c>
      <c r="W954" s="35" t="str">
        <f>MID(Tabla1[[#This Row],[Aplicación]],14,2)</f>
        <v>22</v>
      </c>
      <c r="X954" s="35" t="str">
        <f>MID(Tabla1[[#This Row],[Aplicación]],14,6)</f>
        <v>22799</v>
      </c>
    </row>
    <row r="955" spans="1:24" x14ac:dyDescent="0.25">
      <c r="A955" s="49">
        <v>220209000331</v>
      </c>
      <c r="B955" s="50" t="s">
        <v>9</v>
      </c>
      <c r="C955" s="57">
        <v>44562</v>
      </c>
      <c r="D955" s="49">
        <v>22022002093</v>
      </c>
      <c r="E955" s="50" t="s">
        <v>1424</v>
      </c>
      <c r="F955" s="58">
        <v>111161.95</v>
      </c>
      <c r="G955" s="50" t="s">
        <v>697</v>
      </c>
      <c r="H955" s="50" t="s">
        <v>698</v>
      </c>
      <c r="I955" s="49" t="s">
        <v>107</v>
      </c>
      <c r="J955" s="50" t="s">
        <v>463</v>
      </c>
      <c r="K955" s="50" t="s">
        <v>463</v>
      </c>
      <c r="L955" s="50" t="s">
        <v>25</v>
      </c>
      <c r="M955" s="50" t="s">
        <v>13</v>
      </c>
      <c r="N955" s="50" t="s">
        <v>14</v>
      </c>
      <c r="O955" s="48" t="s">
        <v>620</v>
      </c>
      <c r="P955" s="45" t="s">
        <v>453</v>
      </c>
      <c r="Q955" s="35" t="str">
        <f>MID(Tabla1[[#This Row],[Aplicación]],14,1)</f>
        <v>6</v>
      </c>
      <c r="R955" s="35" t="s">
        <v>442</v>
      </c>
      <c r="S955" s="35" t="str">
        <f>MID(Tabla1[[#This Row],[Aplicación]],6,2)</f>
        <v>06</v>
      </c>
      <c r="T955" s="35" t="str">
        <f>VLOOKUP(Tabla1[[#This Row],[AREA]],Hoja1!A:B,2,FALSE)</f>
        <v>06. Educación, infancia, juventud e igualdad</v>
      </c>
      <c r="U955" s="35" t="str">
        <f>MID(Tabla1[[#This Row],[Aplicación]],9,4)</f>
        <v>3321</v>
      </c>
      <c r="V955" s="35" t="str">
        <f>VLOOKUP(Tabla1[[#This Row],[PROGRAMA]],Hoja1!A:B,2,FALSE)</f>
        <v>3321. Bibliotecas públicas</v>
      </c>
      <c r="W955" s="35" t="str">
        <f>MID(Tabla1[[#This Row],[Aplicación]],14,2)</f>
        <v>62</v>
      </c>
      <c r="X955" s="35" t="str">
        <f>MID(Tabla1[[#This Row],[Aplicación]],14,6)</f>
        <v>622</v>
      </c>
    </row>
    <row r="956" spans="1:24" x14ac:dyDescent="0.25">
      <c r="A956" s="49">
        <v>220210063844</v>
      </c>
      <c r="B956" s="50" t="s">
        <v>9</v>
      </c>
      <c r="C956" s="57">
        <v>44620</v>
      </c>
      <c r="D956" s="49">
        <v>22021004563</v>
      </c>
      <c r="E956" s="50" t="s">
        <v>1755</v>
      </c>
      <c r="F956" s="58">
        <v>59968.78</v>
      </c>
      <c r="G956" s="50" t="s">
        <v>697</v>
      </c>
      <c r="H956" s="50" t="s">
        <v>1173</v>
      </c>
      <c r="I956" s="49" t="s">
        <v>107</v>
      </c>
      <c r="J956" s="50" t="s">
        <v>463</v>
      </c>
      <c r="K956" s="50" t="s">
        <v>463</v>
      </c>
      <c r="L956" s="50" t="s">
        <v>25</v>
      </c>
      <c r="M956" s="50" t="s">
        <v>13</v>
      </c>
      <c r="N956" s="50" t="s">
        <v>16</v>
      </c>
      <c r="O956" s="48" t="s">
        <v>620</v>
      </c>
      <c r="P956" s="45" t="s">
        <v>453</v>
      </c>
      <c r="Q956" s="35" t="str">
        <f>MID(Tabla1[[#This Row],[Aplicación]],14,1)</f>
        <v>6</v>
      </c>
      <c r="R956" s="35" t="s">
        <v>442</v>
      </c>
      <c r="S956" s="35" t="str">
        <f>MID(Tabla1[[#This Row],[Aplicación]],6,2)</f>
        <v>05</v>
      </c>
      <c r="T956" s="35" t="str">
        <f>VLOOKUP(Tabla1[[#This Row],[AREA]],Hoja1!A:B,2,FALSE)</f>
        <v>05. Innovación, desarrollo económico, empleo y comercio</v>
      </c>
      <c r="U956" s="35" t="str">
        <f>MID(Tabla1[[#This Row],[Aplicación]],9,4)</f>
        <v>4331</v>
      </c>
      <c r="V956" s="35" t="str">
        <f>VLOOKUP(Tabla1[[#This Row],[PROGRAMA]],Hoja1!A:B,2,FALSE)</f>
        <v>4331. Desarrollo empresarial</v>
      </c>
      <c r="W956" s="35" t="str">
        <f>MID(Tabla1[[#This Row],[Aplicación]],14,2)</f>
        <v>62</v>
      </c>
      <c r="X956" s="35" t="str">
        <f>MID(Tabla1[[#This Row],[Aplicación]],14,6)</f>
        <v>622</v>
      </c>
    </row>
    <row r="957" spans="1:24" x14ac:dyDescent="0.25">
      <c r="A957" s="49">
        <v>220220000421</v>
      </c>
      <c r="B957" s="50" t="s">
        <v>9</v>
      </c>
      <c r="C957" s="57">
        <v>44586</v>
      </c>
      <c r="D957" s="49">
        <v>22022001588</v>
      </c>
      <c r="E957" s="50" t="s">
        <v>1864</v>
      </c>
      <c r="F957" s="58">
        <v>1149.5</v>
      </c>
      <c r="G957" s="50" t="s">
        <v>988</v>
      </c>
      <c r="H957" s="50" t="s">
        <v>2394</v>
      </c>
      <c r="I957" s="49" t="s">
        <v>107</v>
      </c>
      <c r="J957" s="50" t="s">
        <v>115</v>
      </c>
      <c r="K957" s="50" t="s">
        <v>115</v>
      </c>
      <c r="L957" s="50" t="s">
        <v>17</v>
      </c>
      <c r="M957" s="50" t="s">
        <v>10</v>
      </c>
      <c r="N957" s="50" t="s">
        <v>11</v>
      </c>
      <c r="O957" s="48" t="s">
        <v>632</v>
      </c>
      <c r="P957" s="45" t="s">
        <v>453</v>
      </c>
      <c r="Q957" s="35" t="str">
        <f>MID(Tabla1[[#This Row],[Aplicación]],14,1)</f>
        <v>2</v>
      </c>
      <c r="R957" s="35" t="s">
        <v>441</v>
      </c>
      <c r="S957" s="35" t="str">
        <f>MID(Tabla1[[#This Row],[Aplicación]],6,2)</f>
        <v>04</v>
      </c>
      <c r="T957" s="35" t="str">
        <f>VLOOKUP(Tabla1[[#This Row],[AREA]],Hoja1!A:B,2,FALSE)</f>
        <v>04. Planificación y recursos</v>
      </c>
      <c r="U957" s="35" t="str">
        <f>MID(Tabla1[[#This Row],[Aplicación]],9,4)</f>
        <v>9202</v>
      </c>
      <c r="V957" s="35" t="str">
        <f>VLOOKUP(Tabla1[[#This Row],[PROGRAMA]],Hoja1!A:B,2,FALSE)</f>
        <v>9202. Gestión de recursos humanos</v>
      </c>
      <c r="W957" s="35" t="str">
        <f>MID(Tabla1[[#This Row],[Aplicación]],14,2)</f>
        <v>22</v>
      </c>
      <c r="X957" s="35" t="str">
        <f>MID(Tabla1[[#This Row],[Aplicación]],14,6)</f>
        <v>22607</v>
      </c>
    </row>
    <row r="958" spans="1:24" x14ac:dyDescent="0.25">
      <c r="A958" s="49">
        <v>220220013165</v>
      </c>
      <c r="B958" s="50" t="s">
        <v>9</v>
      </c>
      <c r="C958" s="57">
        <v>44649</v>
      </c>
      <c r="D958" s="49">
        <v>22022003064</v>
      </c>
      <c r="E958" s="50" t="s">
        <v>2220</v>
      </c>
      <c r="F958" s="58">
        <v>2727.95</v>
      </c>
      <c r="G958" s="50" t="s">
        <v>2395</v>
      </c>
      <c r="H958" s="50" t="s">
        <v>2396</v>
      </c>
      <c r="I958" s="49" t="s">
        <v>107</v>
      </c>
      <c r="J958" s="50" t="s">
        <v>2397</v>
      </c>
      <c r="K958" s="50" t="s">
        <v>2398</v>
      </c>
      <c r="L958" s="50" t="s">
        <v>15</v>
      </c>
      <c r="M958" s="50" t="s">
        <v>10</v>
      </c>
      <c r="N958" s="50" t="s">
        <v>11</v>
      </c>
      <c r="O958" s="48" t="s">
        <v>632</v>
      </c>
      <c r="P958" s="45" t="s">
        <v>453</v>
      </c>
      <c r="Q958" s="35" t="str">
        <f>MID(Tabla1[[#This Row],[Aplicación]],14,1)</f>
        <v>2</v>
      </c>
      <c r="R958" s="35" t="s">
        <v>441</v>
      </c>
      <c r="S958" s="35" t="str">
        <f>MID(Tabla1[[#This Row],[Aplicación]],6,2)</f>
        <v>08</v>
      </c>
      <c r="T958" s="35" t="str">
        <f>VLOOKUP(Tabla1[[#This Row],[AREA]],Hoja1!A:B,2,FALSE)</f>
        <v>08. Movilidad y espacio urbano</v>
      </c>
      <c r="U958" s="35" t="str">
        <f>MID(Tabla1[[#This Row],[Aplicación]],9,4)</f>
        <v>1532</v>
      </c>
      <c r="V958" s="35" t="str">
        <f>VLOOKUP(Tabla1[[#This Row],[PROGRAMA]],Hoja1!A:B,2,FALSE)</f>
        <v>1532. Pavimentación vias públicas y otros servicios urbanísticos</v>
      </c>
      <c r="W958" s="35" t="str">
        <f>MID(Tabla1[[#This Row],[Aplicación]],14,2)</f>
        <v>22</v>
      </c>
      <c r="X958" s="35" t="str">
        <f>MID(Tabla1[[#This Row],[Aplicación]],14,6)</f>
        <v>22103</v>
      </c>
    </row>
    <row r="959" spans="1:24" x14ac:dyDescent="0.25">
      <c r="A959" s="49">
        <v>220219001120</v>
      </c>
      <c r="B959" s="50" t="s">
        <v>9</v>
      </c>
      <c r="C959" s="57">
        <v>44562</v>
      </c>
      <c r="D959" s="49">
        <v>22022000283</v>
      </c>
      <c r="E959" s="50" t="s">
        <v>1475</v>
      </c>
      <c r="F959" s="58">
        <v>7116.31</v>
      </c>
      <c r="G959" s="50" t="s">
        <v>41</v>
      </c>
      <c r="H959" s="50" t="s">
        <v>2399</v>
      </c>
      <c r="I959" s="49" t="s">
        <v>107</v>
      </c>
      <c r="J959" s="50" t="s">
        <v>109</v>
      </c>
      <c r="K959" s="50" t="s">
        <v>109</v>
      </c>
      <c r="L959" s="50" t="s">
        <v>12</v>
      </c>
      <c r="M959" s="50" t="s">
        <v>13</v>
      </c>
      <c r="N959" s="50" t="s">
        <v>14</v>
      </c>
      <c r="O959" s="48" t="s">
        <v>620</v>
      </c>
      <c r="P959" s="45" t="s">
        <v>453</v>
      </c>
      <c r="Q959" s="35" t="str">
        <f>MID(Tabla1[[#This Row],[Aplicación]],14,1)</f>
        <v>2</v>
      </c>
      <c r="R959" s="35" t="s">
        <v>441</v>
      </c>
      <c r="S959" s="35" t="str">
        <f>MID(Tabla1[[#This Row],[Aplicación]],6,2)</f>
        <v>06</v>
      </c>
      <c r="T959" s="35" t="str">
        <f>VLOOKUP(Tabla1[[#This Row],[AREA]],Hoja1!A:B,2,FALSE)</f>
        <v>06. Educación, infancia, juventud e igualdad</v>
      </c>
      <c r="U959" s="35" t="str">
        <f>MID(Tabla1[[#This Row],[Aplicación]],9,4)</f>
        <v>3232</v>
      </c>
      <c r="V959" s="35" t="str">
        <f>VLOOKUP(Tabla1[[#This Row],[PROGRAMA]],Hoja1!A:B,2,FALSE)</f>
        <v>3232. Conservación y mantenimiento centros educación infantil y primaria</v>
      </c>
      <c r="W959" s="35" t="str">
        <f>MID(Tabla1[[#This Row],[Aplicación]],14,2)</f>
        <v>21</v>
      </c>
      <c r="X959" s="35" t="str">
        <f>MID(Tabla1[[#This Row],[Aplicación]],14,6)</f>
        <v>213</v>
      </c>
    </row>
    <row r="960" spans="1:24" x14ac:dyDescent="0.25">
      <c r="A960" s="49">
        <v>220220012377</v>
      </c>
      <c r="B960" s="50" t="s">
        <v>9</v>
      </c>
      <c r="C960" s="57">
        <v>44643</v>
      </c>
      <c r="D960" s="49">
        <v>22022002932</v>
      </c>
      <c r="E960" s="50" t="s">
        <v>2400</v>
      </c>
      <c r="F960" s="58">
        <v>1026</v>
      </c>
      <c r="G960" s="50" t="s">
        <v>993</v>
      </c>
      <c r="H960" s="50" t="s">
        <v>2401</v>
      </c>
      <c r="I960" s="49" t="s">
        <v>107</v>
      </c>
      <c r="J960" s="50" t="s">
        <v>580</v>
      </c>
      <c r="K960" s="50" t="s">
        <v>108</v>
      </c>
      <c r="L960" s="50" t="s">
        <v>15</v>
      </c>
      <c r="M960" s="50" t="s">
        <v>10</v>
      </c>
      <c r="N960" s="50" t="s">
        <v>11</v>
      </c>
      <c r="O960" s="48" t="s">
        <v>632</v>
      </c>
      <c r="P960" s="45" t="s">
        <v>453</v>
      </c>
      <c r="Q960" s="35" t="str">
        <f>MID(Tabla1[[#This Row],[Aplicación]],14,1)</f>
        <v>2</v>
      </c>
      <c r="R960" s="35" t="s">
        <v>441</v>
      </c>
      <c r="S960" s="35" t="str">
        <f>MID(Tabla1[[#This Row],[Aplicación]],6,2)</f>
        <v>10</v>
      </c>
      <c r="T960" s="35" t="str">
        <f>VLOOKUP(Tabla1[[#This Row],[AREA]],Hoja1!A:B,2,FALSE)</f>
        <v>10. Servicios sociales y mediación comunitaria</v>
      </c>
      <c r="U960" s="35" t="str">
        <f>MID(Tabla1[[#This Row],[Aplicación]],9,4)</f>
        <v>2316</v>
      </c>
      <c r="V960" s="35" t="str">
        <f>VLOOKUP(Tabla1[[#This Row],[PROGRAMA]],Hoja1!A:B,2,FALSE)</f>
        <v>2316. Mediación comunitaria</v>
      </c>
      <c r="W960" s="35" t="str">
        <f>MID(Tabla1[[#This Row],[Aplicación]],14,2)</f>
        <v>22</v>
      </c>
      <c r="X960" s="35" t="str">
        <f>MID(Tabla1[[#This Row],[Aplicación]],14,6)</f>
        <v>22616</v>
      </c>
    </row>
    <row r="961" spans="1:24" x14ac:dyDescent="0.25">
      <c r="A961" s="49">
        <v>220219001136</v>
      </c>
      <c r="B961" s="50" t="s">
        <v>9</v>
      </c>
      <c r="C961" s="57">
        <v>44562</v>
      </c>
      <c r="D961" s="49">
        <v>22022000299</v>
      </c>
      <c r="E961" s="50" t="s">
        <v>1759</v>
      </c>
      <c r="F961" s="58">
        <v>4177.62</v>
      </c>
      <c r="G961" s="50" t="s">
        <v>41</v>
      </c>
      <c r="H961" s="50" t="s">
        <v>2402</v>
      </c>
      <c r="I961" s="49" t="s">
        <v>107</v>
      </c>
      <c r="J961" s="50" t="s">
        <v>109</v>
      </c>
      <c r="K961" s="50" t="s">
        <v>109</v>
      </c>
      <c r="L961" s="50" t="s">
        <v>12</v>
      </c>
      <c r="M961" s="50" t="s">
        <v>13</v>
      </c>
      <c r="N961" s="50" t="s">
        <v>14</v>
      </c>
      <c r="O961" s="48" t="s">
        <v>620</v>
      </c>
      <c r="P961" s="45" t="s">
        <v>453</v>
      </c>
      <c r="Q961" s="35" t="str">
        <f>MID(Tabla1[[#This Row],[Aplicación]],14,1)</f>
        <v>2</v>
      </c>
      <c r="R961" s="35" t="s">
        <v>441</v>
      </c>
      <c r="S961" s="35" t="str">
        <f>MID(Tabla1[[#This Row],[Aplicación]],6,2)</f>
        <v>02</v>
      </c>
      <c r="T961" s="35" t="str">
        <f>VLOOKUP(Tabla1[[#This Row],[AREA]],Hoja1!A:B,2,FALSE)</f>
        <v>02. Planeamiento urbanístico y vivienda</v>
      </c>
      <c r="U961" s="35" t="str">
        <f>MID(Tabla1[[#This Row],[Aplicación]],9,4)</f>
        <v>9332</v>
      </c>
      <c r="V961" s="35" t="str">
        <f>VLOOKUP(Tabla1[[#This Row],[PROGRAMA]],Hoja1!A:B,2,FALSE)</f>
        <v>9332. Mantenimiento de edificios e instalaciones municipales</v>
      </c>
      <c r="W961" s="35" t="str">
        <f>MID(Tabla1[[#This Row],[Aplicación]],14,2)</f>
        <v>21</v>
      </c>
      <c r="X961" s="35" t="str">
        <f>MID(Tabla1[[#This Row],[Aplicación]],14,6)</f>
        <v>213</v>
      </c>
    </row>
    <row r="962" spans="1:24" x14ac:dyDescent="0.25">
      <c r="A962" s="49">
        <v>220219001206</v>
      </c>
      <c r="B962" s="50" t="s">
        <v>9</v>
      </c>
      <c r="C962" s="57">
        <v>44562</v>
      </c>
      <c r="D962" s="49">
        <v>22022001488</v>
      </c>
      <c r="E962" s="50" t="s">
        <v>1458</v>
      </c>
      <c r="F962" s="58">
        <v>1040.5999999999999</v>
      </c>
      <c r="G962" s="50" t="s">
        <v>41</v>
      </c>
      <c r="H962" s="50" t="s">
        <v>2403</v>
      </c>
      <c r="I962" s="49" t="s">
        <v>107</v>
      </c>
      <c r="J962" s="50" t="s">
        <v>109</v>
      </c>
      <c r="K962" s="50" t="s">
        <v>109</v>
      </c>
      <c r="L962" s="50" t="s">
        <v>12</v>
      </c>
      <c r="M962" s="50" t="s">
        <v>13</v>
      </c>
      <c r="N962" s="50" t="s">
        <v>14</v>
      </c>
      <c r="O962" s="48" t="s">
        <v>620</v>
      </c>
      <c r="P962" s="45" t="s">
        <v>453</v>
      </c>
      <c r="Q962" s="35" t="str">
        <f>MID(Tabla1[[#This Row],[Aplicación]],14,1)</f>
        <v>2</v>
      </c>
      <c r="R962" s="35" t="s">
        <v>441</v>
      </c>
      <c r="S962" s="35" t="str">
        <f>MID(Tabla1[[#This Row],[Aplicación]],6,2)</f>
        <v>04</v>
      </c>
      <c r="T962" s="35" t="str">
        <f>VLOOKUP(Tabla1[[#This Row],[AREA]],Hoja1!A:B,2,FALSE)</f>
        <v>04. Planificación y recursos</v>
      </c>
      <c r="U962" s="35" t="str">
        <f>MID(Tabla1[[#This Row],[Aplicación]],9,4)</f>
        <v>9204</v>
      </c>
      <c r="V962" s="35" t="str">
        <f>VLOOKUP(Tabla1[[#This Row],[PROGRAMA]],Hoja1!A:B,2,FALSE)</f>
        <v>9204. Tecnologías de la información y comunicación</v>
      </c>
      <c r="W962" s="35" t="str">
        <f>MID(Tabla1[[#This Row],[Aplicación]],14,2)</f>
        <v>21</v>
      </c>
      <c r="X962" s="35" t="str">
        <f>MID(Tabla1[[#This Row],[Aplicación]],14,6)</f>
        <v>213</v>
      </c>
    </row>
    <row r="963" spans="1:24" x14ac:dyDescent="0.25">
      <c r="A963" s="49">
        <v>220220005813</v>
      </c>
      <c r="B963" s="50" t="s">
        <v>9</v>
      </c>
      <c r="C963" s="57">
        <v>44615</v>
      </c>
      <c r="D963" s="49">
        <v>22022002434</v>
      </c>
      <c r="E963" s="50" t="s">
        <v>2404</v>
      </c>
      <c r="F963" s="58">
        <v>3060</v>
      </c>
      <c r="G963" s="50" t="s">
        <v>727</v>
      </c>
      <c r="H963" s="50" t="s">
        <v>2405</v>
      </c>
      <c r="I963" s="49" t="s">
        <v>107</v>
      </c>
      <c r="J963" s="50" t="s">
        <v>109</v>
      </c>
      <c r="K963" s="50" t="s">
        <v>109</v>
      </c>
      <c r="L963" s="50" t="s">
        <v>12</v>
      </c>
      <c r="M963" s="50" t="s">
        <v>10</v>
      </c>
      <c r="N963" s="50" t="s">
        <v>11</v>
      </c>
      <c r="O963" s="48" t="s">
        <v>632</v>
      </c>
      <c r="P963" s="45" t="s">
        <v>453</v>
      </c>
      <c r="Q963" s="35" t="str">
        <f>MID(Tabla1[[#This Row],[Aplicación]],14,1)</f>
        <v>2</v>
      </c>
      <c r="R963" s="35" t="s">
        <v>441</v>
      </c>
      <c r="S963" s="35" t="str">
        <f>MID(Tabla1[[#This Row],[Aplicación]],6,2)</f>
        <v>11</v>
      </c>
      <c r="T963" s="35" t="str">
        <f>VLOOKUP(Tabla1[[#This Row],[AREA]],Hoja1!A:B,2,FALSE)</f>
        <v>11. Salud pública y seguridad ciudadana</v>
      </c>
      <c r="U963" s="35" t="str">
        <f>MID(Tabla1[[#This Row],[Aplicación]],9,4)</f>
        <v>1621</v>
      </c>
      <c r="V963" s="35" t="str">
        <f>VLOOKUP(Tabla1[[#This Row],[PROGRAMA]],Hoja1!A:B,2,FALSE)</f>
        <v>1621. Servicio de limpieza</v>
      </c>
      <c r="W963" s="35" t="str">
        <f>MID(Tabla1[[#This Row],[Aplicación]],14,2)</f>
        <v>22</v>
      </c>
      <c r="X963" s="35" t="str">
        <f>MID(Tabla1[[#This Row],[Aplicación]],14,6)</f>
        <v>22699</v>
      </c>
    </row>
    <row r="964" spans="1:24" x14ac:dyDescent="0.25">
      <c r="A964" s="49">
        <v>220219001255</v>
      </c>
      <c r="B964" s="50" t="s">
        <v>9</v>
      </c>
      <c r="C964" s="57">
        <v>44562</v>
      </c>
      <c r="D964" s="49">
        <v>22022001688</v>
      </c>
      <c r="E964" s="50" t="s">
        <v>1436</v>
      </c>
      <c r="F964" s="58">
        <v>440</v>
      </c>
      <c r="G964" s="50" t="s">
        <v>1330</v>
      </c>
      <c r="H964" s="50" t="s">
        <v>2406</v>
      </c>
      <c r="I964" s="49" t="s">
        <v>107</v>
      </c>
      <c r="J964" s="50" t="s">
        <v>1331</v>
      </c>
      <c r="K964" s="50" t="s">
        <v>151</v>
      </c>
      <c r="L964" s="50" t="s">
        <v>12</v>
      </c>
      <c r="M964" s="50" t="s">
        <v>10</v>
      </c>
      <c r="N964" s="50" t="s">
        <v>11</v>
      </c>
      <c r="O964" s="48" t="s">
        <v>632</v>
      </c>
      <c r="P964" s="45" t="s">
        <v>453</v>
      </c>
      <c r="Q964" s="35" t="str">
        <f>MID(Tabla1[[#This Row],[Aplicación]],14,1)</f>
        <v>2</v>
      </c>
      <c r="R964" s="35" t="s">
        <v>441</v>
      </c>
      <c r="S964" s="35" t="str">
        <f>MID(Tabla1[[#This Row],[Aplicación]],6,2)</f>
        <v>03</v>
      </c>
      <c r="T964" s="35" t="str">
        <f>VLOOKUP(Tabla1[[#This Row],[AREA]],Hoja1!A:B,2,FALSE)</f>
        <v>03. Participación ciudadana y deportes</v>
      </c>
      <c r="U964" s="35" t="str">
        <f>MID(Tabla1[[#This Row],[Aplicación]],9,4)</f>
        <v>9241</v>
      </c>
      <c r="V964" s="35" t="str">
        <f>VLOOKUP(Tabla1[[#This Row],[PROGRAMA]],Hoja1!A:B,2,FALSE)</f>
        <v>9241. Participación ciudadana</v>
      </c>
      <c r="W964" s="35" t="str">
        <f>MID(Tabla1[[#This Row],[Aplicación]],14,2)</f>
        <v>22</v>
      </c>
      <c r="X964" s="35" t="str">
        <f>MID(Tabla1[[#This Row],[Aplicación]],14,6)</f>
        <v>22609</v>
      </c>
    </row>
    <row r="965" spans="1:24" x14ac:dyDescent="0.25">
      <c r="A965" s="49">
        <v>220219001122</v>
      </c>
      <c r="B965" s="50" t="s">
        <v>9</v>
      </c>
      <c r="C965" s="57">
        <v>44562</v>
      </c>
      <c r="D965" s="49">
        <v>22022000285</v>
      </c>
      <c r="E965" s="50" t="s">
        <v>1714</v>
      </c>
      <c r="F965" s="58">
        <v>916.96</v>
      </c>
      <c r="G965" s="50" t="s">
        <v>41</v>
      </c>
      <c r="H965" s="50" t="s">
        <v>2407</v>
      </c>
      <c r="I965" s="49" t="s">
        <v>107</v>
      </c>
      <c r="J965" s="50" t="s">
        <v>109</v>
      </c>
      <c r="K965" s="50" t="s">
        <v>109</v>
      </c>
      <c r="L965" s="50" t="s">
        <v>12</v>
      </c>
      <c r="M965" s="50" t="s">
        <v>13</v>
      </c>
      <c r="N965" s="50" t="s">
        <v>14</v>
      </c>
      <c r="O965" s="48" t="s">
        <v>620</v>
      </c>
      <c r="P965" s="45" t="s">
        <v>453</v>
      </c>
      <c r="Q965" s="35" t="str">
        <f>MID(Tabla1[[#This Row],[Aplicación]],14,1)</f>
        <v>2</v>
      </c>
      <c r="R965" s="35" t="s">
        <v>441</v>
      </c>
      <c r="S965" s="35" t="str">
        <f>MID(Tabla1[[#This Row],[Aplicación]],6,2)</f>
        <v>06</v>
      </c>
      <c r="T965" s="35" t="str">
        <f>VLOOKUP(Tabla1[[#This Row],[AREA]],Hoja1!A:B,2,FALSE)</f>
        <v>06. Educación, infancia, juventud e igualdad</v>
      </c>
      <c r="U965" s="35" t="str">
        <f>MID(Tabla1[[#This Row],[Aplicación]],9,4)</f>
        <v>3231</v>
      </c>
      <c r="V965" s="35" t="str">
        <f>VLOOKUP(Tabla1[[#This Row],[PROGRAMA]],Hoja1!A:B,2,FALSE)</f>
        <v>3231. Escuelas infantiles</v>
      </c>
      <c r="W965" s="35" t="str">
        <f>MID(Tabla1[[#This Row],[Aplicación]],14,2)</f>
        <v>21</v>
      </c>
      <c r="X965" s="35" t="str">
        <f>MID(Tabla1[[#This Row],[Aplicación]],14,6)</f>
        <v>213</v>
      </c>
    </row>
    <row r="966" spans="1:24" x14ac:dyDescent="0.25">
      <c r="A966" s="49">
        <v>220220012521</v>
      </c>
      <c r="B966" s="50" t="s">
        <v>26</v>
      </c>
      <c r="C966" s="57">
        <v>44644</v>
      </c>
      <c r="D966" s="49">
        <v>22022001259</v>
      </c>
      <c r="E966" s="50" t="s">
        <v>1890</v>
      </c>
      <c r="F966" s="58">
        <v>568.1</v>
      </c>
      <c r="G966" s="50" t="s">
        <v>41</v>
      </c>
      <c r="H966" s="50" t="s">
        <v>2408</v>
      </c>
      <c r="I966" s="49" t="s">
        <v>197</v>
      </c>
      <c r="J966" s="50" t="s">
        <v>109</v>
      </c>
      <c r="K966" s="50" t="s">
        <v>109</v>
      </c>
      <c r="L966" s="50" t="s">
        <v>15</v>
      </c>
      <c r="M966" s="50" t="s">
        <v>13</v>
      </c>
      <c r="N966" s="50" t="s">
        <v>14</v>
      </c>
      <c r="O966" s="48" t="s">
        <v>620</v>
      </c>
      <c r="P966" s="45" t="s">
        <v>453</v>
      </c>
      <c r="Q966" s="35" t="str">
        <f>MID(Tabla1[[#This Row],[Aplicación]],14,1)</f>
        <v>2</v>
      </c>
      <c r="R966" s="35" t="s">
        <v>441</v>
      </c>
      <c r="S966" s="35" t="str">
        <f>MID(Tabla1[[#This Row],[Aplicación]],6,2)</f>
        <v>02</v>
      </c>
      <c r="T966" s="35" t="str">
        <f>VLOOKUP(Tabla1[[#This Row],[AREA]],Hoja1!A:B,2,FALSE)</f>
        <v>02. Planeamiento urbanístico y vivienda</v>
      </c>
      <c r="U966" s="35" t="str">
        <f>MID(Tabla1[[#This Row],[Aplicación]],9,4)</f>
        <v>9332</v>
      </c>
      <c r="V966" s="35" t="str">
        <f>VLOOKUP(Tabla1[[#This Row],[PROGRAMA]],Hoja1!A:B,2,FALSE)</f>
        <v>9332. Mantenimiento de edificios e instalaciones municipales</v>
      </c>
      <c r="W966" s="35" t="str">
        <f>MID(Tabla1[[#This Row],[Aplicación]],14,2)</f>
        <v>21</v>
      </c>
      <c r="X966" s="35" t="str">
        <f>MID(Tabla1[[#This Row],[Aplicación]],14,6)</f>
        <v>212</v>
      </c>
    </row>
    <row r="967" spans="1:24" x14ac:dyDescent="0.25">
      <c r="A967" s="49">
        <v>220220000112</v>
      </c>
      <c r="B967" s="50" t="s">
        <v>9</v>
      </c>
      <c r="C967" s="57">
        <v>44581</v>
      </c>
      <c r="D967" s="49">
        <v>22022001312</v>
      </c>
      <c r="E967" s="50" t="s">
        <v>1704</v>
      </c>
      <c r="F967" s="58">
        <v>6358.55</v>
      </c>
      <c r="G967" s="50" t="s">
        <v>512</v>
      </c>
      <c r="H967" s="50" t="s">
        <v>1228</v>
      </c>
      <c r="I967" s="49" t="s">
        <v>107</v>
      </c>
      <c r="J967" s="50" t="s">
        <v>109</v>
      </c>
      <c r="K967" s="50" t="s">
        <v>109</v>
      </c>
      <c r="L967" s="50" t="s">
        <v>12</v>
      </c>
      <c r="M967" s="50" t="s">
        <v>10</v>
      </c>
      <c r="N967" s="50" t="s">
        <v>11</v>
      </c>
      <c r="O967" s="48" t="s">
        <v>632</v>
      </c>
      <c r="P967" s="45" t="s">
        <v>453</v>
      </c>
      <c r="Q967" s="35" t="str">
        <f>MID(Tabla1[[#This Row],[Aplicación]],14,1)</f>
        <v>2</v>
      </c>
      <c r="R967" s="35" t="s">
        <v>441</v>
      </c>
      <c r="S967" s="35" t="str">
        <f>MID(Tabla1[[#This Row],[Aplicación]],6,2)</f>
        <v>11</v>
      </c>
      <c r="T967" s="35" t="str">
        <f>VLOOKUP(Tabla1[[#This Row],[AREA]],Hoja1!A:B,2,FALSE)</f>
        <v>11. Salud pública y seguridad ciudadana</v>
      </c>
      <c r="U967" s="35" t="str">
        <f>MID(Tabla1[[#This Row],[Aplicación]],9,4)</f>
        <v>1321</v>
      </c>
      <c r="V967" s="35" t="str">
        <f>VLOOKUP(Tabla1[[#This Row],[PROGRAMA]],Hoja1!A:B,2,FALSE)</f>
        <v>1321. Policía municipal</v>
      </c>
      <c r="W967" s="35" t="str">
        <f>MID(Tabla1[[#This Row],[Aplicación]],14,2)</f>
        <v>22</v>
      </c>
      <c r="X967" s="35" t="str">
        <f>MID(Tabla1[[#This Row],[Aplicación]],14,6)</f>
        <v>22706</v>
      </c>
    </row>
    <row r="968" spans="1:24" x14ac:dyDescent="0.25">
      <c r="A968" s="49">
        <v>220220002203</v>
      </c>
      <c r="B968" s="50" t="s">
        <v>9</v>
      </c>
      <c r="C968" s="57">
        <v>44592</v>
      </c>
      <c r="D968" s="49">
        <v>22022001670</v>
      </c>
      <c r="E968" s="50" t="s">
        <v>1768</v>
      </c>
      <c r="F968" s="58">
        <v>1197.9000000000001</v>
      </c>
      <c r="G968" s="50" t="s">
        <v>1152</v>
      </c>
      <c r="H968" s="50" t="s">
        <v>2409</v>
      </c>
      <c r="I968" s="49" t="s">
        <v>107</v>
      </c>
      <c r="J968" s="50" t="s">
        <v>109</v>
      </c>
      <c r="K968" s="50" t="s">
        <v>109</v>
      </c>
      <c r="L968" s="50" t="s">
        <v>15</v>
      </c>
      <c r="M968" s="50" t="s">
        <v>10</v>
      </c>
      <c r="N968" s="50" t="s">
        <v>11</v>
      </c>
      <c r="O968" s="48" t="s">
        <v>632</v>
      </c>
      <c r="P968" s="45" t="s">
        <v>453</v>
      </c>
      <c r="Q968" s="35" t="str">
        <f>MID(Tabla1[[#This Row],[Aplicación]],14,1)</f>
        <v>2</v>
      </c>
      <c r="R968" s="35" t="s">
        <v>441</v>
      </c>
      <c r="S968" s="35" t="str">
        <f>MID(Tabla1[[#This Row],[Aplicación]],6,2)</f>
        <v>10</v>
      </c>
      <c r="T968" s="35" t="str">
        <f>VLOOKUP(Tabla1[[#This Row],[AREA]],Hoja1!A:B,2,FALSE)</f>
        <v>10. Servicios sociales y mediación comunitaria</v>
      </c>
      <c r="U968" s="35" t="str">
        <f>MID(Tabla1[[#This Row],[Aplicación]],9,4)</f>
        <v>2312</v>
      </c>
      <c r="V968" s="35" t="str">
        <f>VLOOKUP(Tabla1[[#This Row],[PROGRAMA]],Hoja1!A:B,2,FALSE)</f>
        <v>2312. Iniciativas sociales</v>
      </c>
      <c r="W968" s="35" t="str">
        <f>MID(Tabla1[[#This Row],[Aplicación]],14,2)</f>
        <v>22</v>
      </c>
      <c r="X968" s="35" t="str">
        <f>MID(Tabla1[[#This Row],[Aplicación]],14,6)</f>
        <v>22618</v>
      </c>
    </row>
    <row r="969" spans="1:24" x14ac:dyDescent="0.25">
      <c r="A969" s="49">
        <v>220220005780</v>
      </c>
      <c r="B969" s="50" t="s">
        <v>9</v>
      </c>
      <c r="C969" s="57">
        <v>44615</v>
      </c>
      <c r="D969" s="49">
        <v>22022002344</v>
      </c>
      <c r="E969" s="50" t="s">
        <v>2410</v>
      </c>
      <c r="F969" s="58">
        <v>1016.4</v>
      </c>
      <c r="G969" s="50" t="s">
        <v>1018</v>
      </c>
      <c r="H969" s="50" t="s">
        <v>2411</v>
      </c>
      <c r="I969" s="49" t="s">
        <v>107</v>
      </c>
      <c r="J969" s="50" t="s">
        <v>1019</v>
      </c>
      <c r="K969" s="50" t="s">
        <v>109</v>
      </c>
      <c r="L969" s="50" t="s">
        <v>12</v>
      </c>
      <c r="M969" s="50" t="s">
        <v>10</v>
      </c>
      <c r="N969" s="50" t="s">
        <v>11</v>
      </c>
      <c r="O969" s="48" t="s">
        <v>632</v>
      </c>
      <c r="P969" s="45" t="s">
        <v>453</v>
      </c>
      <c r="Q969" s="35" t="str">
        <f>MID(Tabla1[[#This Row],[Aplicación]],14,1)</f>
        <v>2</v>
      </c>
      <c r="R969" s="35" t="s">
        <v>441</v>
      </c>
      <c r="S969" s="35" t="str">
        <f>MID(Tabla1[[#This Row],[Aplicación]],6,2)</f>
        <v>06</v>
      </c>
      <c r="T969" s="35" t="str">
        <f>VLOOKUP(Tabla1[[#This Row],[AREA]],Hoja1!A:B,2,FALSE)</f>
        <v>06. Educación, infancia, juventud e igualdad</v>
      </c>
      <c r="U969" s="35" t="str">
        <f>MID(Tabla1[[#This Row],[Aplicación]],9,4)</f>
        <v>3232</v>
      </c>
      <c r="V969" s="35" t="str">
        <f>VLOOKUP(Tabla1[[#This Row],[PROGRAMA]],Hoja1!A:B,2,FALSE)</f>
        <v>3232. Conservación y mantenimiento centros educación infantil y primaria</v>
      </c>
      <c r="W969" s="35" t="str">
        <f>MID(Tabla1[[#This Row],[Aplicación]],14,2)</f>
        <v>22</v>
      </c>
      <c r="X969" s="35" t="str">
        <f>MID(Tabla1[[#This Row],[Aplicación]],14,6)</f>
        <v>22799</v>
      </c>
    </row>
    <row r="970" spans="1:24" x14ac:dyDescent="0.25">
      <c r="A970" s="49">
        <v>220219001138</v>
      </c>
      <c r="B970" s="50" t="s">
        <v>9</v>
      </c>
      <c r="C970" s="57">
        <v>44562</v>
      </c>
      <c r="D970" s="49">
        <v>22022000301</v>
      </c>
      <c r="E970" s="50" t="s">
        <v>2412</v>
      </c>
      <c r="F970" s="58">
        <v>337.45</v>
      </c>
      <c r="G970" s="50" t="s">
        <v>41</v>
      </c>
      <c r="H970" s="50" t="s">
        <v>2413</v>
      </c>
      <c r="I970" s="49" t="s">
        <v>107</v>
      </c>
      <c r="J970" s="50" t="s">
        <v>109</v>
      </c>
      <c r="K970" s="50" t="s">
        <v>109</v>
      </c>
      <c r="L970" s="50" t="s">
        <v>12</v>
      </c>
      <c r="M970" s="50" t="s">
        <v>13</v>
      </c>
      <c r="N970" s="50" t="s">
        <v>14</v>
      </c>
      <c r="O970" s="48" t="s">
        <v>620</v>
      </c>
      <c r="P970" s="45" t="s">
        <v>453</v>
      </c>
      <c r="Q970" s="35" t="str">
        <f>MID(Tabla1[[#This Row],[Aplicación]],14,1)</f>
        <v>2</v>
      </c>
      <c r="R970" s="35" t="s">
        <v>441</v>
      </c>
      <c r="S970" s="35" t="str">
        <f>MID(Tabla1[[#This Row],[Aplicación]],6,2)</f>
        <v>05</v>
      </c>
      <c r="T970" s="35" t="str">
        <f>VLOOKUP(Tabla1[[#This Row],[AREA]],Hoja1!A:B,2,FALSE)</f>
        <v>05. Innovación, desarrollo económico, empleo y comercio</v>
      </c>
      <c r="U970" s="35" t="str">
        <f>MID(Tabla1[[#This Row],[Aplicación]],9,4)</f>
        <v>4331</v>
      </c>
      <c r="V970" s="35" t="str">
        <f>VLOOKUP(Tabla1[[#This Row],[PROGRAMA]],Hoja1!A:B,2,FALSE)</f>
        <v>4331. Desarrollo empresarial</v>
      </c>
      <c r="W970" s="35" t="str">
        <f>MID(Tabla1[[#This Row],[Aplicación]],14,2)</f>
        <v>21</v>
      </c>
      <c r="X970" s="35" t="str">
        <f>MID(Tabla1[[#This Row],[Aplicación]],14,6)</f>
        <v>213</v>
      </c>
    </row>
    <row r="971" spans="1:24" x14ac:dyDescent="0.25">
      <c r="A971" s="49">
        <v>220219001125</v>
      </c>
      <c r="B971" s="50" t="s">
        <v>9</v>
      </c>
      <c r="C971" s="57">
        <v>44562</v>
      </c>
      <c r="D971" s="49">
        <v>22022000288</v>
      </c>
      <c r="E971" s="50" t="s">
        <v>1911</v>
      </c>
      <c r="F971" s="58">
        <v>298.94</v>
      </c>
      <c r="G971" s="50" t="s">
        <v>41</v>
      </c>
      <c r="H971" s="50" t="s">
        <v>2414</v>
      </c>
      <c r="I971" s="49" t="s">
        <v>107</v>
      </c>
      <c r="J971" s="50" t="s">
        <v>109</v>
      </c>
      <c r="K971" s="50" t="s">
        <v>109</v>
      </c>
      <c r="L971" s="50" t="s">
        <v>12</v>
      </c>
      <c r="M971" s="50" t="s">
        <v>13</v>
      </c>
      <c r="N971" s="50" t="s">
        <v>14</v>
      </c>
      <c r="O971" s="48" t="s">
        <v>620</v>
      </c>
      <c r="P971" s="45" t="s">
        <v>453</v>
      </c>
      <c r="Q971" s="35" t="str">
        <f>MID(Tabla1[[#This Row],[Aplicación]],14,1)</f>
        <v>2</v>
      </c>
      <c r="R971" s="35" t="s">
        <v>441</v>
      </c>
      <c r="S971" s="35" t="str">
        <f>MID(Tabla1[[#This Row],[Aplicación]],6,2)</f>
        <v>06</v>
      </c>
      <c r="T971" s="35" t="str">
        <f>VLOOKUP(Tabla1[[#This Row],[AREA]],Hoja1!A:B,2,FALSE)</f>
        <v>06. Educación, infancia, juventud e igualdad</v>
      </c>
      <c r="U971" s="35" t="str">
        <f>MID(Tabla1[[#This Row],[Aplicación]],9,4)</f>
        <v>2314</v>
      </c>
      <c r="V971" s="35" t="str">
        <f>VLOOKUP(Tabla1[[#This Row],[PROGRAMA]],Hoja1!A:B,2,FALSE)</f>
        <v>2314. Centro de programas juveniles</v>
      </c>
      <c r="W971" s="35" t="str">
        <f>MID(Tabla1[[#This Row],[Aplicación]],14,2)</f>
        <v>21</v>
      </c>
      <c r="X971" s="35" t="str">
        <f>MID(Tabla1[[#This Row],[Aplicación]],14,6)</f>
        <v>213</v>
      </c>
    </row>
    <row r="972" spans="1:24" x14ac:dyDescent="0.25">
      <c r="A972" s="49">
        <v>220219001124</v>
      </c>
      <c r="B972" s="50" t="s">
        <v>9</v>
      </c>
      <c r="C972" s="57">
        <v>44562</v>
      </c>
      <c r="D972" s="49">
        <v>22022000287</v>
      </c>
      <c r="E972" s="50" t="s">
        <v>1555</v>
      </c>
      <c r="F972" s="58">
        <v>67</v>
      </c>
      <c r="G972" s="50" t="s">
        <v>41</v>
      </c>
      <c r="H972" s="50" t="s">
        <v>2415</v>
      </c>
      <c r="I972" s="49" t="s">
        <v>107</v>
      </c>
      <c r="J972" s="50" t="s">
        <v>109</v>
      </c>
      <c r="K972" s="50" t="s">
        <v>109</v>
      </c>
      <c r="L972" s="50" t="s">
        <v>12</v>
      </c>
      <c r="M972" s="50" t="s">
        <v>13</v>
      </c>
      <c r="N972" s="50" t="s">
        <v>14</v>
      </c>
      <c r="O972" s="48" t="s">
        <v>620</v>
      </c>
      <c r="P972" s="45" t="s">
        <v>453</v>
      </c>
      <c r="Q972" s="35" t="str">
        <f>MID(Tabla1[[#This Row],[Aplicación]],14,1)</f>
        <v>2</v>
      </c>
      <c r="R972" s="35" t="s">
        <v>441</v>
      </c>
      <c r="S972" s="35" t="str">
        <f>MID(Tabla1[[#This Row],[Aplicación]],6,2)</f>
        <v>06</v>
      </c>
      <c r="T972" s="35" t="str">
        <f>VLOOKUP(Tabla1[[#This Row],[AREA]],Hoja1!A:B,2,FALSE)</f>
        <v>06. Educación, infancia, juventud e igualdad</v>
      </c>
      <c r="U972" s="35" t="str">
        <f>MID(Tabla1[[#This Row],[Aplicación]],9,4)</f>
        <v>3321</v>
      </c>
      <c r="V972" s="35" t="str">
        <f>VLOOKUP(Tabla1[[#This Row],[PROGRAMA]],Hoja1!A:B,2,FALSE)</f>
        <v>3321. Bibliotecas públicas</v>
      </c>
      <c r="W972" s="35" t="str">
        <f>MID(Tabla1[[#This Row],[Aplicación]],14,2)</f>
        <v>21</v>
      </c>
      <c r="X972" s="35" t="str">
        <f>MID(Tabla1[[#This Row],[Aplicación]],14,6)</f>
        <v>213</v>
      </c>
    </row>
    <row r="973" spans="1:24" x14ac:dyDescent="0.25">
      <c r="A973" s="49">
        <v>220219001127</v>
      </c>
      <c r="B973" s="50" t="s">
        <v>9</v>
      </c>
      <c r="C973" s="57">
        <v>44562</v>
      </c>
      <c r="D973" s="49">
        <v>22022000290</v>
      </c>
      <c r="E973" s="50" t="s">
        <v>1473</v>
      </c>
      <c r="F973" s="58">
        <v>30.92</v>
      </c>
      <c r="G973" s="50" t="s">
        <v>41</v>
      </c>
      <c r="H973" s="50" t="s">
        <v>2416</v>
      </c>
      <c r="I973" s="49" t="s">
        <v>107</v>
      </c>
      <c r="J973" s="50" t="s">
        <v>109</v>
      </c>
      <c r="K973" s="50" t="s">
        <v>109</v>
      </c>
      <c r="L973" s="50" t="s">
        <v>12</v>
      </c>
      <c r="M973" s="50" t="s">
        <v>13</v>
      </c>
      <c r="N973" s="50" t="s">
        <v>14</v>
      </c>
      <c r="O973" s="48" t="s">
        <v>620</v>
      </c>
      <c r="P973" s="45" t="s">
        <v>453</v>
      </c>
      <c r="Q973" s="35" t="str">
        <f>MID(Tabla1[[#This Row],[Aplicación]],14,1)</f>
        <v>2</v>
      </c>
      <c r="R973" s="35" t="s">
        <v>441</v>
      </c>
      <c r="S973" s="35" t="str">
        <f>MID(Tabla1[[#This Row],[Aplicación]],6,2)</f>
        <v>06</v>
      </c>
      <c r="T973" s="35" t="str">
        <f>VLOOKUP(Tabla1[[#This Row],[AREA]],Hoja1!A:B,2,FALSE)</f>
        <v>06. Educación, infancia, juventud e igualdad</v>
      </c>
      <c r="U973" s="35" t="str">
        <f>MID(Tabla1[[#This Row],[Aplicación]],9,4)</f>
        <v>2315</v>
      </c>
      <c r="V973" s="35" t="str">
        <f>VLOOKUP(Tabla1[[#This Row],[PROGRAMA]],Hoja1!A:B,2,FALSE)</f>
        <v>2315. Políticas de Igualdad e infancia</v>
      </c>
      <c r="W973" s="35" t="str">
        <f>MID(Tabla1[[#This Row],[Aplicación]],14,2)</f>
        <v>21</v>
      </c>
      <c r="X973" s="35" t="str">
        <f>MID(Tabla1[[#This Row],[Aplicación]],14,6)</f>
        <v>213</v>
      </c>
    </row>
    <row r="974" spans="1:24" x14ac:dyDescent="0.25">
      <c r="A974" s="49">
        <v>220219000535</v>
      </c>
      <c r="B974" s="50" t="s">
        <v>9</v>
      </c>
      <c r="C974" s="57">
        <v>44562</v>
      </c>
      <c r="D974" s="49">
        <v>22022000082</v>
      </c>
      <c r="E974" s="50" t="s">
        <v>1408</v>
      </c>
      <c r="F974" s="58">
        <v>3012.9</v>
      </c>
      <c r="G974" s="50" t="s">
        <v>1100</v>
      </c>
      <c r="H974" s="50" t="s">
        <v>2417</v>
      </c>
      <c r="I974" s="49" t="s">
        <v>107</v>
      </c>
      <c r="J974" s="50" t="s">
        <v>1101</v>
      </c>
      <c r="K974" s="50" t="s">
        <v>115</v>
      </c>
      <c r="L974" s="50" t="s">
        <v>15</v>
      </c>
      <c r="M974" s="50" t="s">
        <v>13</v>
      </c>
      <c r="N974" s="50" t="s">
        <v>16</v>
      </c>
      <c r="O974" s="48" t="s">
        <v>620</v>
      </c>
      <c r="P974" s="45" t="s">
        <v>453</v>
      </c>
      <c r="Q974" s="35" t="str">
        <f>MID(Tabla1[[#This Row],[Aplicación]],14,1)</f>
        <v>2</v>
      </c>
      <c r="R974" s="35" t="s">
        <v>441</v>
      </c>
      <c r="S974" s="35" t="str">
        <f>MID(Tabla1[[#This Row],[Aplicación]],6,2)</f>
        <v>04</v>
      </c>
      <c r="T974" s="35" t="str">
        <f>VLOOKUP(Tabla1[[#This Row],[AREA]],Hoja1!A:B,2,FALSE)</f>
        <v>04. Planificación y recursos</v>
      </c>
      <c r="U974" s="35" t="str">
        <f>MID(Tabla1[[#This Row],[Aplicación]],9,4)</f>
        <v>9204</v>
      </c>
      <c r="V974" s="35" t="str">
        <f>VLOOKUP(Tabla1[[#This Row],[PROGRAMA]],Hoja1!A:B,2,FALSE)</f>
        <v>9204. Tecnologías de la información y comunicación</v>
      </c>
      <c r="W974" s="35" t="str">
        <f>MID(Tabla1[[#This Row],[Aplicación]],14,2)</f>
        <v>21</v>
      </c>
      <c r="X974" s="35" t="str">
        <f>MID(Tabla1[[#This Row],[Aplicación]],14,6)</f>
        <v>216</v>
      </c>
    </row>
    <row r="975" spans="1:24" x14ac:dyDescent="0.25">
      <c r="A975" s="49">
        <v>220220008892</v>
      </c>
      <c r="B975" s="50" t="s">
        <v>9</v>
      </c>
      <c r="C975" s="57">
        <v>44635</v>
      </c>
      <c r="D975" s="49">
        <v>22022001975</v>
      </c>
      <c r="E975" s="50" t="s">
        <v>1744</v>
      </c>
      <c r="F975" s="58">
        <v>30250</v>
      </c>
      <c r="G975" s="50" t="s">
        <v>987</v>
      </c>
      <c r="H975" s="50" t="s">
        <v>2418</v>
      </c>
      <c r="I975" s="49" t="s">
        <v>107</v>
      </c>
      <c r="J975" s="50" t="s">
        <v>109</v>
      </c>
      <c r="K975" s="50" t="s">
        <v>109</v>
      </c>
      <c r="L975" s="50" t="s">
        <v>12</v>
      </c>
      <c r="M975" s="50" t="s">
        <v>13</v>
      </c>
      <c r="N975" s="50" t="s">
        <v>14</v>
      </c>
      <c r="O975" s="48" t="s">
        <v>620</v>
      </c>
      <c r="P975" s="45" t="s">
        <v>453</v>
      </c>
      <c r="Q975" s="35" t="str">
        <f>MID(Tabla1[[#This Row],[Aplicación]],14,1)</f>
        <v>8</v>
      </c>
      <c r="R975" s="35" t="s">
        <v>443</v>
      </c>
      <c r="S975" s="35" t="str">
        <f>MID(Tabla1[[#This Row],[Aplicación]],6,2)</f>
        <v>08</v>
      </c>
      <c r="T975" s="35" t="str">
        <f>VLOOKUP(Tabla1[[#This Row],[AREA]],Hoja1!A:B,2,FALSE)</f>
        <v>08. Movilidad y espacio urbano</v>
      </c>
      <c r="U975" s="35" t="str">
        <f>MID(Tabla1[[#This Row],[Aplicación]],9,4)</f>
        <v>1513</v>
      </c>
      <c r="V975" s="35" t="str">
        <f>VLOOKUP(Tabla1[[#This Row],[PROGRAMA]],Hoja1!A:B,2,FALSE)</f>
        <v>1513. Licencias urbanísticas</v>
      </c>
      <c r="W975" s="35" t="str">
        <f>MID(Tabla1[[#This Row],[Aplicación]],14,2)</f>
        <v>83</v>
      </c>
      <c r="X975" s="35" t="str">
        <f>MID(Tabla1[[#This Row],[Aplicación]],14,6)</f>
        <v>83100</v>
      </c>
    </row>
    <row r="976" spans="1:24" x14ac:dyDescent="0.25">
      <c r="A976" s="49">
        <v>220219000546</v>
      </c>
      <c r="B976" s="50" t="s">
        <v>9</v>
      </c>
      <c r="C976" s="57">
        <v>44562</v>
      </c>
      <c r="D976" s="49">
        <v>22022000562</v>
      </c>
      <c r="E976" s="50" t="s">
        <v>1886</v>
      </c>
      <c r="F976" s="58">
        <v>19581.97</v>
      </c>
      <c r="G976" s="50" t="s">
        <v>43</v>
      </c>
      <c r="H976" s="50" t="s">
        <v>2419</v>
      </c>
      <c r="I976" s="49" t="s">
        <v>107</v>
      </c>
      <c r="J976" s="50" t="s">
        <v>109</v>
      </c>
      <c r="K976" s="50" t="s">
        <v>109</v>
      </c>
      <c r="L976" s="50" t="s">
        <v>12</v>
      </c>
      <c r="M976" s="50" t="s">
        <v>13</v>
      </c>
      <c r="N976" s="50" t="s">
        <v>14</v>
      </c>
      <c r="O976" s="48" t="s">
        <v>620</v>
      </c>
      <c r="P976" s="45" t="s">
        <v>453</v>
      </c>
      <c r="Q976" s="35" t="str">
        <f>MID(Tabla1[[#This Row],[Aplicación]],14,1)</f>
        <v>2</v>
      </c>
      <c r="R976" s="35" t="s">
        <v>441</v>
      </c>
      <c r="S976" s="35" t="str">
        <f>MID(Tabla1[[#This Row],[Aplicación]],6,2)</f>
        <v>09</v>
      </c>
      <c r="T976" s="35" t="str">
        <f>VLOOKUP(Tabla1[[#This Row],[AREA]],Hoja1!A:B,2,FALSE)</f>
        <v>09. Cultura y turismo</v>
      </c>
      <c r="U976" s="35" t="str">
        <f>MID(Tabla1[[#This Row],[Aplicación]],9,4)</f>
        <v>3341</v>
      </c>
      <c r="V976" s="35" t="str">
        <f>VLOOKUP(Tabla1[[#This Row],[PROGRAMA]],Hoja1!A:B,2,FALSE)</f>
        <v>3341. Coordinación de políticas culturales</v>
      </c>
      <c r="W976" s="35" t="str">
        <f>MID(Tabla1[[#This Row],[Aplicación]],14,2)</f>
        <v>22</v>
      </c>
      <c r="X976" s="35" t="str">
        <f>MID(Tabla1[[#This Row],[Aplicación]],14,6)</f>
        <v>22799</v>
      </c>
    </row>
    <row r="977" spans="1:24" x14ac:dyDescent="0.25">
      <c r="A977" s="49">
        <v>220209000726</v>
      </c>
      <c r="B977" s="50" t="s">
        <v>9</v>
      </c>
      <c r="C977" s="57">
        <v>44562</v>
      </c>
      <c r="D977" s="49">
        <v>22022000263</v>
      </c>
      <c r="E977" s="50" t="s">
        <v>2220</v>
      </c>
      <c r="F977" s="58">
        <v>31500</v>
      </c>
      <c r="G977" s="50" t="s">
        <v>62</v>
      </c>
      <c r="H977" s="50" t="s">
        <v>721</v>
      </c>
      <c r="I977" s="49" t="s">
        <v>107</v>
      </c>
      <c r="J977" s="50" t="s">
        <v>109</v>
      </c>
      <c r="K977" s="50" t="s">
        <v>109</v>
      </c>
      <c r="L977" s="50" t="s">
        <v>15</v>
      </c>
      <c r="M977" s="50" t="s">
        <v>13</v>
      </c>
      <c r="N977" s="50" t="s">
        <v>14</v>
      </c>
      <c r="O977" s="48" t="s">
        <v>620</v>
      </c>
      <c r="P977" s="45" t="s">
        <v>453</v>
      </c>
      <c r="Q977" s="35" t="str">
        <f>MID(Tabla1[[#This Row],[Aplicación]],14,1)</f>
        <v>2</v>
      </c>
      <c r="R977" s="35" t="s">
        <v>441</v>
      </c>
      <c r="S977" s="35" t="str">
        <f>MID(Tabla1[[#This Row],[Aplicación]],6,2)</f>
        <v>08</v>
      </c>
      <c r="T977" s="35" t="str">
        <f>VLOOKUP(Tabla1[[#This Row],[AREA]],Hoja1!A:B,2,FALSE)</f>
        <v>08. Movilidad y espacio urbano</v>
      </c>
      <c r="U977" s="35" t="str">
        <f>MID(Tabla1[[#This Row],[Aplicación]],9,4)</f>
        <v>1532</v>
      </c>
      <c r="V977" s="35" t="str">
        <f>VLOOKUP(Tabla1[[#This Row],[PROGRAMA]],Hoja1!A:B,2,FALSE)</f>
        <v>1532. Pavimentación vias públicas y otros servicios urbanísticos</v>
      </c>
      <c r="W977" s="35" t="str">
        <f>MID(Tabla1[[#This Row],[Aplicación]],14,2)</f>
        <v>22</v>
      </c>
      <c r="X977" s="35" t="str">
        <f>MID(Tabla1[[#This Row],[Aplicación]],14,6)</f>
        <v>22103</v>
      </c>
    </row>
    <row r="978" spans="1:24" x14ac:dyDescent="0.25">
      <c r="A978" s="49">
        <v>220219000443</v>
      </c>
      <c r="B978" s="50" t="s">
        <v>9</v>
      </c>
      <c r="C978" s="57">
        <v>44562</v>
      </c>
      <c r="D978" s="49">
        <v>22022000559</v>
      </c>
      <c r="E978" s="50" t="s">
        <v>1659</v>
      </c>
      <c r="F978" s="58">
        <v>2394.25</v>
      </c>
      <c r="G978" s="50" t="s">
        <v>101</v>
      </c>
      <c r="H978" s="50" t="s">
        <v>2420</v>
      </c>
      <c r="I978" s="49" t="s">
        <v>107</v>
      </c>
      <c r="J978" s="50" t="s">
        <v>109</v>
      </c>
      <c r="K978" s="50" t="s">
        <v>109</v>
      </c>
      <c r="L978" s="50" t="s">
        <v>12</v>
      </c>
      <c r="M978" s="50" t="s">
        <v>10</v>
      </c>
      <c r="N978" s="50" t="s">
        <v>11</v>
      </c>
      <c r="O978" s="48" t="s">
        <v>632</v>
      </c>
      <c r="P978" s="45" t="s">
        <v>453</v>
      </c>
      <c r="Q978" s="35" t="str">
        <f>MID(Tabla1[[#This Row],[Aplicación]],14,1)</f>
        <v>2</v>
      </c>
      <c r="R978" s="35" t="s">
        <v>441</v>
      </c>
      <c r="S978" s="35" t="str">
        <f>MID(Tabla1[[#This Row],[Aplicación]],6,2)</f>
        <v>05</v>
      </c>
      <c r="T978" s="35" t="str">
        <f>VLOOKUP(Tabla1[[#This Row],[AREA]],Hoja1!A:B,2,FALSE)</f>
        <v>05. Innovación, desarrollo económico, empleo y comercio</v>
      </c>
      <c r="U978" s="35" t="str">
        <f>MID(Tabla1[[#This Row],[Aplicación]],9,4)</f>
        <v>4331</v>
      </c>
      <c r="V978" s="35" t="str">
        <f>VLOOKUP(Tabla1[[#This Row],[PROGRAMA]],Hoja1!A:B,2,FALSE)</f>
        <v>4331. Desarrollo empresarial</v>
      </c>
      <c r="W978" s="35" t="str">
        <f>MID(Tabla1[[#This Row],[Aplicación]],14,2)</f>
        <v>22</v>
      </c>
      <c r="X978" s="35" t="str">
        <f>MID(Tabla1[[#This Row],[Aplicación]],14,6)</f>
        <v>22799</v>
      </c>
    </row>
    <row r="979" spans="1:24" x14ac:dyDescent="0.25">
      <c r="A979" s="49">
        <v>220209000614</v>
      </c>
      <c r="B979" s="50" t="s">
        <v>9</v>
      </c>
      <c r="C979" s="57">
        <v>44562</v>
      </c>
      <c r="D979" s="49">
        <v>22022000220</v>
      </c>
      <c r="E979" s="50" t="s">
        <v>2421</v>
      </c>
      <c r="F979" s="58">
        <v>25000</v>
      </c>
      <c r="G979" s="50" t="s">
        <v>62</v>
      </c>
      <c r="H979" s="50" t="s">
        <v>720</v>
      </c>
      <c r="I979" s="49" t="s">
        <v>107</v>
      </c>
      <c r="J979" s="50" t="s">
        <v>109</v>
      </c>
      <c r="K979" s="50" t="s">
        <v>109</v>
      </c>
      <c r="L979" s="50" t="s">
        <v>15</v>
      </c>
      <c r="M979" s="50" t="s">
        <v>13</v>
      </c>
      <c r="N979" s="50" t="s">
        <v>14</v>
      </c>
      <c r="O979" s="48" t="s">
        <v>620</v>
      </c>
      <c r="P979" s="45" t="s">
        <v>453</v>
      </c>
      <c r="Q979" s="35" t="str">
        <f>MID(Tabla1[[#This Row],[Aplicación]],14,1)</f>
        <v>2</v>
      </c>
      <c r="R979" s="35" t="s">
        <v>441</v>
      </c>
      <c r="S979" s="35" t="str">
        <f>MID(Tabla1[[#This Row],[Aplicación]],6,2)</f>
        <v>11</v>
      </c>
      <c r="T979" s="35" t="str">
        <f>VLOOKUP(Tabla1[[#This Row],[AREA]],Hoja1!A:B,2,FALSE)</f>
        <v>11. Salud pública y seguridad ciudadana</v>
      </c>
      <c r="U979" s="35" t="str">
        <f>MID(Tabla1[[#This Row],[Aplicación]],9,4)</f>
        <v>1361</v>
      </c>
      <c r="V979" s="35" t="str">
        <f>VLOOKUP(Tabla1[[#This Row],[PROGRAMA]],Hoja1!A:B,2,FALSE)</f>
        <v>1361. Prevención y extinción de incencios</v>
      </c>
      <c r="W979" s="35" t="str">
        <f>MID(Tabla1[[#This Row],[Aplicación]],14,2)</f>
        <v>22</v>
      </c>
      <c r="X979" s="35" t="str">
        <f>MID(Tabla1[[#This Row],[Aplicación]],14,6)</f>
        <v>22103</v>
      </c>
    </row>
    <row r="980" spans="1:24" x14ac:dyDescent="0.25">
      <c r="A980" s="49">
        <v>220219000132</v>
      </c>
      <c r="B980" s="50" t="s">
        <v>9</v>
      </c>
      <c r="C980" s="57">
        <v>44562</v>
      </c>
      <c r="D980" s="49">
        <v>22022000381</v>
      </c>
      <c r="E980" s="50" t="s">
        <v>1886</v>
      </c>
      <c r="F980" s="58">
        <v>1405.9</v>
      </c>
      <c r="G980" s="50" t="s">
        <v>101</v>
      </c>
      <c r="H980" s="50" t="s">
        <v>728</v>
      </c>
      <c r="I980" s="49" t="s">
        <v>107</v>
      </c>
      <c r="J980" s="50" t="s">
        <v>109</v>
      </c>
      <c r="K980" s="50" t="s">
        <v>109</v>
      </c>
      <c r="L980" s="50" t="s">
        <v>12</v>
      </c>
      <c r="M980" s="50" t="s">
        <v>10</v>
      </c>
      <c r="N980" s="50" t="s">
        <v>11</v>
      </c>
      <c r="O980" s="48" t="s">
        <v>632</v>
      </c>
      <c r="P980" s="45" t="s">
        <v>453</v>
      </c>
      <c r="Q980" s="35" t="str">
        <f>MID(Tabla1[[#This Row],[Aplicación]],14,1)</f>
        <v>2</v>
      </c>
      <c r="R980" s="35" t="s">
        <v>441</v>
      </c>
      <c r="S980" s="35" t="str">
        <f>MID(Tabla1[[#This Row],[Aplicación]],6,2)</f>
        <v>09</v>
      </c>
      <c r="T980" s="35" t="str">
        <f>VLOOKUP(Tabla1[[#This Row],[AREA]],Hoja1!A:B,2,FALSE)</f>
        <v>09. Cultura y turismo</v>
      </c>
      <c r="U980" s="35" t="str">
        <f>MID(Tabla1[[#This Row],[Aplicación]],9,4)</f>
        <v>3341</v>
      </c>
      <c r="V980" s="35" t="str">
        <f>VLOOKUP(Tabla1[[#This Row],[PROGRAMA]],Hoja1!A:B,2,FALSE)</f>
        <v>3341. Coordinación de políticas culturales</v>
      </c>
      <c r="W980" s="35" t="str">
        <f>MID(Tabla1[[#This Row],[Aplicación]],14,2)</f>
        <v>22</v>
      </c>
      <c r="X980" s="35" t="str">
        <f>MID(Tabla1[[#This Row],[Aplicación]],14,6)</f>
        <v>22799</v>
      </c>
    </row>
    <row r="981" spans="1:24" x14ac:dyDescent="0.25">
      <c r="A981" s="49">
        <v>220220012766</v>
      </c>
      <c r="B981" s="50" t="s">
        <v>447</v>
      </c>
      <c r="C981" s="57">
        <v>44644</v>
      </c>
      <c r="D981" s="49">
        <v>22022000208</v>
      </c>
      <c r="E981" s="50" t="s">
        <v>1392</v>
      </c>
      <c r="F981" s="58">
        <v>-140000</v>
      </c>
      <c r="G981" s="50" t="s">
        <v>62</v>
      </c>
      <c r="H981" s="50" t="s">
        <v>2422</v>
      </c>
      <c r="I981" s="49" t="s">
        <v>107</v>
      </c>
      <c r="J981" s="50" t="s">
        <v>109</v>
      </c>
      <c r="K981" s="50" t="s">
        <v>109</v>
      </c>
      <c r="L981" s="50" t="s">
        <v>15</v>
      </c>
      <c r="M981" s="50" t="s">
        <v>13</v>
      </c>
      <c r="N981" s="50" t="s">
        <v>14</v>
      </c>
      <c r="O981" s="48" t="s">
        <v>620</v>
      </c>
      <c r="P981" s="45" t="s">
        <v>453</v>
      </c>
      <c r="Q981" s="35" t="str">
        <f>MID(Tabla1[[#This Row],[Aplicación]],14,1)</f>
        <v>2</v>
      </c>
      <c r="R981" s="35" t="s">
        <v>441</v>
      </c>
      <c r="S981" s="35" t="str">
        <f>MID(Tabla1[[#This Row],[Aplicación]],6,2)</f>
        <v>11</v>
      </c>
      <c r="T981" s="35" t="str">
        <f>VLOOKUP(Tabla1[[#This Row],[AREA]],Hoja1!A:B,2,FALSE)</f>
        <v>11. Salud pública y seguridad ciudadana</v>
      </c>
      <c r="U981" s="35" t="str">
        <f>MID(Tabla1[[#This Row],[Aplicación]],9,4)</f>
        <v>1621</v>
      </c>
      <c r="V981" s="35" t="str">
        <f>VLOOKUP(Tabla1[[#This Row],[PROGRAMA]],Hoja1!A:B,2,FALSE)</f>
        <v>1621. Servicio de limpieza</v>
      </c>
      <c r="W981" s="35" t="str">
        <f>MID(Tabla1[[#This Row],[Aplicación]],14,2)</f>
        <v>22</v>
      </c>
      <c r="X981" s="35" t="str">
        <f>MID(Tabla1[[#This Row],[Aplicación]],14,6)</f>
        <v>22103</v>
      </c>
    </row>
    <row r="982" spans="1:24" x14ac:dyDescent="0.25">
      <c r="A982" s="49">
        <v>220219000530</v>
      </c>
      <c r="B982" s="50" t="s">
        <v>9</v>
      </c>
      <c r="C982" s="57">
        <v>44562</v>
      </c>
      <c r="D982" s="49">
        <v>22022000077</v>
      </c>
      <c r="E982" s="50" t="s">
        <v>1408</v>
      </c>
      <c r="F982" s="58">
        <v>3296.62</v>
      </c>
      <c r="G982" s="50" t="s">
        <v>1106</v>
      </c>
      <c r="H982" s="50" t="s">
        <v>2423</v>
      </c>
      <c r="I982" s="49" t="s">
        <v>107</v>
      </c>
      <c r="J982" s="50" t="s">
        <v>519</v>
      </c>
      <c r="K982" s="50" t="s">
        <v>486</v>
      </c>
      <c r="L982" s="50" t="s">
        <v>15</v>
      </c>
      <c r="M982" s="50" t="s">
        <v>13</v>
      </c>
      <c r="N982" s="50" t="s">
        <v>14</v>
      </c>
      <c r="O982" s="48" t="s">
        <v>620</v>
      </c>
      <c r="P982" s="45" t="s">
        <v>453</v>
      </c>
      <c r="Q982" s="35" t="str">
        <f>MID(Tabla1[[#This Row],[Aplicación]],14,1)</f>
        <v>2</v>
      </c>
      <c r="R982" s="35" t="s">
        <v>441</v>
      </c>
      <c r="S982" s="35" t="str">
        <f>MID(Tabla1[[#This Row],[Aplicación]],6,2)</f>
        <v>04</v>
      </c>
      <c r="T982" s="35" t="str">
        <f>VLOOKUP(Tabla1[[#This Row],[AREA]],Hoja1!A:B,2,FALSE)</f>
        <v>04. Planificación y recursos</v>
      </c>
      <c r="U982" s="35" t="str">
        <f>MID(Tabla1[[#This Row],[Aplicación]],9,4)</f>
        <v>9204</v>
      </c>
      <c r="V982" s="35" t="str">
        <f>VLOOKUP(Tabla1[[#This Row],[PROGRAMA]],Hoja1!A:B,2,FALSE)</f>
        <v>9204. Tecnologías de la información y comunicación</v>
      </c>
      <c r="W982" s="35" t="str">
        <f>MID(Tabla1[[#This Row],[Aplicación]],14,2)</f>
        <v>21</v>
      </c>
      <c r="X982" s="35" t="str">
        <f>MID(Tabla1[[#This Row],[Aplicación]],14,6)</f>
        <v>216</v>
      </c>
    </row>
    <row r="983" spans="1:24" x14ac:dyDescent="0.25">
      <c r="A983" s="49">
        <v>220210067024</v>
      </c>
      <c r="B983" s="50" t="s">
        <v>9</v>
      </c>
      <c r="C983" s="57">
        <v>44631</v>
      </c>
      <c r="D983" s="49">
        <v>22021006449</v>
      </c>
      <c r="E983" s="50" t="s">
        <v>2424</v>
      </c>
      <c r="F983" s="58">
        <v>16077.38</v>
      </c>
      <c r="G983" s="50" t="s">
        <v>189</v>
      </c>
      <c r="H983" s="50" t="s">
        <v>1178</v>
      </c>
      <c r="I983" s="49" t="s">
        <v>107</v>
      </c>
      <c r="J983" s="50" t="s">
        <v>108</v>
      </c>
      <c r="K983" s="50" t="s">
        <v>108</v>
      </c>
      <c r="L983" s="50" t="s">
        <v>12</v>
      </c>
      <c r="M983" s="50" t="s">
        <v>13</v>
      </c>
      <c r="N983" s="50" t="s">
        <v>14</v>
      </c>
      <c r="O983" s="48" t="s">
        <v>620</v>
      </c>
      <c r="P983" s="45" t="s">
        <v>453</v>
      </c>
      <c r="Q983" s="35" t="str">
        <f>MID(Tabla1[[#This Row],[Aplicación]],14,1)</f>
        <v>6</v>
      </c>
      <c r="R983" s="35" t="s">
        <v>442</v>
      </c>
      <c r="S983" s="35" t="str">
        <f>MID(Tabla1[[#This Row],[Aplicación]],6,2)</f>
        <v>11</v>
      </c>
      <c r="T983" s="35" t="str">
        <f>VLOOKUP(Tabla1[[#This Row],[AREA]],Hoja1!A:B,2,FALSE)</f>
        <v>11. Salud pública y seguridad ciudadana</v>
      </c>
      <c r="U983" s="35" t="str">
        <f>MID(Tabla1[[#This Row],[Aplicación]],9,4)</f>
        <v>1361</v>
      </c>
      <c r="V983" s="35" t="str">
        <f>VLOOKUP(Tabla1[[#This Row],[PROGRAMA]],Hoja1!A:B,2,FALSE)</f>
        <v>1361. Prevención y extinción de incencios</v>
      </c>
      <c r="W983" s="35" t="str">
        <f>MID(Tabla1[[#This Row],[Aplicación]],14,2)</f>
        <v>63</v>
      </c>
      <c r="X983" s="35" t="str">
        <f>MID(Tabla1[[#This Row],[Aplicación]],14,6)</f>
        <v>633</v>
      </c>
    </row>
    <row r="984" spans="1:24" x14ac:dyDescent="0.25">
      <c r="A984" s="49">
        <v>220219000844</v>
      </c>
      <c r="B984" s="50" t="s">
        <v>9</v>
      </c>
      <c r="C984" s="57">
        <v>44562</v>
      </c>
      <c r="D984" s="49">
        <v>22022002211</v>
      </c>
      <c r="E984" s="50" t="s">
        <v>2424</v>
      </c>
      <c r="F984" s="58">
        <v>5000</v>
      </c>
      <c r="G984" s="50" t="s">
        <v>189</v>
      </c>
      <c r="H984" s="50" t="s">
        <v>2425</v>
      </c>
      <c r="I984" s="49" t="s">
        <v>107</v>
      </c>
      <c r="J984" s="50" t="s">
        <v>108</v>
      </c>
      <c r="K984" s="50" t="s">
        <v>108</v>
      </c>
      <c r="L984" s="50" t="s">
        <v>12</v>
      </c>
      <c r="M984" s="50" t="s">
        <v>13</v>
      </c>
      <c r="N984" s="50" t="s">
        <v>14</v>
      </c>
      <c r="O984" s="48" t="s">
        <v>620</v>
      </c>
      <c r="P984" s="45" t="s">
        <v>453</v>
      </c>
      <c r="Q984" s="35" t="str">
        <f>MID(Tabla1[[#This Row],[Aplicación]],14,1)</f>
        <v>6</v>
      </c>
      <c r="R984" s="35" t="s">
        <v>442</v>
      </c>
      <c r="S984" s="35" t="str">
        <f>MID(Tabla1[[#This Row],[Aplicación]],6,2)</f>
        <v>11</v>
      </c>
      <c r="T984" s="35" t="str">
        <f>VLOOKUP(Tabla1[[#This Row],[AREA]],Hoja1!A:B,2,FALSE)</f>
        <v>11. Salud pública y seguridad ciudadana</v>
      </c>
      <c r="U984" s="35" t="str">
        <f>MID(Tabla1[[#This Row],[Aplicación]],9,4)</f>
        <v>1361</v>
      </c>
      <c r="V984" s="35" t="str">
        <f>VLOOKUP(Tabla1[[#This Row],[PROGRAMA]],Hoja1!A:B,2,FALSE)</f>
        <v>1361. Prevención y extinción de incencios</v>
      </c>
      <c r="W984" s="35" t="str">
        <f>MID(Tabla1[[#This Row],[Aplicación]],14,2)</f>
        <v>63</v>
      </c>
      <c r="X984" s="35" t="str">
        <f>MID(Tabla1[[#This Row],[Aplicación]],14,6)</f>
        <v>633</v>
      </c>
    </row>
    <row r="985" spans="1:24" x14ac:dyDescent="0.25">
      <c r="A985" s="49">
        <v>220209000405</v>
      </c>
      <c r="B985" s="50" t="s">
        <v>9</v>
      </c>
      <c r="C985" s="57">
        <v>44631</v>
      </c>
      <c r="D985" s="49">
        <v>22021000291</v>
      </c>
      <c r="E985" s="50" t="s">
        <v>2424</v>
      </c>
      <c r="F985" s="58">
        <v>809.51</v>
      </c>
      <c r="G985" s="50" t="s">
        <v>189</v>
      </c>
      <c r="H985" s="50" t="s">
        <v>708</v>
      </c>
      <c r="I985" s="49" t="s">
        <v>107</v>
      </c>
      <c r="J985" s="50" t="s">
        <v>108</v>
      </c>
      <c r="K985" s="50" t="s">
        <v>108</v>
      </c>
      <c r="L985" s="50" t="s">
        <v>12</v>
      </c>
      <c r="M985" s="50" t="s">
        <v>13</v>
      </c>
      <c r="N985" s="50" t="s">
        <v>14</v>
      </c>
      <c r="O985" s="48" t="s">
        <v>620</v>
      </c>
      <c r="P985" s="45" t="s">
        <v>453</v>
      </c>
      <c r="Q985" s="35" t="str">
        <f>MID(Tabla1[[#This Row],[Aplicación]],14,1)</f>
        <v>6</v>
      </c>
      <c r="R985" s="35" t="s">
        <v>442</v>
      </c>
      <c r="S985" s="35" t="str">
        <f>MID(Tabla1[[#This Row],[Aplicación]],6,2)</f>
        <v>11</v>
      </c>
      <c r="T985" s="35" t="str">
        <f>VLOOKUP(Tabla1[[#This Row],[AREA]],Hoja1!A:B,2,FALSE)</f>
        <v>11. Salud pública y seguridad ciudadana</v>
      </c>
      <c r="U985" s="35" t="str">
        <f>MID(Tabla1[[#This Row],[Aplicación]],9,4)</f>
        <v>1361</v>
      </c>
      <c r="V985" s="35" t="str">
        <f>VLOOKUP(Tabla1[[#This Row],[PROGRAMA]],Hoja1!A:B,2,FALSE)</f>
        <v>1361. Prevención y extinción de incencios</v>
      </c>
      <c r="W985" s="35" t="str">
        <f>MID(Tabla1[[#This Row],[Aplicación]],14,2)</f>
        <v>63</v>
      </c>
      <c r="X985" s="35" t="str">
        <f>MID(Tabla1[[#This Row],[Aplicación]],14,6)</f>
        <v>633</v>
      </c>
    </row>
    <row r="986" spans="1:24" x14ac:dyDescent="0.25">
      <c r="A986" s="49">
        <v>220220005775</v>
      </c>
      <c r="B986" s="50" t="s">
        <v>9</v>
      </c>
      <c r="C986" s="57">
        <v>44615</v>
      </c>
      <c r="D986" s="49">
        <v>22022002324</v>
      </c>
      <c r="E986" s="50" t="s">
        <v>2034</v>
      </c>
      <c r="F986" s="58">
        <v>500</v>
      </c>
      <c r="G986" s="50" t="s">
        <v>709</v>
      </c>
      <c r="H986" s="50" t="s">
        <v>2426</v>
      </c>
      <c r="I986" s="49" t="s">
        <v>107</v>
      </c>
      <c r="J986" s="50" t="s">
        <v>109</v>
      </c>
      <c r="K986" s="50" t="s">
        <v>109</v>
      </c>
      <c r="L986" s="50" t="s">
        <v>15</v>
      </c>
      <c r="M986" s="50" t="s">
        <v>10</v>
      </c>
      <c r="N986" s="50" t="s">
        <v>11</v>
      </c>
      <c r="O986" s="48" t="s">
        <v>632</v>
      </c>
      <c r="P986" s="45" t="s">
        <v>453</v>
      </c>
      <c r="Q986" s="35" t="str">
        <f>MID(Tabla1[[#This Row],[Aplicación]],14,1)</f>
        <v>2</v>
      </c>
      <c r="R986" s="35" t="s">
        <v>441</v>
      </c>
      <c r="S986" s="35" t="str">
        <f>MID(Tabla1[[#This Row],[Aplicación]],6,2)</f>
        <v>06</v>
      </c>
      <c r="T986" s="35" t="str">
        <f>VLOOKUP(Tabla1[[#This Row],[AREA]],Hoja1!A:B,2,FALSE)</f>
        <v>06. Educación, infancia, juventud e igualdad</v>
      </c>
      <c r="U986" s="35" t="str">
        <f>MID(Tabla1[[#This Row],[Aplicación]],9,4)</f>
        <v>3232</v>
      </c>
      <c r="V986" s="35" t="str">
        <f>VLOOKUP(Tabla1[[#This Row],[PROGRAMA]],Hoja1!A:B,2,FALSE)</f>
        <v>3232. Conservación y mantenimiento centros educación infantil y primaria</v>
      </c>
      <c r="W986" s="35" t="str">
        <f>MID(Tabla1[[#This Row],[Aplicación]],14,2)</f>
        <v>21</v>
      </c>
      <c r="X986" s="35" t="str">
        <f>MID(Tabla1[[#This Row],[Aplicación]],14,6)</f>
        <v>212</v>
      </c>
    </row>
    <row r="987" spans="1:24" x14ac:dyDescent="0.25">
      <c r="A987" s="49">
        <v>220220005793</v>
      </c>
      <c r="B987" s="50" t="s">
        <v>9</v>
      </c>
      <c r="C987" s="57">
        <v>44615</v>
      </c>
      <c r="D987" s="49">
        <v>22022002382</v>
      </c>
      <c r="E987" s="50" t="s">
        <v>1614</v>
      </c>
      <c r="F987" s="58">
        <v>7260</v>
      </c>
      <c r="G987" s="50" t="s">
        <v>584</v>
      </c>
      <c r="H987" s="50" t="s">
        <v>2427</v>
      </c>
      <c r="I987" s="49" t="s">
        <v>107</v>
      </c>
      <c r="J987" s="50" t="s">
        <v>128</v>
      </c>
      <c r="K987" s="50" t="s">
        <v>128</v>
      </c>
      <c r="L987" s="50" t="s">
        <v>15</v>
      </c>
      <c r="M987" s="50" t="s">
        <v>10</v>
      </c>
      <c r="N987" s="50" t="s">
        <v>11</v>
      </c>
      <c r="O987" s="48" t="s">
        <v>632</v>
      </c>
      <c r="P987" s="45" t="s">
        <v>453</v>
      </c>
      <c r="Q987" s="35" t="str">
        <f>MID(Tabla1[[#This Row],[Aplicación]],14,1)</f>
        <v>2</v>
      </c>
      <c r="R987" s="35" t="s">
        <v>441</v>
      </c>
      <c r="S987" s="35" t="str">
        <f>MID(Tabla1[[#This Row],[Aplicación]],6,2)</f>
        <v>07</v>
      </c>
      <c r="T987" s="35" t="str">
        <f>VLOOKUP(Tabla1[[#This Row],[AREA]],Hoja1!A:B,2,FALSE)</f>
        <v>07. Medio ambiente y desarrollo sostenible</v>
      </c>
      <c r="U987" s="35" t="str">
        <f>MID(Tabla1[[#This Row],[Aplicación]],9,4)</f>
        <v>1721</v>
      </c>
      <c r="V987" s="35" t="str">
        <f>VLOOKUP(Tabla1[[#This Row],[PROGRAMA]],Hoja1!A:B,2,FALSE)</f>
        <v>1721. Protección del medio ambiente</v>
      </c>
      <c r="W987" s="35" t="str">
        <f>MID(Tabla1[[#This Row],[Aplicación]],14,2)</f>
        <v>22</v>
      </c>
      <c r="X987" s="35" t="str">
        <f>MID(Tabla1[[#This Row],[Aplicación]],14,6)</f>
        <v>22199</v>
      </c>
    </row>
    <row r="988" spans="1:24" x14ac:dyDescent="0.25">
      <c r="A988" s="49">
        <v>220209000479</v>
      </c>
      <c r="B988" s="50" t="s">
        <v>9</v>
      </c>
      <c r="C988" s="57">
        <v>44562</v>
      </c>
      <c r="D988" s="49">
        <v>22022000202</v>
      </c>
      <c r="E988" s="50" t="s">
        <v>2428</v>
      </c>
      <c r="F988" s="58">
        <v>6553.33</v>
      </c>
      <c r="G988" s="50" t="s">
        <v>706</v>
      </c>
      <c r="H988" s="50" t="s">
        <v>2429</v>
      </c>
      <c r="I988" s="49" t="s">
        <v>107</v>
      </c>
      <c r="J988" s="50" t="s">
        <v>134</v>
      </c>
      <c r="K988" s="50" t="s">
        <v>134</v>
      </c>
      <c r="L988" s="50" t="s">
        <v>12</v>
      </c>
      <c r="M988" s="50" t="s">
        <v>13</v>
      </c>
      <c r="N988" s="50" t="s">
        <v>14</v>
      </c>
      <c r="O988" s="48" t="s">
        <v>620</v>
      </c>
      <c r="P988" s="45" t="s">
        <v>453</v>
      </c>
      <c r="Q988" s="35" t="str">
        <f>MID(Tabla1[[#This Row],[Aplicación]],14,1)</f>
        <v>2</v>
      </c>
      <c r="R988" s="35" t="s">
        <v>441</v>
      </c>
      <c r="S988" s="35" t="str">
        <f>MID(Tabla1[[#This Row],[Aplicación]],6,2)</f>
        <v>07</v>
      </c>
      <c r="T988" s="35" t="str">
        <f>VLOOKUP(Tabla1[[#This Row],[AREA]],Hoja1!A:B,2,FALSE)</f>
        <v>07. Medio ambiente y desarrollo sostenible</v>
      </c>
      <c r="U988" s="35" t="str">
        <f>MID(Tabla1[[#This Row],[Aplicación]],9,4)</f>
        <v>1701</v>
      </c>
      <c r="V988" s="35" t="str">
        <f>VLOOKUP(Tabla1[[#This Row],[PROGRAMA]],Hoja1!A:B,2,FALSE)</f>
        <v>1701. Dirección del área de medio ambiente</v>
      </c>
      <c r="W988" s="35" t="str">
        <f>MID(Tabla1[[#This Row],[Aplicación]],14,2)</f>
        <v>22</v>
      </c>
      <c r="X988" s="35" t="str">
        <f>MID(Tabla1[[#This Row],[Aplicación]],14,6)</f>
        <v>22799</v>
      </c>
    </row>
    <row r="989" spans="1:24" x14ac:dyDescent="0.25">
      <c r="A989" s="49">
        <v>220189000209</v>
      </c>
      <c r="B989" s="50" t="s">
        <v>9</v>
      </c>
      <c r="C989" s="57">
        <v>44562</v>
      </c>
      <c r="D989" s="49">
        <v>22022000151</v>
      </c>
      <c r="E989" s="50" t="s">
        <v>2430</v>
      </c>
      <c r="F989" s="58">
        <v>21049.67</v>
      </c>
      <c r="G989" s="50" t="s">
        <v>36</v>
      </c>
      <c r="H989" s="50" t="s">
        <v>24</v>
      </c>
      <c r="I989" s="49" t="s">
        <v>107</v>
      </c>
      <c r="J989" s="50" t="s">
        <v>108</v>
      </c>
      <c r="K989" s="50" t="s">
        <v>108</v>
      </c>
      <c r="L989" s="50" t="s">
        <v>15</v>
      </c>
      <c r="M989" s="50" t="s">
        <v>13</v>
      </c>
      <c r="N989" s="50" t="s">
        <v>14</v>
      </c>
      <c r="O989" s="48" t="s">
        <v>620</v>
      </c>
      <c r="P989" s="45" t="s">
        <v>453</v>
      </c>
      <c r="Q989" s="35" t="str">
        <f>MID(Tabla1[[#This Row],[Aplicación]],14,1)</f>
        <v>2</v>
      </c>
      <c r="R989" s="35" t="s">
        <v>441</v>
      </c>
      <c r="S989" s="35" t="str">
        <f>MID(Tabla1[[#This Row],[Aplicación]],6,2)</f>
        <v>07</v>
      </c>
      <c r="T989" s="35" t="str">
        <f>VLOOKUP(Tabla1[[#This Row],[AREA]],Hoja1!A:B,2,FALSE)</f>
        <v>07. Medio ambiente y desarrollo sostenible</v>
      </c>
      <c r="U989" s="35" t="str">
        <f>MID(Tabla1[[#This Row],[Aplicación]],9,4)</f>
        <v>1701</v>
      </c>
      <c r="V989" s="35" t="str">
        <f>VLOOKUP(Tabla1[[#This Row],[PROGRAMA]],Hoja1!A:B,2,FALSE)</f>
        <v>1701. Dirección del área de medio ambiente</v>
      </c>
      <c r="W989" s="35" t="str">
        <f>MID(Tabla1[[#This Row],[Aplicación]],14,2)</f>
        <v>22</v>
      </c>
      <c r="X989" s="35" t="str">
        <f>MID(Tabla1[[#This Row],[Aplicación]],14,6)</f>
        <v>22102</v>
      </c>
    </row>
    <row r="990" spans="1:24" x14ac:dyDescent="0.25">
      <c r="A990" s="49">
        <v>220220000121</v>
      </c>
      <c r="B990" s="50" t="s">
        <v>9</v>
      </c>
      <c r="C990" s="57">
        <v>44582</v>
      </c>
      <c r="D990" s="49">
        <v>22022001197</v>
      </c>
      <c r="E990" s="50" t="s">
        <v>1684</v>
      </c>
      <c r="F990" s="58">
        <v>4844.84</v>
      </c>
      <c r="G990" s="50" t="s">
        <v>217</v>
      </c>
      <c r="H990" s="50" t="s">
        <v>2431</v>
      </c>
      <c r="I990" s="49" t="s">
        <v>107</v>
      </c>
      <c r="J990" s="50" t="s">
        <v>109</v>
      </c>
      <c r="K990" s="50" t="s">
        <v>109</v>
      </c>
      <c r="L990" s="50" t="s">
        <v>15</v>
      </c>
      <c r="M990" s="50" t="s">
        <v>10</v>
      </c>
      <c r="N990" s="50" t="s">
        <v>11</v>
      </c>
      <c r="O990" s="48" t="s">
        <v>632</v>
      </c>
      <c r="P990" s="45" t="s">
        <v>453</v>
      </c>
      <c r="Q990" s="35" t="str">
        <f>MID(Tabla1[[#This Row],[Aplicación]],14,1)</f>
        <v>2</v>
      </c>
      <c r="R990" s="35" t="s">
        <v>441</v>
      </c>
      <c r="S990" s="35" t="str">
        <f>MID(Tabla1[[#This Row],[Aplicación]],6,2)</f>
        <v>01</v>
      </c>
      <c r="T990" s="35" t="str">
        <f>VLOOKUP(Tabla1[[#This Row],[AREA]],Hoja1!A:B,2,FALSE)</f>
        <v>01. Alcaldía</v>
      </c>
      <c r="U990" s="35" t="str">
        <f>MID(Tabla1[[#This Row],[Aplicación]],9,4)</f>
        <v>9205</v>
      </c>
      <c r="V990" s="35" t="str">
        <f>VLOOKUP(Tabla1[[#This Row],[PROGRAMA]],Hoja1!A:B,2,FALSE)</f>
        <v>9205. Imprenta municipal</v>
      </c>
      <c r="W990" s="35" t="str">
        <f>MID(Tabla1[[#This Row],[Aplicación]],14,2)</f>
        <v>22</v>
      </c>
      <c r="X990" s="35" t="str">
        <f>MID(Tabla1[[#This Row],[Aplicación]],14,6)</f>
        <v>22199</v>
      </c>
    </row>
    <row r="991" spans="1:24" x14ac:dyDescent="0.25">
      <c r="A991" s="49">
        <v>220220003451</v>
      </c>
      <c r="B991" s="50" t="s">
        <v>9</v>
      </c>
      <c r="C991" s="57">
        <v>44603</v>
      </c>
      <c r="D991" s="49">
        <v>22022002129</v>
      </c>
      <c r="E991" s="50" t="s">
        <v>1765</v>
      </c>
      <c r="F991" s="58">
        <v>2500</v>
      </c>
      <c r="G991" s="50" t="s">
        <v>217</v>
      </c>
      <c r="H991" s="50" t="s">
        <v>2432</v>
      </c>
      <c r="I991" s="49" t="s">
        <v>107</v>
      </c>
      <c r="J991" s="50" t="s">
        <v>109</v>
      </c>
      <c r="K991" s="50" t="s">
        <v>109</v>
      </c>
      <c r="L991" s="50" t="s">
        <v>15</v>
      </c>
      <c r="M991" s="50" t="s">
        <v>10</v>
      </c>
      <c r="N991" s="50" t="s">
        <v>11</v>
      </c>
      <c r="O991" s="48" t="s">
        <v>632</v>
      </c>
      <c r="P991" s="45" t="s">
        <v>453</v>
      </c>
      <c r="Q991" s="35" t="str">
        <f>MID(Tabla1[[#This Row],[Aplicación]],14,1)</f>
        <v>2</v>
      </c>
      <c r="R991" s="35" t="s">
        <v>441</v>
      </c>
      <c r="S991" s="35" t="str">
        <f>MID(Tabla1[[#This Row],[Aplicación]],6,2)</f>
        <v>11</v>
      </c>
      <c r="T991" s="35" t="str">
        <f>VLOOKUP(Tabla1[[#This Row],[AREA]],Hoja1!A:B,2,FALSE)</f>
        <v>11. Salud pública y seguridad ciudadana</v>
      </c>
      <c r="U991" s="35" t="str">
        <f>MID(Tabla1[[#This Row],[Aplicación]],9,4)</f>
        <v>1321</v>
      </c>
      <c r="V991" s="35" t="str">
        <f>VLOOKUP(Tabla1[[#This Row],[PROGRAMA]],Hoja1!A:B,2,FALSE)</f>
        <v>1321. Policía municipal</v>
      </c>
      <c r="W991" s="35" t="str">
        <f>MID(Tabla1[[#This Row],[Aplicación]],14,2)</f>
        <v>22</v>
      </c>
      <c r="X991" s="35" t="str">
        <f>MID(Tabla1[[#This Row],[Aplicación]],14,6)</f>
        <v>22699</v>
      </c>
    </row>
    <row r="992" spans="1:24" x14ac:dyDescent="0.25">
      <c r="A992" s="49">
        <v>220220008273</v>
      </c>
      <c r="B992" s="50" t="s">
        <v>9</v>
      </c>
      <c r="C992" s="57">
        <v>44630</v>
      </c>
      <c r="D992" s="49">
        <v>22022002630</v>
      </c>
      <c r="E992" s="50" t="s">
        <v>1853</v>
      </c>
      <c r="F992" s="58">
        <v>2000</v>
      </c>
      <c r="G992" s="50" t="s">
        <v>1229</v>
      </c>
      <c r="H992" s="50" t="s">
        <v>2433</v>
      </c>
      <c r="I992" s="49" t="s">
        <v>107</v>
      </c>
      <c r="J992" s="50" t="s">
        <v>1177</v>
      </c>
      <c r="K992" s="50" t="s">
        <v>141</v>
      </c>
      <c r="L992" s="50" t="s">
        <v>12</v>
      </c>
      <c r="M992" s="50" t="s">
        <v>10</v>
      </c>
      <c r="N992" s="50" t="s">
        <v>11</v>
      </c>
      <c r="O992" s="48" t="s">
        <v>632</v>
      </c>
      <c r="P992" s="45" t="s">
        <v>453</v>
      </c>
      <c r="Q992" s="35" t="str">
        <f>MID(Tabla1[[#This Row],[Aplicación]],14,1)</f>
        <v>2</v>
      </c>
      <c r="R992" s="35" t="s">
        <v>441</v>
      </c>
      <c r="S992" s="35" t="str">
        <f>MID(Tabla1[[#This Row],[Aplicación]],6,2)</f>
        <v>07</v>
      </c>
      <c r="T992" s="35" t="str">
        <f>VLOOKUP(Tabla1[[#This Row],[AREA]],Hoja1!A:B,2,FALSE)</f>
        <v>07. Medio ambiente y desarrollo sostenible</v>
      </c>
      <c r="U992" s="35" t="str">
        <f>MID(Tabla1[[#This Row],[Aplicación]],9,4)</f>
        <v>1711</v>
      </c>
      <c r="V992" s="35" t="str">
        <f>VLOOKUP(Tabla1[[#This Row],[PROGRAMA]],Hoja1!A:B,2,FALSE)</f>
        <v>1711. Parques y jardines</v>
      </c>
      <c r="W992" s="35" t="str">
        <f>MID(Tabla1[[#This Row],[Aplicación]],14,2)</f>
        <v>21</v>
      </c>
      <c r="X992" s="35" t="str">
        <f>MID(Tabla1[[#This Row],[Aplicación]],14,6)</f>
        <v>213</v>
      </c>
    </row>
    <row r="993" spans="1:24" x14ac:dyDescent="0.25">
      <c r="A993" s="49">
        <v>220220001708</v>
      </c>
      <c r="B993" s="50" t="s">
        <v>9</v>
      </c>
      <c r="C993" s="57">
        <v>44588</v>
      </c>
      <c r="D993" s="49">
        <v>22022001535</v>
      </c>
      <c r="E993" s="50" t="s">
        <v>1868</v>
      </c>
      <c r="F993" s="58">
        <v>505.78</v>
      </c>
      <c r="G993" s="50" t="s">
        <v>217</v>
      </c>
      <c r="H993" s="50" t="s">
        <v>2434</v>
      </c>
      <c r="I993" s="49" t="s">
        <v>107</v>
      </c>
      <c r="J993" s="50" t="s">
        <v>109</v>
      </c>
      <c r="K993" s="50" t="s">
        <v>109</v>
      </c>
      <c r="L993" s="50" t="s">
        <v>15</v>
      </c>
      <c r="M993" s="50" t="s">
        <v>10</v>
      </c>
      <c r="N993" s="50" t="s">
        <v>11</v>
      </c>
      <c r="O993" s="48" t="s">
        <v>632</v>
      </c>
      <c r="P993" s="45" t="s">
        <v>453</v>
      </c>
      <c r="Q993" s="35" t="str">
        <f>MID(Tabla1[[#This Row],[Aplicación]],14,1)</f>
        <v>2</v>
      </c>
      <c r="R993" s="35" t="s">
        <v>441</v>
      </c>
      <c r="S993" s="35" t="str">
        <f>MID(Tabla1[[#This Row],[Aplicación]],6,2)</f>
        <v>10</v>
      </c>
      <c r="T993" s="35" t="str">
        <f>VLOOKUP(Tabla1[[#This Row],[AREA]],Hoja1!A:B,2,FALSE)</f>
        <v>10. Servicios sociales y mediación comunitaria</v>
      </c>
      <c r="U993" s="35" t="str">
        <f>MID(Tabla1[[#This Row],[Aplicación]],9,4)</f>
        <v>2311</v>
      </c>
      <c r="V993" s="35" t="str">
        <f>VLOOKUP(Tabla1[[#This Row],[PROGRAMA]],Hoja1!A:B,2,FALSE)</f>
        <v>2311. Intervención social</v>
      </c>
      <c r="W993" s="35" t="str">
        <f>MID(Tabla1[[#This Row],[Aplicación]],14,2)</f>
        <v>22</v>
      </c>
      <c r="X993" s="35" t="str">
        <f>MID(Tabla1[[#This Row],[Aplicación]],14,6)</f>
        <v>22699</v>
      </c>
    </row>
    <row r="994" spans="1:24" x14ac:dyDescent="0.25">
      <c r="A994" s="49">
        <v>220220005812</v>
      </c>
      <c r="B994" s="50" t="s">
        <v>9</v>
      </c>
      <c r="C994" s="57">
        <v>44615</v>
      </c>
      <c r="D994" s="49">
        <v>22022002427</v>
      </c>
      <c r="E994" s="50" t="s">
        <v>1629</v>
      </c>
      <c r="F994" s="58">
        <v>2673</v>
      </c>
      <c r="G994" s="50" t="s">
        <v>69</v>
      </c>
      <c r="H994" s="50" t="s">
        <v>2435</v>
      </c>
      <c r="I994" s="49" t="s">
        <v>107</v>
      </c>
      <c r="J994" s="50" t="s">
        <v>529</v>
      </c>
      <c r="K994" s="50" t="s">
        <v>109</v>
      </c>
      <c r="L994" s="50" t="s">
        <v>12</v>
      </c>
      <c r="M994" s="50" t="s">
        <v>10</v>
      </c>
      <c r="N994" s="50" t="s">
        <v>11</v>
      </c>
      <c r="O994" s="48" t="s">
        <v>632</v>
      </c>
      <c r="P994" s="45" t="s">
        <v>453</v>
      </c>
      <c r="Q994" s="35" t="str">
        <f>MID(Tabla1[[#This Row],[Aplicación]],14,1)</f>
        <v>2</v>
      </c>
      <c r="R994" s="35" t="s">
        <v>441</v>
      </c>
      <c r="S994" s="35" t="str">
        <f>MID(Tabla1[[#This Row],[Aplicación]],6,2)</f>
        <v>06</v>
      </c>
      <c r="T994" s="35" t="str">
        <f>VLOOKUP(Tabla1[[#This Row],[AREA]],Hoja1!A:B,2,FALSE)</f>
        <v>06. Educación, infancia, juventud e igualdad</v>
      </c>
      <c r="U994" s="35" t="str">
        <f>MID(Tabla1[[#This Row],[Aplicación]],9,4)</f>
        <v>2315</v>
      </c>
      <c r="V994" s="35" t="str">
        <f>VLOOKUP(Tabla1[[#This Row],[PROGRAMA]],Hoja1!A:B,2,FALSE)</f>
        <v>2315. Políticas de Igualdad e infancia</v>
      </c>
      <c r="W994" s="35" t="str">
        <f>MID(Tabla1[[#This Row],[Aplicación]],14,2)</f>
        <v>22</v>
      </c>
      <c r="X994" s="35" t="str">
        <f>MID(Tabla1[[#This Row],[Aplicación]],14,6)</f>
        <v>22611</v>
      </c>
    </row>
    <row r="995" spans="1:24" x14ac:dyDescent="0.25">
      <c r="A995" s="49">
        <v>220209000307</v>
      </c>
      <c r="B995" s="50" t="s">
        <v>9</v>
      </c>
      <c r="C995" s="57">
        <v>44562</v>
      </c>
      <c r="D995" s="49">
        <v>22022000183</v>
      </c>
      <c r="E995" s="50" t="s">
        <v>1644</v>
      </c>
      <c r="F995" s="58">
        <v>38889.4</v>
      </c>
      <c r="G995" s="50" t="s">
        <v>592</v>
      </c>
      <c r="H995" s="50" t="s">
        <v>2436</v>
      </c>
      <c r="I995" s="49" t="s">
        <v>107</v>
      </c>
      <c r="J995" s="50" t="s">
        <v>569</v>
      </c>
      <c r="K995" s="50" t="s">
        <v>108</v>
      </c>
      <c r="L995" s="50" t="s">
        <v>15</v>
      </c>
      <c r="M995" s="50" t="s">
        <v>13</v>
      </c>
      <c r="N995" s="50" t="s">
        <v>14</v>
      </c>
      <c r="O995" s="48" t="s">
        <v>620</v>
      </c>
      <c r="P995" s="45" t="s">
        <v>453</v>
      </c>
      <c r="Q995" s="35" t="str">
        <f>MID(Tabla1[[#This Row],[Aplicación]],14,1)</f>
        <v>2</v>
      </c>
      <c r="R995" s="35" t="s">
        <v>441</v>
      </c>
      <c r="S995" s="35" t="str">
        <f>MID(Tabla1[[#This Row],[Aplicación]],6,2)</f>
        <v>11</v>
      </c>
      <c r="T995" s="35" t="str">
        <f>VLOOKUP(Tabla1[[#This Row],[AREA]],Hoja1!A:B,2,FALSE)</f>
        <v>11. Salud pública y seguridad ciudadana</v>
      </c>
      <c r="U995" s="35" t="str">
        <f>MID(Tabla1[[#This Row],[Aplicación]],9,4)</f>
        <v>1621</v>
      </c>
      <c r="V995" s="35" t="str">
        <f>VLOOKUP(Tabla1[[#This Row],[PROGRAMA]],Hoja1!A:B,2,FALSE)</f>
        <v>1621. Servicio de limpieza</v>
      </c>
      <c r="W995" s="35" t="str">
        <f>MID(Tabla1[[#This Row],[Aplicación]],14,2)</f>
        <v>21</v>
      </c>
      <c r="X995" s="35" t="str">
        <f>MID(Tabla1[[#This Row],[Aplicación]],14,6)</f>
        <v>214</v>
      </c>
    </row>
    <row r="996" spans="1:24" x14ac:dyDescent="0.25">
      <c r="A996" s="49">
        <v>220209000309</v>
      </c>
      <c r="B996" s="50" t="s">
        <v>9</v>
      </c>
      <c r="C996" s="57">
        <v>44562</v>
      </c>
      <c r="D996" s="49">
        <v>22022000184</v>
      </c>
      <c r="E996" s="50" t="s">
        <v>1434</v>
      </c>
      <c r="F996" s="58">
        <v>3025</v>
      </c>
      <c r="G996" s="50" t="s">
        <v>592</v>
      </c>
      <c r="H996" s="50" t="s">
        <v>2437</v>
      </c>
      <c r="I996" s="49" t="s">
        <v>107</v>
      </c>
      <c r="J996" s="50" t="s">
        <v>569</v>
      </c>
      <c r="K996" s="50" t="s">
        <v>108</v>
      </c>
      <c r="L996" s="50" t="s">
        <v>15</v>
      </c>
      <c r="M996" s="50" t="s">
        <v>13</v>
      </c>
      <c r="N996" s="50" t="s">
        <v>14</v>
      </c>
      <c r="O996" s="48" t="s">
        <v>620</v>
      </c>
      <c r="P996" s="45" t="s">
        <v>453</v>
      </c>
      <c r="Q996" s="35" t="str">
        <f>MID(Tabla1[[#This Row],[Aplicación]],14,1)</f>
        <v>2</v>
      </c>
      <c r="R996" s="35" t="s">
        <v>441</v>
      </c>
      <c r="S996" s="35" t="str">
        <f>MID(Tabla1[[#This Row],[Aplicación]],6,2)</f>
        <v>11</v>
      </c>
      <c r="T996" s="35" t="str">
        <f>VLOOKUP(Tabla1[[#This Row],[AREA]],Hoja1!A:B,2,FALSE)</f>
        <v>11. Salud pública y seguridad ciudadana</v>
      </c>
      <c r="U996" s="35" t="str">
        <f>MID(Tabla1[[#This Row],[Aplicación]],9,4)</f>
        <v>1631</v>
      </c>
      <c r="V996" s="35" t="str">
        <f>VLOOKUP(Tabla1[[#This Row],[PROGRAMA]],Hoja1!A:B,2,FALSE)</f>
        <v>1631. Limpieza viaria</v>
      </c>
      <c r="W996" s="35" t="str">
        <f>MID(Tabla1[[#This Row],[Aplicación]],14,2)</f>
        <v>21</v>
      </c>
      <c r="X996" s="35" t="str">
        <f>MID(Tabla1[[#This Row],[Aplicación]],14,6)</f>
        <v>214</v>
      </c>
    </row>
    <row r="997" spans="1:24" x14ac:dyDescent="0.25">
      <c r="A997" s="49">
        <v>220220010328</v>
      </c>
      <c r="B997" s="50" t="s">
        <v>9</v>
      </c>
      <c r="C997" s="57">
        <v>44641</v>
      </c>
      <c r="D997" s="49">
        <v>22022002905</v>
      </c>
      <c r="E997" s="50" t="s">
        <v>1436</v>
      </c>
      <c r="F997" s="58">
        <v>984.5</v>
      </c>
      <c r="G997" s="50" t="s">
        <v>69</v>
      </c>
      <c r="H997" s="50" t="s">
        <v>2438</v>
      </c>
      <c r="I997" s="49" t="s">
        <v>107</v>
      </c>
      <c r="J997" s="50" t="s">
        <v>529</v>
      </c>
      <c r="K997" s="50" t="s">
        <v>109</v>
      </c>
      <c r="L997" s="50" t="s">
        <v>12</v>
      </c>
      <c r="M997" s="50" t="s">
        <v>10</v>
      </c>
      <c r="N997" s="50" t="s">
        <v>11</v>
      </c>
      <c r="O997" s="48" t="s">
        <v>632</v>
      </c>
      <c r="P997" s="45" t="s">
        <v>453</v>
      </c>
      <c r="Q997" s="35" t="str">
        <f>MID(Tabla1[[#This Row],[Aplicación]],14,1)</f>
        <v>2</v>
      </c>
      <c r="R997" s="35" t="s">
        <v>441</v>
      </c>
      <c r="S997" s="35" t="str">
        <f>MID(Tabla1[[#This Row],[Aplicación]],6,2)</f>
        <v>03</v>
      </c>
      <c r="T997" s="35" t="str">
        <f>VLOOKUP(Tabla1[[#This Row],[AREA]],Hoja1!A:B,2,FALSE)</f>
        <v>03. Participación ciudadana y deportes</v>
      </c>
      <c r="U997" s="35" t="str">
        <f>MID(Tabla1[[#This Row],[Aplicación]],9,4)</f>
        <v>9241</v>
      </c>
      <c r="V997" s="35" t="str">
        <f>VLOOKUP(Tabla1[[#This Row],[PROGRAMA]],Hoja1!A:B,2,FALSE)</f>
        <v>9241. Participación ciudadana</v>
      </c>
      <c r="W997" s="35" t="str">
        <f>MID(Tabla1[[#This Row],[Aplicación]],14,2)</f>
        <v>22</v>
      </c>
      <c r="X997" s="35" t="str">
        <f>MID(Tabla1[[#This Row],[Aplicación]],14,6)</f>
        <v>22609</v>
      </c>
    </row>
    <row r="998" spans="1:24" x14ac:dyDescent="0.25">
      <c r="A998" s="49">
        <v>220220010193</v>
      </c>
      <c r="B998" s="50" t="s">
        <v>9</v>
      </c>
      <c r="C998" s="57">
        <v>44638</v>
      </c>
      <c r="D998" s="49">
        <v>22022002945</v>
      </c>
      <c r="E998" s="50" t="s">
        <v>2007</v>
      </c>
      <c r="F998" s="58">
        <v>301.47000000000003</v>
      </c>
      <c r="G998" s="50" t="s">
        <v>217</v>
      </c>
      <c r="H998" s="50" t="s">
        <v>2439</v>
      </c>
      <c r="I998" s="49" t="s">
        <v>107</v>
      </c>
      <c r="J998" s="50" t="s">
        <v>109</v>
      </c>
      <c r="K998" s="50" t="s">
        <v>109</v>
      </c>
      <c r="L998" s="50" t="s">
        <v>15</v>
      </c>
      <c r="M998" s="50" t="s">
        <v>10</v>
      </c>
      <c r="N998" s="50" t="s">
        <v>11</v>
      </c>
      <c r="O998" s="48" t="s">
        <v>632</v>
      </c>
      <c r="P998" s="45" t="s">
        <v>453</v>
      </c>
      <c r="Q998" s="35" t="str">
        <f>MID(Tabla1[[#This Row],[Aplicación]],14,1)</f>
        <v>2</v>
      </c>
      <c r="R998" s="35" t="s">
        <v>441</v>
      </c>
      <c r="S998" s="35" t="str">
        <f>MID(Tabla1[[#This Row],[Aplicación]],6,2)</f>
        <v>11</v>
      </c>
      <c r="T998" s="35" t="str">
        <f>VLOOKUP(Tabla1[[#This Row],[AREA]],Hoja1!A:B,2,FALSE)</f>
        <v>11. Salud pública y seguridad ciudadana</v>
      </c>
      <c r="U998" s="35" t="str">
        <f>MID(Tabla1[[#This Row],[Aplicación]],9,4)</f>
        <v>1621</v>
      </c>
      <c r="V998" s="35" t="str">
        <f>VLOOKUP(Tabla1[[#This Row],[PROGRAMA]],Hoja1!A:B,2,FALSE)</f>
        <v>1621. Servicio de limpieza</v>
      </c>
      <c r="W998" s="35" t="str">
        <f>MID(Tabla1[[#This Row],[Aplicación]],14,2)</f>
        <v>22</v>
      </c>
      <c r="X998" s="35" t="str">
        <f>MID(Tabla1[[#This Row],[Aplicación]],14,6)</f>
        <v>22199</v>
      </c>
    </row>
    <row r="999" spans="1:24" x14ac:dyDescent="0.25">
      <c r="A999" s="49">
        <v>220220002420</v>
      </c>
      <c r="B999" s="50" t="s">
        <v>172</v>
      </c>
      <c r="C999" s="57">
        <v>44594</v>
      </c>
      <c r="D999" s="49">
        <v>22022001172</v>
      </c>
      <c r="E999" s="50" t="s">
        <v>1579</v>
      </c>
      <c r="F999" s="58">
        <v>20.03</v>
      </c>
      <c r="G999" s="50" t="s">
        <v>219</v>
      </c>
      <c r="H999" s="50" t="s">
        <v>2440</v>
      </c>
      <c r="I999" s="49" t="s">
        <v>173</v>
      </c>
      <c r="J999" s="50" t="s">
        <v>109</v>
      </c>
      <c r="K999" s="50" t="s">
        <v>109</v>
      </c>
      <c r="L999" s="50" t="s">
        <v>15</v>
      </c>
      <c r="M999" s="50" t="s">
        <v>13</v>
      </c>
      <c r="N999" s="50" t="s">
        <v>14</v>
      </c>
      <c r="O999" s="48" t="s">
        <v>631</v>
      </c>
      <c r="P999" s="45" t="s">
        <v>453</v>
      </c>
      <c r="Q999" s="35" t="str">
        <f>MID(Tabla1[[#This Row],[Aplicación]],14,1)</f>
        <v>2</v>
      </c>
      <c r="R999" s="35" t="s">
        <v>441</v>
      </c>
      <c r="S999" s="35" t="str">
        <f>MID(Tabla1[[#This Row],[Aplicación]],6,2)</f>
        <v>10</v>
      </c>
      <c r="T999" s="35" t="str">
        <f>VLOOKUP(Tabla1[[#This Row],[AREA]],Hoja1!A:B,2,FALSE)</f>
        <v>10. Servicios sociales y mediación comunitaria</v>
      </c>
      <c r="U999" s="35" t="str">
        <f>MID(Tabla1[[#This Row],[Aplicación]],9,4)</f>
        <v>2412</v>
      </c>
      <c r="V999" s="35" t="str">
        <f>VLOOKUP(Tabla1[[#This Row],[PROGRAMA]],Hoja1!A:B,2,FALSE)</f>
        <v>2412. Formación para el empleo</v>
      </c>
      <c r="W999" s="35" t="str">
        <f>MID(Tabla1[[#This Row],[Aplicación]],14,2)</f>
        <v>22</v>
      </c>
      <c r="X999" s="35" t="str">
        <f>MID(Tabla1[[#This Row],[Aplicación]],14,6)</f>
        <v>22199</v>
      </c>
    </row>
    <row r="1000" spans="1:24" x14ac:dyDescent="0.25">
      <c r="A1000" s="49">
        <v>220220002448</v>
      </c>
      <c r="B1000" s="50" t="s">
        <v>172</v>
      </c>
      <c r="C1000" s="57">
        <v>44594</v>
      </c>
      <c r="D1000" s="49">
        <v>22022001172</v>
      </c>
      <c r="E1000" s="50" t="s">
        <v>1579</v>
      </c>
      <c r="F1000" s="58">
        <v>68.930000000000007</v>
      </c>
      <c r="G1000" s="50" t="s">
        <v>219</v>
      </c>
      <c r="H1000" s="50" t="s">
        <v>2441</v>
      </c>
      <c r="I1000" s="49" t="s">
        <v>173</v>
      </c>
      <c r="J1000" s="50" t="s">
        <v>109</v>
      </c>
      <c r="K1000" s="50" t="s">
        <v>109</v>
      </c>
      <c r="L1000" s="50" t="s">
        <v>15</v>
      </c>
      <c r="M1000" s="50" t="s">
        <v>13</v>
      </c>
      <c r="N1000" s="50" t="s">
        <v>14</v>
      </c>
      <c r="O1000" s="48" t="s">
        <v>631</v>
      </c>
      <c r="P1000" s="45" t="s">
        <v>453</v>
      </c>
      <c r="Q1000" s="35" t="str">
        <f>MID(Tabla1[[#This Row],[Aplicación]],14,1)</f>
        <v>2</v>
      </c>
      <c r="R1000" s="35" t="s">
        <v>441</v>
      </c>
      <c r="S1000" s="35" t="str">
        <f>MID(Tabla1[[#This Row],[Aplicación]],6,2)</f>
        <v>10</v>
      </c>
      <c r="T1000" s="35" t="str">
        <f>VLOOKUP(Tabla1[[#This Row],[AREA]],Hoja1!A:B,2,FALSE)</f>
        <v>10. Servicios sociales y mediación comunitaria</v>
      </c>
      <c r="U1000" s="35" t="str">
        <f>MID(Tabla1[[#This Row],[Aplicación]],9,4)</f>
        <v>2412</v>
      </c>
      <c r="V1000" s="35" t="str">
        <f>VLOOKUP(Tabla1[[#This Row],[PROGRAMA]],Hoja1!A:B,2,FALSE)</f>
        <v>2412. Formación para el empleo</v>
      </c>
      <c r="W1000" s="35" t="str">
        <f>MID(Tabla1[[#This Row],[Aplicación]],14,2)</f>
        <v>22</v>
      </c>
      <c r="X1000" s="35" t="str">
        <f>MID(Tabla1[[#This Row],[Aplicación]],14,6)</f>
        <v>22199</v>
      </c>
    </row>
    <row r="1001" spans="1:24" x14ac:dyDescent="0.25">
      <c r="A1001" s="49">
        <v>220220002450</v>
      </c>
      <c r="B1001" s="50" t="s">
        <v>172</v>
      </c>
      <c r="C1001" s="57">
        <v>44594</v>
      </c>
      <c r="D1001" s="49">
        <v>22022001170</v>
      </c>
      <c r="E1001" s="50" t="s">
        <v>1502</v>
      </c>
      <c r="F1001" s="58">
        <v>9.98</v>
      </c>
      <c r="G1001" s="50" t="s">
        <v>219</v>
      </c>
      <c r="H1001" s="50" t="s">
        <v>2442</v>
      </c>
      <c r="I1001" s="49" t="s">
        <v>173</v>
      </c>
      <c r="J1001" s="50" t="s">
        <v>109</v>
      </c>
      <c r="K1001" s="50" t="s">
        <v>109</v>
      </c>
      <c r="L1001" s="50" t="s">
        <v>15</v>
      </c>
      <c r="M1001" s="50" t="s">
        <v>13</v>
      </c>
      <c r="N1001" s="50" t="s">
        <v>14</v>
      </c>
      <c r="O1001" s="48" t="s">
        <v>631</v>
      </c>
      <c r="P1001" s="45" t="s">
        <v>453</v>
      </c>
      <c r="Q1001" s="35" t="str">
        <f>MID(Tabla1[[#This Row],[Aplicación]],14,1)</f>
        <v>2</v>
      </c>
      <c r="R1001" s="35" t="s">
        <v>441</v>
      </c>
      <c r="S1001" s="35" t="str">
        <f>MID(Tabla1[[#This Row],[Aplicación]],6,2)</f>
        <v>10</v>
      </c>
      <c r="T1001" s="35" t="str">
        <f>VLOOKUP(Tabla1[[#This Row],[AREA]],Hoja1!A:B,2,FALSE)</f>
        <v>10. Servicios sociales y mediación comunitaria</v>
      </c>
      <c r="U1001" s="35" t="str">
        <f>MID(Tabla1[[#This Row],[Aplicación]],9,4)</f>
        <v>2412</v>
      </c>
      <c r="V1001" s="35" t="str">
        <f>VLOOKUP(Tabla1[[#This Row],[PROGRAMA]],Hoja1!A:B,2,FALSE)</f>
        <v>2412. Formación para el empleo</v>
      </c>
      <c r="W1001" s="35" t="str">
        <f>MID(Tabla1[[#This Row],[Aplicación]],14,2)</f>
        <v>21</v>
      </c>
      <c r="X1001" s="35" t="str">
        <f>MID(Tabla1[[#This Row],[Aplicación]],14,6)</f>
        <v>213</v>
      </c>
    </row>
    <row r="1002" spans="1:24" x14ac:dyDescent="0.25">
      <c r="A1002" s="49">
        <v>220220002452</v>
      </c>
      <c r="B1002" s="50" t="s">
        <v>172</v>
      </c>
      <c r="C1002" s="57">
        <v>44594</v>
      </c>
      <c r="D1002" s="49">
        <v>22022001170</v>
      </c>
      <c r="E1002" s="50" t="s">
        <v>1502</v>
      </c>
      <c r="F1002" s="58">
        <v>37.200000000000003</v>
      </c>
      <c r="G1002" s="50" t="s">
        <v>219</v>
      </c>
      <c r="H1002" s="50" t="s">
        <v>2443</v>
      </c>
      <c r="I1002" s="49" t="s">
        <v>173</v>
      </c>
      <c r="J1002" s="50" t="s">
        <v>109</v>
      </c>
      <c r="K1002" s="50" t="s">
        <v>109</v>
      </c>
      <c r="L1002" s="50" t="s">
        <v>15</v>
      </c>
      <c r="M1002" s="50" t="s">
        <v>13</v>
      </c>
      <c r="N1002" s="50" t="s">
        <v>14</v>
      </c>
      <c r="O1002" s="48" t="s">
        <v>631</v>
      </c>
      <c r="P1002" s="45" t="s">
        <v>453</v>
      </c>
      <c r="Q1002" s="35" t="str">
        <f>MID(Tabla1[[#This Row],[Aplicación]],14,1)</f>
        <v>2</v>
      </c>
      <c r="R1002" s="35" t="s">
        <v>441</v>
      </c>
      <c r="S1002" s="35" t="str">
        <f>MID(Tabla1[[#This Row],[Aplicación]],6,2)</f>
        <v>10</v>
      </c>
      <c r="T1002" s="35" t="str">
        <f>VLOOKUP(Tabla1[[#This Row],[AREA]],Hoja1!A:B,2,FALSE)</f>
        <v>10. Servicios sociales y mediación comunitaria</v>
      </c>
      <c r="U1002" s="35" t="str">
        <f>MID(Tabla1[[#This Row],[Aplicación]],9,4)</f>
        <v>2412</v>
      </c>
      <c r="V1002" s="35" t="str">
        <f>VLOOKUP(Tabla1[[#This Row],[PROGRAMA]],Hoja1!A:B,2,FALSE)</f>
        <v>2412. Formación para el empleo</v>
      </c>
      <c r="W1002" s="35" t="str">
        <f>MID(Tabla1[[#This Row],[Aplicación]],14,2)</f>
        <v>21</v>
      </c>
      <c r="X1002" s="35" t="str">
        <f>MID(Tabla1[[#This Row],[Aplicación]],14,6)</f>
        <v>213</v>
      </c>
    </row>
    <row r="1003" spans="1:24" x14ac:dyDescent="0.25">
      <c r="A1003" s="49">
        <v>220220002454</v>
      </c>
      <c r="B1003" s="50" t="s">
        <v>172</v>
      </c>
      <c r="C1003" s="57">
        <v>44594</v>
      </c>
      <c r="D1003" s="49">
        <v>22022001172</v>
      </c>
      <c r="E1003" s="50" t="s">
        <v>1579</v>
      </c>
      <c r="F1003" s="58">
        <v>5.64</v>
      </c>
      <c r="G1003" s="50" t="s">
        <v>219</v>
      </c>
      <c r="H1003" s="50" t="s">
        <v>2444</v>
      </c>
      <c r="I1003" s="49" t="s">
        <v>173</v>
      </c>
      <c r="J1003" s="50" t="s">
        <v>109</v>
      </c>
      <c r="K1003" s="50" t="s">
        <v>109</v>
      </c>
      <c r="L1003" s="50" t="s">
        <v>15</v>
      </c>
      <c r="M1003" s="50" t="s">
        <v>13</v>
      </c>
      <c r="N1003" s="50" t="s">
        <v>14</v>
      </c>
      <c r="O1003" s="48" t="s">
        <v>631</v>
      </c>
      <c r="P1003" s="45" t="s">
        <v>453</v>
      </c>
      <c r="Q1003" s="35" t="str">
        <f>MID(Tabla1[[#This Row],[Aplicación]],14,1)</f>
        <v>2</v>
      </c>
      <c r="R1003" s="35" t="s">
        <v>441</v>
      </c>
      <c r="S1003" s="35" t="str">
        <f>MID(Tabla1[[#This Row],[Aplicación]],6,2)</f>
        <v>10</v>
      </c>
      <c r="T1003" s="35" t="str">
        <f>VLOOKUP(Tabla1[[#This Row],[AREA]],Hoja1!A:B,2,FALSE)</f>
        <v>10. Servicios sociales y mediación comunitaria</v>
      </c>
      <c r="U1003" s="35" t="str">
        <f>MID(Tabla1[[#This Row],[Aplicación]],9,4)</f>
        <v>2412</v>
      </c>
      <c r="V1003" s="35" t="str">
        <f>VLOOKUP(Tabla1[[#This Row],[PROGRAMA]],Hoja1!A:B,2,FALSE)</f>
        <v>2412. Formación para el empleo</v>
      </c>
      <c r="W1003" s="35" t="str">
        <f>MID(Tabla1[[#This Row],[Aplicación]],14,2)</f>
        <v>22</v>
      </c>
      <c r="X1003" s="35" t="str">
        <f>MID(Tabla1[[#This Row],[Aplicación]],14,6)</f>
        <v>22199</v>
      </c>
    </row>
    <row r="1004" spans="1:24" x14ac:dyDescent="0.25">
      <c r="A1004" s="49">
        <v>220220002502</v>
      </c>
      <c r="B1004" s="50" t="s">
        <v>172</v>
      </c>
      <c r="C1004" s="57">
        <v>44594</v>
      </c>
      <c r="D1004" s="49">
        <v>22022001626</v>
      </c>
      <c r="E1004" s="50" t="s">
        <v>1635</v>
      </c>
      <c r="F1004" s="58">
        <v>9.26</v>
      </c>
      <c r="G1004" s="50" t="s">
        <v>219</v>
      </c>
      <c r="H1004" s="50" t="s">
        <v>2445</v>
      </c>
      <c r="I1004" s="49" t="s">
        <v>173</v>
      </c>
      <c r="J1004" s="50" t="s">
        <v>109</v>
      </c>
      <c r="K1004" s="50" t="s">
        <v>109</v>
      </c>
      <c r="L1004" s="50" t="s">
        <v>15</v>
      </c>
      <c r="M1004" s="50" t="s">
        <v>13</v>
      </c>
      <c r="N1004" s="50" t="s">
        <v>16</v>
      </c>
      <c r="O1004" s="48" t="s">
        <v>631</v>
      </c>
      <c r="P1004" s="45" t="s">
        <v>453</v>
      </c>
      <c r="Q1004" s="35" t="str">
        <f>MID(Tabla1[[#This Row],[Aplicación]],14,1)</f>
        <v>2</v>
      </c>
      <c r="R1004" s="35" t="s">
        <v>441</v>
      </c>
      <c r="S1004" s="35" t="str">
        <f>MID(Tabla1[[#This Row],[Aplicación]],6,2)</f>
        <v>03</v>
      </c>
      <c r="T1004" s="35" t="str">
        <f>VLOOKUP(Tabla1[[#This Row],[AREA]],Hoja1!A:B,2,FALSE)</f>
        <v>03. Participación ciudadana y deportes</v>
      </c>
      <c r="U1004" s="35" t="str">
        <f>MID(Tabla1[[#This Row],[Aplicación]],9,4)</f>
        <v>9241</v>
      </c>
      <c r="V1004" s="35" t="str">
        <f>VLOOKUP(Tabla1[[#This Row],[PROGRAMA]],Hoja1!A:B,2,FALSE)</f>
        <v>9241. Participación ciudadana</v>
      </c>
      <c r="W1004" s="35" t="str">
        <f>MID(Tabla1[[#This Row],[Aplicación]],14,2)</f>
        <v>21</v>
      </c>
      <c r="X1004" s="35" t="str">
        <f>MID(Tabla1[[#This Row],[Aplicación]],14,6)</f>
        <v>212</v>
      </c>
    </row>
    <row r="1005" spans="1:24" x14ac:dyDescent="0.25">
      <c r="A1005" s="49">
        <v>220220003558</v>
      </c>
      <c r="B1005" s="50" t="s">
        <v>172</v>
      </c>
      <c r="C1005" s="57">
        <v>44607</v>
      </c>
      <c r="D1005" s="49">
        <v>22022001640</v>
      </c>
      <c r="E1005" s="50" t="s">
        <v>1719</v>
      </c>
      <c r="F1005" s="58">
        <v>11.46</v>
      </c>
      <c r="G1005" s="50" t="s">
        <v>219</v>
      </c>
      <c r="H1005" s="50" t="s">
        <v>2446</v>
      </c>
      <c r="I1005" s="49" t="s">
        <v>173</v>
      </c>
      <c r="J1005" s="50" t="s">
        <v>109</v>
      </c>
      <c r="K1005" s="50" t="s">
        <v>109</v>
      </c>
      <c r="L1005" s="50" t="s">
        <v>15</v>
      </c>
      <c r="M1005" s="50" t="s">
        <v>13</v>
      </c>
      <c r="N1005" s="50" t="s">
        <v>16</v>
      </c>
      <c r="O1005" s="48" t="s">
        <v>631</v>
      </c>
      <c r="P1005" s="45" t="s">
        <v>453</v>
      </c>
      <c r="Q1005" s="35" t="str">
        <f>MID(Tabla1[[#This Row],[Aplicación]],14,1)</f>
        <v>2</v>
      </c>
      <c r="R1005" s="35" t="s">
        <v>441</v>
      </c>
      <c r="S1005" s="35" t="str">
        <f>MID(Tabla1[[#This Row],[Aplicación]],6,2)</f>
        <v>06</v>
      </c>
      <c r="T1005" s="35" t="str">
        <f>VLOOKUP(Tabla1[[#This Row],[AREA]],Hoja1!A:B,2,FALSE)</f>
        <v>06. Educación, infancia, juventud e igualdad</v>
      </c>
      <c r="U1005" s="35" t="str">
        <f>MID(Tabla1[[#This Row],[Aplicación]],9,4)</f>
        <v>3231</v>
      </c>
      <c r="V1005" s="35" t="str">
        <f>VLOOKUP(Tabla1[[#This Row],[PROGRAMA]],Hoja1!A:B,2,FALSE)</f>
        <v>3231. Escuelas infantiles</v>
      </c>
      <c r="W1005" s="35" t="str">
        <f>MID(Tabla1[[#This Row],[Aplicación]],14,2)</f>
        <v>21</v>
      </c>
      <c r="X1005" s="35" t="str">
        <f>MID(Tabla1[[#This Row],[Aplicación]],14,6)</f>
        <v>212</v>
      </c>
    </row>
    <row r="1006" spans="1:24" x14ac:dyDescent="0.25">
      <c r="A1006" s="49">
        <v>220220003560</v>
      </c>
      <c r="B1006" s="50" t="s">
        <v>172</v>
      </c>
      <c r="C1006" s="57">
        <v>44607</v>
      </c>
      <c r="D1006" s="49">
        <v>22022001640</v>
      </c>
      <c r="E1006" s="50" t="s">
        <v>1719</v>
      </c>
      <c r="F1006" s="58">
        <v>581.53</v>
      </c>
      <c r="G1006" s="50" t="s">
        <v>219</v>
      </c>
      <c r="H1006" s="50" t="s">
        <v>2447</v>
      </c>
      <c r="I1006" s="49" t="s">
        <v>173</v>
      </c>
      <c r="J1006" s="50" t="s">
        <v>109</v>
      </c>
      <c r="K1006" s="50" t="s">
        <v>109</v>
      </c>
      <c r="L1006" s="50" t="s">
        <v>15</v>
      </c>
      <c r="M1006" s="50" t="s">
        <v>13</v>
      </c>
      <c r="N1006" s="50" t="s">
        <v>16</v>
      </c>
      <c r="O1006" s="48" t="s">
        <v>631</v>
      </c>
      <c r="P1006" s="45" t="s">
        <v>453</v>
      </c>
      <c r="Q1006" s="35" t="str">
        <f>MID(Tabla1[[#This Row],[Aplicación]],14,1)</f>
        <v>2</v>
      </c>
      <c r="R1006" s="35" t="s">
        <v>441</v>
      </c>
      <c r="S1006" s="35" t="str">
        <f>MID(Tabla1[[#This Row],[Aplicación]],6,2)</f>
        <v>06</v>
      </c>
      <c r="T1006" s="35" t="str">
        <f>VLOOKUP(Tabla1[[#This Row],[AREA]],Hoja1!A:B,2,FALSE)</f>
        <v>06. Educación, infancia, juventud e igualdad</v>
      </c>
      <c r="U1006" s="35" t="str">
        <f>MID(Tabla1[[#This Row],[Aplicación]],9,4)</f>
        <v>3231</v>
      </c>
      <c r="V1006" s="35" t="str">
        <f>VLOOKUP(Tabla1[[#This Row],[PROGRAMA]],Hoja1!A:B,2,FALSE)</f>
        <v>3231. Escuelas infantiles</v>
      </c>
      <c r="W1006" s="35" t="str">
        <f>MID(Tabla1[[#This Row],[Aplicación]],14,2)</f>
        <v>21</v>
      </c>
      <c r="X1006" s="35" t="str">
        <f>MID(Tabla1[[#This Row],[Aplicación]],14,6)</f>
        <v>212</v>
      </c>
    </row>
    <row r="1007" spans="1:24" x14ac:dyDescent="0.25">
      <c r="A1007" s="49">
        <v>220220003739</v>
      </c>
      <c r="B1007" s="50" t="s">
        <v>172</v>
      </c>
      <c r="C1007" s="57">
        <v>44608</v>
      </c>
      <c r="D1007" s="49">
        <v>22022001172</v>
      </c>
      <c r="E1007" s="50" t="s">
        <v>1579</v>
      </c>
      <c r="F1007" s="58">
        <v>43.75</v>
      </c>
      <c r="G1007" s="50" t="s">
        <v>219</v>
      </c>
      <c r="H1007" s="50" t="s">
        <v>2448</v>
      </c>
      <c r="I1007" s="49" t="s">
        <v>173</v>
      </c>
      <c r="J1007" s="50" t="s">
        <v>109</v>
      </c>
      <c r="K1007" s="50" t="s">
        <v>109</v>
      </c>
      <c r="L1007" s="50" t="s">
        <v>15</v>
      </c>
      <c r="M1007" s="50" t="s">
        <v>13</v>
      </c>
      <c r="N1007" s="50" t="s">
        <v>14</v>
      </c>
      <c r="O1007" s="48" t="s">
        <v>631</v>
      </c>
      <c r="P1007" s="45" t="s">
        <v>453</v>
      </c>
      <c r="Q1007" s="35" t="str">
        <f>MID(Tabla1[[#This Row],[Aplicación]],14,1)</f>
        <v>2</v>
      </c>
      <c r="R1007" s="35" t="s">
        <v>441</v>
      </c>
      <c r="S1007" s="35" t="str">
        <f>MID(Tabla1[[#This Row],[Aplicación]],6,2)</f>
        <v>10</v>
      </c>
      <c r="T1007" s="35" t="str">
        <f>VLOOKUP(Tabla1[[#This Row],[AREA]],Hoja1!A:B,2,FALSE)</f>
        <v>10. Servicios sociales y mediación comunitaria</v>
      </c>
      <c r="U1007" s="35" t="str">
        <f>MID(Tabla1[[#This Row],[Aplicación]],9,4)</f>
        <v>2412</v>
      </c>
      <c r="V1007" s="35" t="str">
        <f>VLOOKUP(Tabla1[[#This Row],[PROGRAMA]],Hoja1!A:B,2,FALSE)</f>
        <v>2412. Formación para el empleo</v>
      </c>
      <c r="W1007" s="35" t="str">
        <f>MID(Tabla1[[#This Row],[Aplicación]],14,2)</f>
        <v>22</v>
      </c>
      <c r="X1007" s="35" t="str">
        <f>MID(Tabla1[[#This Row],[Aplicación]],14,6)</f>
        <v>22199</v>
      </c>
    </row>
    <row r="1008" spans="1:24" x14ac:dyDescent="0.25">
      <c r="A1008" s="49">
        <v>220220003742</v>
      </c>
      <c r="B1008" s="50" t="s">
        <v>172</v>
      </c>
      <c r="C1008" s="57">
        <v>44608</v>
      </c>
      <c r="D1008" s="49">
        <v>22022001172</v>
      </c>
      <c r="E1008" s="50" t="s">
        <v>1579</v>
      </c>
      <c r="F1008" s="58">
        <v>12.26</v>
      </c>
      <c r="G1008" s="50" t="s">
        <v>219</v>
      </c>
      <c r="H1008" s="50" t="s">
        <v>2449</v>
      </c>
      <c r="I1008" s="49" t="s">
        <v>173</v>
      </c>
      <c r="J1008" s="50" t="s">
        <v>109</v>
      </c>
      <c r="K1008" s="50" t="s">
        <v>109</v>
      </c>
      <c r="L1008" s="50" t="s">
        <v>15</v>
      </c>
      <c r="M1008" s="50" t="s">
        <v>13</v>
      </c>
      <c r="N1008" s="50" t="s">
        <v>14</v>
      </c>
      <c r="O1008" s="48" t="s">
        <v>631</v>
      </c>
      <c r="P1008" s="45" t="s">
        <v>453</v>
      </c>
      <c r="Q1008" s="35" t="str">
        <f>MID(Tabla1[[#This Row],[Aplicación]],14,1)</f>
        <v>2</v>
      </c>
      <c r="R1008" s="35" t="s">
        <v>441</v>
      </c>
      <c r="S1008" s="35" t="str">
        <f>MID(Tabla1[[#This Row],[Aplicación]],6,2)</f>
        <v>10</v>
      </c>
      <c r="T1008" s="35" t="str">
        <f>VLOOKUP(Tabla1[[#This Row],[AREA]],Hoja1!A:B,2,FALSE)</f>
        <v>10. Servicios sociales y mediación comunitaria</v>
      </c>
      <c r="U1008" s="35" t="str">
        <f>MID(Tabla1[[#This Row],[Aplicación]],9,4)</f>
        <v>2412</v>
      </c>
      <c r="V1008" s="35" t="str">
        <f>VLOOKUP(Tabla1[[#This Row],[PROGRAMA]],Hoja1!A:B,2,FALSE)</f>
        <v>2412. Formación para el empleo</v>
      </c>
      <c r="W1008" s="35" t="str">
        <f>MID(Tabla1[[#This Row],[Aplicación]],14,2)</f>
        <v>22</v>
      </c>
      <c r="X1008" s="35" t="str">
        <f>MID(Tabla1[[#This Row],[Aplicación]],14,6)</f>
        <v>22199</v>
      </c>
    </row>
    <row r="1009" spans="1:24" x14ac:dyDescent="0.25">
      <c r="A1009" s="49">
        <v>220220003834</v>
      </c>
      <c r="B1009" s="50" t="s">
        <v>172</v>
      </c>
      <c r="C1009" s="57">
        <v>44608</v>
      </c>
      <c r="D1009" s="49">
        <v>22022001641</v>
      </c>
      <c r="E1009" s="50" t="s">
        <v>2034</v>
      </c>
      <c r="F1009" s="58">
        <v>211.15</v>
      </c>
      <c r="G1009" s="50" t="s">
        <v>219</v>
      </c>
      <c r="H1009" s="50" t="s">
        <v>2450</v>
      </c>
      <c r="I1009" s="49" t="s">
        <v>173</v>
      </c>
      <c r="J1009" s="50" t="s">
        <v>109</v>
      </c>
      <c r="K1009" s="50" t="s">
        <v>109</v>
      </c>
      <c r="L1009" s="50" t="s">
        <v>15</v>
      </c>
      <c r="M1009" s="50" t="s">
        <v>13</v>
      </c>
      <c r="N1009" s="50" t="s">
        <v>14</v>
      </c>
      <c r="O1009" s="48" t="s">
        <v>631</v>
      </c>
      <c r="P1009" s="45" t="s">
        <v>453</v>
      </c>
      <c r="Q1009" s="35" t="str">
        <f>MID(Tabla1[[#This Row],[Aplicación]],14,1)</f>
        <v>2</v>
      </c>
      <c r="R1009" s="35" t="s">
        <v>441</v>
      </c>
      <c r="S1009" s="35" t="str">
        <f>MID(Tabla1[[#This Row],[Aplicación]],6,2)</f>
        <v>06</v>
      </c>
      <c r="T1009" s="35" t="str">
        <f>VLOOKUP(Tabla1[[#This Row],[AREA]],Hoja1!A:B,2,FALSE)</f>
        <v>06. Educación, infancia, juventud e igualdad</v>
      </c>
      <c r="U1009" s="35" t="str">
        <f>MID(Tabla1[[#This Row],[Aplicación]],9,4)</f>
        <v>3232</v>
      </c>
      <c r="V1009" s="35" t="str">
        <f>VLOOKUP(Tabla1[[#This Row],[PROGRAMA]],Hoja1!A:B,2,FALSE)</f>
        <v>3232. Conservación y mantenimiento centros educación infantil y primaria</v>
      </c>
      <c r="W1009" s="35" t="str">
        <f>MID(Tabla1[[#This Row],[Aplicación]],14,2)</f>
        <v>21</v>
      </c>
      <c r="X1009" s="35" t="str">
        <f>MID(Tabla1[[#This Row],[Aplicación]],14,6)</f>
        <v>212</v>
      </c>
    </row>
    <row r="1010" spans="1:24" x14ac:dyDescent="0.25">
      <c r="A1010" s="49">
        <v>220220003836</v>
      </c>
      <c r="B1010" s="50" t="s">
        <v>172</v>
      </c>
      <c r="C1010" s="57">
        <v>44608</v>
      </c>
      <c r="D1010" s="49">
        <v>22022001641</v>
      </c>
      <c r="E1010" s="50" t="s">
        <v>2034</v>
      </c>
      <c r="F1010" s="58">
        <v>42.23</v>
      </c>
      <c r="G1010" s="50" t="s">
        <v>219</v>
      </c>
      <c r="H1010" s="50" t="s">
        <v>2451</v>
      </c>
      <c r="I1010" s="49" t="s">
        <v>173</v>
      </c>
      <c r="J1010" s="50" t="s">
        <v>109</v>
      </c>
      <c r="K1010" s="50" t="s">
        <v>109</v>
      </c>
      <c r="L1010" s="50" t="s">
        <v>15</v>
      </c>
      <c r="M1010" s="50" t="s">
        <v>13</v>
      </c>
      <c r="N1010" s="50" t="s">
        <v>14</v>
      </c>
      <c r="O1010" s="48" t="s">
        <v>631</v>
      </c>
      <c r="P1010" s="45" t="s">
        <v>453</v>
      </c>
      <c r="Q1010" s="35" t="str">
        <f>MID(Tabla1[[#This Row],[Aplicación]],14,1)</f>
        <v>2</v>
      </c>
      <c r="R1010" s="35" t="s">
        <v>441</v>
      </c>
      <c r="S1010" s="35" t="str">
        <f>MID(Tabla1[[#This Row],[Aplicación]],6,2)</f>
        <v>06</v>
      </c>
      <c r="T1010" s="35" t="str">
        <f>VLOOKUP(Tabla1[[#This Row],[AREA]],Hoja1!A:B,2,FALSE)</f>
        <v>06. Educación, infancia, juventud e igualdad</v>
      </c>
      <c r="U1010" s="35" t="str">
        <f>MID(Tabla1[[#This Row],[Aplicación]],9,4)</f>
        <v>3232</v>
      </c>
      <c r="V1010" s="35" t="str">
        <f>VLOOKUP(Tabla1[[#This Row],[PROGRAMA]],Hoja1!A:B,2,FALSE)</f>
        <v>3232. Conservación y mantenimiento centros educación infantil y primaria</v>
      </c>
      <c r="W1010" s="35" t="str">
        <f>MID(Tabla1[[#This Row],[Aplicación]],14,2)</f>
        <v>21</v>
      </c>
      <c r="X1010" s="35" t="str">
        <f>MID(Tabla1[[#This Row],[Aplicación]],14,6)</f>
        <v>212</v>
      </c>
    </row>
    <row r="1011" spans="1:24" x14ac:dyDescent="0.25">
      <c r="A1011" s="49">
        <v>220220003838</v>
      </c>
      <c r="B1011" s="50" t="s">
        <v>172</v>
      </c>
      <c r="C1011" s="57">
        <v>44608</v>
      </c>
      <c r="D1011" s="49">
        <v>22022001641</v>
      </c>
      <c r="E1011" s="50" t="s">
        <v>2034</v>
      </c>
      <c r="F1011" s="58">
        <v>211.15</v>
      </c>
      <c r="G1011" s="50" t="s">
        <v>219</v>
      </c>
      <c r="H1011" s="50" t="s">
        <v>2452</v>
      </c>
      <c r="I1011" s="49" t="s">
        <v>173</v>
      </c>
      <c r="J1011" s="50" t="s">
        <v>109</v>
      </c>
      <c r="K1011" s="50" t="s">
        <v>109</v>
      </c>
      <c r="L1011" s="50" t="s">
        <v>15</v>
      </c>
      <c r="M1011" s="50" t="s">
        <v>13</v>
      </c>
      <c r="N1011" s="50" t="s">
        <v>14</v>
      </c>
      <c r="O1011" s="48" t="s">
        <v>631</v>
      </c>
      <c r="P1011" s="45" t="s">
        <v>453</v>
      </c>
      <c r="Q1011" s="35" t="str">
        <f>MID(Tabla1[[#This Row],[Aplicación]],14,1)</f>
        <v>2</v>
      </c>
      <c r="R1011" s="35" t="s">
        <v>441</v>
      </c>
      <c r="S1011" s="35" t="str">
        <f>MID(Tabla1[[#This Row],[Aplicación]],6,2)</f>
        <v>06</v>
      </c>
      <c r="T1011" s="35" t="str">
        <f>VLOOKUP(Tabla1[[#This Row],[AREA]],Hoja1!A:B,2,FALSE)</f>
        <v>06. Educación, infancia, juventud e igualdad</v>
      </c>
      <c r="U1011" s="35" t="str">
        <f>MID(Tabla1[[#This Row],[Aplicación]],9,4)</f>
        <v>3232</v>
      </c>
      <c r="V1011" s="35" t="str">
        <f>VLOOKUP(Tabla1[[#This Row],[PROGRAMA]],Hoja1!A:B,2,FALSE)</f>
        <v>3232. Conservación y mantenimiento centros educación infantil y primaria</v>
      </c>
      <c r="W1011" s="35" t="str">
        <f>MID(Tabla1[[#This Row],[Aplicación]],14,2)</f>
        <v>21</v>
      </c>
      <c r="X1011" s="35" t="str">
        <f>MID(Tabla1[[#This Row],[Aplicación]],14,6)</f>
        <v>212</v>
      </c>
    </row>
    <row r="1012" spans="1:24" x14ac:dyDescent="0.25">
      <c r="A1012" s="49">
        <v>220220004092</v>
      </c>
      <c r="B1012" s="50" t="s">
        <v>172</v>
      </c>
      <c r="C1012" s="57">
        <v>44610</v>
      </c>
      <c r="D1012" s="49">
        <v>22022001172</v>
      </c>
      <c r="E1012" s="50" t="s">
        <v>1579</v>
      </c>
      <c r="F1012" s="58">
        <v>175.7</v>
      </c>
      <c r="G1012" s="50" t="s">
        <v>219</v>
      </c>
      <c r="H1012" s="50" t="s">
        <v>2453</v>
      </c>
      <c r="I1012" s="49" t="s">
        <v>173</v>
      </c>
      <c r="J1012" s="50" t="s">
        <v>109</v>
      </c>
      <c r="K1012" s="50" t="s">
        <v>109</v>
      </c>
      <c r="L1012" s="50" t="s">
        <v>15</v>
      </c>
      <c r="M1012" s="50" t="s">
        <v>13</v>
      </c>
      <c r="N1012" s="50" t="s">
        <v>14</v>
      </c>
      <c r="O1012" s="48" t="s">
        <v>631</v>
      </c>
      <c r="P1012" s="45" t="s">
        <v>453</v>
      </c>
      <c r="Q1012" s="35" t="str">
        <f>MID(Tabla1[[#This Row],[Aplicación]],14,1)</f>
        <v>2</v>
      </c>
      <c r="R1012" s="35" t="s">
        <v>441</v>
      </c>
      <c r="S1012" s="35" t="str">
        <f>MID(Tabla1[[#This Row],[Aplicación]],6,2)</f>
        <v>10</v>
      </c>
      <c r="T1012" s="35" t="str">
        <f>VLOOKUP(Tabla1[[#This Row],[AREA]],Hoja1!A:B,2,FALSE)</f>
        <v>10. Servicios sociales y mediación comunitaria</v>
      </c>
      <c r="U1012" s="35" t="str">
        <f>MID(Tabla1[[#This Row],[Aplicación]],9,4)</f>
        <v>2412</v>
      </c>
      <c r="V1012" s="35" t="str">
        <f>VLOOKUP(Tabla1[[#This Row],[PROGRAMA]],Hoja1!A:B,2,FALSE)</f>
        <v>2412. Formación para el empleo</v>
      </c>
      <c r="W1012" s="35" t="str">
        <f>MID(Tabla1[[#This Row],[Aplicación]],14,2)</f>
        <v>22</v>
      </c>
      <c r="X1012" s="35" t="str">
        <f>MID(Tabla1[[#This Row],[Aplicación]],14,6)</f>
        <v>22199</v>
      </c>
    </row>
    <row r="1013" spans="1:24" x14ac:dyDescent="0.25">
      <c r="A1013" s="49">
        <v>220220004141</v>
      </c>
      <c r="B1013" s="50" t="s">
        <v>172</v>
      </c>
      <c r="C1013" s="57">
        <v>44610</v>
      </c>
      <c r="D1013" s="49">
        <v>22022000042</v>
      </c>
      <c r="E1013" s="50" t="s">
        <v>1434</v>
      </c>
      <c r="F1013" s="58">
        <v>173.71</v>
      </c>
      <c r="G1013" s="50" t="s">
        <v>219</v>
      </c>
      <c r="H1013" s="50" t="s">
        <v>2454</v>
      </c>
      <c r="I1013" s="49" t="s">
        <v>173</v>
      </c>
      <c r="J1013" s="50" t="s">
        <v>109</v>
      </c>
      <c r="K1013" s="50" t="s">
        <v>109</v>
      </c>
      <c r="L1013" s="50" t="s">
        <v>15</v>
      </c>
      <c r="M1013" s="50" t="s">
        <v>13</v>
      </c>
      <c r="N1013" s="50" t="s">
        <v>14</v>
      </c>
      <c r="O1013" s="48" t="s">
        <v>631</v>
      </c>
      <c r="P1013" s="45" t="s">
        <v>453</v>
      </c>
      <c r="Q1013" s="35" t="str">
        <f>MID(Tabla1[[#This Row],[Aplicación]],14,1)</f>
        <v>2</v>
      </c>
      <c r="R1013" s="35" t="s">
        <v>441</v>
      </c>
      <c r="S1013" s="35" t="str">
        <f>MID(Tabla1[[#This Row],[Aplicación]],6,2)</f>
        <v>11</v>
      </c>
      <c r="T1013" s="35" t="str">
        <f>VLOOKUP(Tabla1[[#This Row],[AREA]],Hoja1!A:B,2,FALSE)</f>
        <v>11. Salud pública y seguridad ciudadana</v>
      </c>
      <c r="U1013" s="35" t="str">
        <f>MID(Tabla1[[#This Row],[Aplicación]],9,4)</f>
        <v>1631</v>
      </c>
      <c r="V1013" s="35" t="str">
        <f>VLOOKUP(Tabla1[[#This Row],[PROGRAMA]],Hoja1!A:B,2,FALSE)</f>
        <v>1631. Limpieza viaria</v>
      </c>
      <c r="W1013" s="35" t="str">
        <f>MID(Tabla1[[#This Row],[Aplicación]],14,2)</f>
        <v>21</v>
      </c>
      <c r="X1013" s="35" t="str">
        <f>MID(Tabla1[[#This Row],[Aplicación]],14,6)</f>
        <v>214</v>
      </c>
    </row>
    <row r="1014" spans="1:24" x14ac:dyDescent="0.25">
      <c r="A1014" s="49">
        <v>220220004175</v>
      </c>
      <c r="B1014" s="50" t="s">
        <v>172</v>
      </c>
      <c r="C1014" s="57">
        <v>44610</v>
      </c>
      <c r="D1014" s="49">
        <v>22022001650</v>
      </c>
      <c r="E1014" s="50" t="s">
        <v>2036</v>
      </c>
      <c r="F1014" s="58">
        <v>33.700000000000003</v>
      </c>
      <c r="G1014" s="50" t="s">
        <v>219</v>
      </c>
      <c r="H1014" s="50" t="s">
        <v>2455</v>
      </c>
      <c r="I1014" s="49" t="s">
        <v>173</v>
      </c>
      <c r="J1014" s="50" t="s">
        <v>109</v>
      </c>
      <c r="K1014" s="50" t="s">
        <v>109</v>
      </c>
      <c r="L1014" s="50" t="s">
        <v>15</v>
      </c>
      <c r="M1014" s="50" t="s">
        <v>13</v>
      </c>
      <c r="N1014" s="50" t="s">
        <v>14</v>
      </c>
      <c r="O1014" s="48" t="s">
        <v>631</v>
      </c>
      <c r="P1014" s="45" t="s">
        <v>453</v>
      </c>
      <c r="Q1014" s="35" t="str">
        <f>MID(Tabla1[[#This Row],[Aplicación]],14,1)</f>
        <v>2</v>
      </c>
      <c r="R1014" s="35" t="s">
        <v>441</v>
      </c>
      <c r="S1014" s="35" t="str">
        <f>MID(Tabla1[[#This Row],[Aplicación]],6,2)</f>
        <v>11</v>
      </c>
      <c r="T1014" s="35" t="str">
        <f>VLOOKUP(Tabla1[[#This Row],[AREA]],Hoja1!A:B,2,FALSE)</f>
        <v>11. Salud pública y seguridad ciudadana</v>
      </c>
      <c r="U1014" s="35" t="str">
        <f>MID(Tabla1[[#This Row],[Aplicación]],9,4)</f>
        <v>3111</v>
      </c>
      <c r="V1014" s="35" t="str">
        <f>VLOOKUP(Tabla1[[#This Row],[PROGRAMA]],Hoja1!A:B,2,FALSE)</f>
        <v>3111. Protección de la salubridad pública</v>
      </c>
      <c r="W1014" s="35" t="str">
        <f>MID(Tabla1[[#This Row],[Aplicación]],14,2)</f>
        <v>22</v>
      </c>
      <c r="X1014" s="35" t="str">
        <f>MID(Tabla1[[#This Row],[Aplicación]],14,6)</f>
        <v>22199</v>
      </c>
    </row>
    <row r="1015" spans="1:24" x14ac:dyDescent="0.25">
      <c r="A1015" s="49">
        <v>220220004235</v>
      </c>
      <c r="B1015" s="50" t="s">
        <v>172</v>
      </c>
      <c r="C1015" s="57">
        <v>44610</v>
      </c>
      <c r="D1015" s="49">
        <v>22022000045</v>
      </c>
      <c r="E1015" s="50" t="s">
        <v>2018</v>
      </c>
      <c r="F1015" s="58">
        <v>1.5</v>
      </c>
      <c r="G1015" s="50" t="s">
        <v>219</v>
      </c>
      <c r="H1015" s="50" t="s">
        <v>2456</v>
      </c>
      <c r="I1015" s="49" t="s">
        <v>173</v>
      </c>
      <c r="J1015" s="50" t="s">
        <v>109</v>
      </c>
      <c r="K1015" s="50" t="s">
        <v>109</v>
      </c>
      <c r="L1015" s="50" t="s">
        <v>15</v>
      </c>
      <c r="M1015" s="50" t="s">
        <v>13</v>
      </c>
      <c r="N1015" s="50" t="s">
        <v>14</v>
      </c>
      <c r="O1015" s="48" t="s">
        <v>631</v>
      </c>
      <c r="P1015" s="45" t="s">
        <v>453</v>
      </c>
      <c r="Q1015" s="35" t="str">
        <f>MID(Tabla1[[#This Row],[Aplicación]],14,1)</f>
        <v>2</v>
      </c>
      <c r="R1015" s="35" t="s">
        <v>441</v>
      </c>
      <c r="S1015" s="35" t="str">
        <f>MID(Tabla1[[#This Row],[Aplicación]],6,2)</f>
        <v>11</v>
      </c>
      <c r="T1015" s="35" t="str">
        <f>VLOOKUP(Tabla1[[#This Row],[AREA]],Hoja1!A:B,2,FALSE)</f>
        <v>11. Salud pública y seguridad ciudadana</v>
      </c>
      <c r="U1015" s="35" t="str">
        <f>MID(Tabla1[[#This Row],[Aplicación]],9,4)</f>
        <v>1631</v>
      </c>
      <c r="V1015" s="35" t="str">
        <f>VLOOKUP(Tabla1[[#This Row],[PROGRAMA]],Hoja1!A:B,2,FALSE)</f>
        <v>1631. Limpieza viaria</v>
      </c>
      <c r="W1015" s="35" t="str">
        <f>MID(Tabla1[[#This Row],[Aplicación]],14,2)</f>
        <v>22</v>
      </c>
      <c r="X1015" s="35" t="str">
        <f>MID(Tabla1[[#This Row],[Aplicación]],14,6)</f>
        <v>22199</v>
      </c>
    </row>
    <row r="1016" spans="1:24" x14ac:dyDescent="0.25">
      <c r="A1016" s="49">
        <v>220220005552</v>
      </c>
      <c r="B1016" s="50" t="s">
        <v>172</v>
      </c>
      <c r="C1016" s="57">
        <v>44614</v>
      </c>
      <c r="D1016" s="49">
        <v>22022001456</v>
      </c>
      <c r="E1016" s="50" t="s">
        <v>2012</v>
      </c>
      <c r="F1016" s="58">
        <v>13.75</v>
      </c>
      <c r="G1016" s="50" t="s">
        <v>219</v>
      </c>
      <c r="H1016" s="50" t="s">
        <v>2457</v>
      </c>
      <c r="I1016" s="49" t="s">
        <v>173</v>
      </c>
      <c r="J1016" s="50" t="s">
        <v>109</v>
      </c>
      <c r="K1016" s="50" t="s">
        <v>109</v>
      </c>
      <c r="L1016" s="50" t="s">
        <v>15</v>
      </c>
      <c r="M1016" s="50" t="s">
        <v>13</v>
      </c>
      <c r="N1016" s="50" t="s">
        <v>14</v>
      </c>
      <c r="O1016" s="48" t="s">
        <v>631</v>
      </c>
      <c r="P1016" s="45" t="s">
        <v>453</v>
      </c>
      <c r="Q1016" s="35" t="str">
        <f>MID(Tabla1[[#This Row],[Aplicación]],14,1)</f>
        <v>2</v>
      </c>
      <c r="R1016" s="35" t="s">
        <v>441</v>
      </c>
      <c r="S1016" s="35" t="str">
        <f>MID(Tabla1[[#This Row],[Aplicación]],6,2)</f>
        <v>11</v>
      </c>
      <c r="T1016" s="35" t="str">
        <f>VLOOKUP(Tabla1[[#This Row],[AREA]],Hoja1!A:B,2,FALSE)</f>
        <v>11. Salud pública y seguridad ciudadana</v>
      </c>
      <c r="U1016" s="35" t="str">
        <f>MID(Tabla1[[#This Row],[Aplicación]],9,4)</f>
        <v>1321</v>
      </c>
      <c r="V1016" s="35" t="str">
        <f>VLOOKUP(Tabla1[[#This Row],[PROGRAMA]],Hoja1!A:B,2,FALSE)</f>
        <v>1321. Policía municipal</v>
      </c>
      <c r="W1016" s="35" t="str">
        <f>MID(Tabla1[[#This Row],[Aplicación]],14,2)</f>
        <v>22</v>
      </c>
      <c r="X1016" s="35" t="str">
        <f>MID(Tabla1[[#This Row],[Aplicación]],14,6)</f>
        <v>22199</v>
      </c>
    </row>
    <row r="1017" spans="1:24" x14ac:dyDescent="0.25">
      <c r="A1017" s="49">
        <v>220220006895</v>
      </c>
      <c r="B1017" s="50" t="s">
        <v>172</v>
      </c>
      <c r="C1017" s="57">
        <v>44622</v>
      </c>
      <c r="D1017" s="49">
        <v>22022001456</v>
      </c>
      <c r="E1017" s="50" t="s">
        <v>2012</v>
      </c>
      <c r="F1017" s="58">
        <v>14.67</v>
      </c>
      <c r="G1017" s="50" t="s">
        <v>219</v>
      </c>
      <c r="H1017" s="50" t="s">
        <v>2458</v>
      </c>
      <c r="I1017" s="49" t="s">
        <v>173</v>
      </c>
      <c r="J1017" s="50" t="s">
        <v>109</v>
      </c>
      <c r="K1017" s="50" t="s">
        <v>109</v>
      </c>
      <c r="L1017" s="50" t="s">
        <v>15</v>
      </c>
      <c r="M1017" s="50" t="s">
        <v>13</v>
      </c>
      <c r="N1017" s="50" t="s">
        <v>14</v>
      </c>
      <c r="O1017" s="48" t="s">
        <v>631</v>
      </c>
      <c r="P1017" s="45" t="s">
        <v>453</v>
      </c>
      <c r="Q1017" s="35" t="str">
        <f>MID(Tabla1[[#This Row],[Aplicación]],14,1)</f>
        <v>2</v>
      </c>
      <c r="R1017" s="35" t="s">
        <v>441</v>
      </c>
      <c r="S1017" s="35" t="str">
        <f>MID(Tabla1[[#This Row],[Aplicación]],6,2)</f>
        <v>11</v>
      </c>
      <c r="T1017" s="35" t="str">
        <f>VLOOKUP(Tabla1[[#This Row],[AREA]],Hoja1!A:B,2,FALSE)</f>
        <v>11. Salud pública y seguridad ciudadana</v>
      </c>
      <c r="U1017" s="35" t="str">
        <f>MID(Tabla1[[#This Row],[Aplicación]],9,4)</f>
        <v>1321</v>
      </c>
      <c r="V1017" s="35" t="str">
        <f>VLOOKUP(Tabla1[[#This Row],[PROGRAMA]],Hoja1!A:B,2,FALSE)</f>
        <v>1321. Policía municipal</v>
      </c>
      <c r="W1017" s="35" t="str">
        <f>MID(Tabla1[[#This Row],[Aplicación]],14,2)</f>
        <v>22</v>
      </c>
      <c r="X1017" s="35" t="str">
        <f>MID(Tabla1[[#This Row],[Aplicación]],14,6)</f>
        <v>22199</v>
      </c>
    </row>
    <row r="1018" spans="1:24" x14ac:dyDescent="0.25">
      <c r="A1018" s="49">
        <v>220220007053</v>
      </c>
      <c r="B1018" s="50" t="s">
        <v>172</v>
      </c>
      <c r="C1018" s="57">
        <v>44623</v>
      </c>
      <c r="D1018" s="49">
        <v>22022001170</v>
      </c>
      <c r="E1018" s="50" t="s">
        <v>1502</v>
      </c>
      <c r="F1018" s="58">
        <v>32.61</v>
      </c>
      <c r="G1018" s="50" t="s">
        <v>219</v>
      </c>
      <c r="H1018" s="50" t="s">
        <v>2459</v>
      </c>
      <c r="I1018" s="49" t="s">
        <v>173</v>
      </c>
      <c r="J1018" s="50" t="s">
        <v>109</v>
      </c>
      <c r="K1018" s="50" t="s">
        <v>109</v>
      </c>
      <c r="L1018" s="50" t="s">
        <v>15</v>
      </c>
      <c r="M1018" s="50" t="s">
        <v>13</v>
      </c>
      <c r="N1018" s="50" t="s">
        <v>14</v>
      </c>
      <c r="O1018" s="48" t="s">
        <v>631</v>
      </c>
      <c r="P1018" s="45" t="s">
        <v>453</v>
      </c>
      <c r="Q1018" s="35" t="str">
        <f>MID(Tabla1[[#This Row],[Aplicación]],14,1)</f>
        <v>2</v>
      </c>
      <c r="R1018" s="35" t="s">
        <v>441</v>
      </c>
      <c r="S1018" s="35" t="str">
        <f>MID(Tabla1[[#This Row],[Aplicación]],6,2)</f>
        <v>10</v>
      </c>
      <c r="T1018" s="35" t="str">
        <f>VLOOKUP(Tabla1[[#This Row],[AREA]],Hoja1!A:B,2,FALSE)</f>
        <v>10. Servicios sociales y mediación comunitaria</v>
      </c>
      <c r="U1018" s="35" t="str">
        <f>MID(Tabla1[[#This Row],[Aplicación]],9,4)</f>
        <v>2412</v>
      </c>
      <c r="V1018" s="35" t="str">
        <f>VLOOKUP(Tabla1[[#This Row],[PROGRAMA]],Hoja1!A:B,2,FALSE)</f>
        <v>2412. Formación para el empleo</v>
      </c>
      <c r="W1018" s="35" t="str">
        <f>MID(Tabla1[[#This Row],[Aplicación]],14,2)</f>
        <v>21</v>
      </c>
      <c r="X1018" s="35" t="str">
        <f>MID(Tabla1[[#This Row],[Aplicación]],14,6)</f>
        <v>213</v>
      </c>
    </row>
    <row r="1019" spans="1:24" x14ac:dyDescent="0.25">
      <c r="A1019" s="49">
        <v>220220007055</v>
      </c>
      <c r="B1019" s="50" t="s">
        <v>172</v>
      </c>
      <c r="C1019" s="57">
        <v>44623</v>
      </c>
      <c r="D1019" s="49">
        <v>22022001172</v>
      </c>
      <c r="E1019" s="50" t="s">
        <v>1579</v>
      </c>
      <c r="F1019" s="58">
        <v>205.63</v>
      </c>
      <c r="G1019" s="50" t="s">
        <v>219</v>
      </c>
      <c r="H1019" s="50" t="s">
        <v>2460</v>
      </c>
      <c r="I1019" s="49" t="s">
        <v>173</v>
      </c>
      <c r="J1019" s="50" t="s">
        <v>109</v>
      </c>
      <c r="K1019" s="50" t="s">
        <v>109</v>
      </c>
      <c r="L1019" s="50" t="s">
        <v>15</v>
      </c>
      <c r="M1019" s="50" t="s">
        <v>13</v>
      </c>
      <c r="N1019" s="50" t="s">
        <v>14</v>
      </c>
      <c r="O1019" s="48" t="s">
        <v>631</v>
      </c>
      <c r="P1019" s="45" t="s">
        <v>453</v>
      </c>
      <c r="Q1019" s="35" t="str">
        <f>MID(Tabla1[[#This Row],[Aplicación]],14,1)</f>
        <v>2</v>
      </c>
      <c r="R1019" s="35" t="s">
        <v>441</v>
      </c>
      <c r="S1019" s="35" t="str">
        <f>MID(Tabla1[[#This Row],[Aplicación]],6,2)</f>
        <v>10</v>
      </c>
      <c r="T1019" s="35" t="str">
        <f>VLOOKUP(Tabla1[[#This Row],[AREA]],Hoja1!A:B,2,FALSE)</f>
        <v>10. Servicios sociales y mediación comunitaria</v>
      </c>
      <c r="U1019" s="35" t="str">
        <f>MID(Tabla1[[#This Row],[Aplicación]],9,4)</f>
        <v>2412</v>
      </c>
      <c r="V1019" s="35" t="str">
        <f>VLOOKUP(Tabla1[[#This Row],[PROGRAMA]],Hoja1!A:B,2,FALSE)</f>
        <v>2412. Formación para el empleo</v>
      </c>
      <c r="W1019" s="35" t="str">
        <f>MID(Tabla1[[#This Row],[Aplicación]],14,2)</f>
        <v>22</v>
      </c>
      <c r="X1019" s="35" t="str">
        <f>MID(Tabla1[[#This Row],[Aplicación]],14,6)</f>
        <v>22199</v>
      </c>
    </row>
    <row r="1020" spans="1:24" x14ac:dyDescent="0.25">
      <c r="A1020" s="49">
        <v>220220007057</v>
      </c>
      <c r="B1020" s="50" t="s">
        <v>172</v>
      </c>
      <c r="C1020" s="57">
        <v>44623</v>
      </c>
      <c r="D1020" s="49">
        <v>22022001172</v>
      </c>
      <c r="E1020" s="50" t="s">
        <v>1579</v>
      </c>
      <c r="F1020" s="58">
        <v>311.58999999999997</v>
      </c>
      <c r="G1020" s="50" t="s">
        <v>219</v>
      </c>
      <c r="H1020" s="50" t="s">
        <v>2461</v>
      </c>
      <c r="I1020" s="49" t="s">
        <v>173</v>
      </c>
      <c r="J1020" s="50" t="s">
        <v>109</v>
      </c>
      <c r="K1020" s="50" t="s">
        <v>109</v>
      </c>
      <c r="L1020" s="50" t="s">
        <v>15</v>
      </c>
      <c r="M1020" s="50" t="s">
        <v>13</v>
      </c>
      <c r="N1020" s="50" t="s">
        <v>14</v>
      </c>
      <c r="O1020" s="48" t="s">
        <v>631</v>
      </c>
      <c r="P1020" s="45" t="s">
        <v>453</v>
      </c>
      <c r="Q1020" s="35" t="str">
        <f>MID(Tabla1[[#This Row],[Aplicación]],14,1)</f>
        <v>2</v>
      </c>
      <c r="R1020" s="35" t="s">
        <v>441</v>
      </c>
      <c r="S1020" s="35" t="str">
        <f>MID(Tabla1[[#This Row],[Aplicación]],6,2)</f>
        <v>10</v>
      </c>
      <c r="T1020" s="35" t="str">
        <f>VLOOKUP(Tabla1[[#This Row],[AREA]],Hoja1!A:B,2,FALSE)</f>
        <v>10. Servicios sociales y mediación comunitaria</v>
      </c>
      <c r="U1020" s="35" t="str">
        <f>MID(Tabla1[[#This Row],[Aplicación]],9,4)</f>
        <v>2412</v>
      </c>
      <c r="V1020" s="35" t="str">
        <f>VLOOKUP(Tabla1[[#This Row],[PROGRAMA]],Hoja1!A:B,2,FALSE)</f>
        <v>2412. Formación para el empleo</v>
      </c>
      <c r="W1020" s="35" t="str">
        <f>MID(Tabla1[[#This Row],[Aplicación]],14,2)</f>
        <v>22</v>
      </c>
      <c r="X1020" s="35" t="str">
        <f>MID(Tabla1[[#This Row],[Aplicación]],14,6)</f>
        <v>22199</v>
      </c>
    </row>
    <row r="1021" spans="1:24" x14ac:dyDescent="0.25">
      <c r="A1021" s="49">
        <v>220220007084</v>
      </c>
      <c r="B1021" s="50" t="s">
        <v>172</v>
      </c>
      <c r="C1021" s="57">
        <v>44623</v>
      </c>
      <c r="D1021" s="49">
        <v>22022000045</v>
      </c>
      <c r="E1021" s="50" t="s">
        <v>2018</v>
      </c>
      <c r="F1021" s="58">
        <v>84.47</v>
      </c>
      <c r="G1021" s="50" t="s">
        <v>219</v>
      </c>
      <c r="H1021" s="50" t="s">
        <v>2462</v>
      </c>
      <c r="I1021" s="49" t="s">
        <v>173</v>
      </c>
      <c r="J1021" s="50" t="s">
        <v>109</v>
      </c>
      <c r="K1021" s="50" t="s">
        <v>109</v>
      </c>
      <c r="L1021" s="50" t="s">
        <v>15</v>
      </c>
      <c r="M1021" s="50" t="s">
        <v>13</v>
      </c>
      <c r="N1021" s="50" t="s">
        <v>14</v>
      </c>
      <c r="O1021" s="48" t="s">
        <v>631</v>
      </c>
      <c r="P1021" s="45" t="s">
        <v>453</v>
      </c>
      <c r="Q1021" s="35" t="str">
        <f>MID(Tabla1[[#This Row],[Aplicación]],14,1)</f>
        <v>2</v>
      </c>
      <c r="R1021" s="35" t="s">
        <v>441</v>
      </c>
      <c r="S1021" s="35" t="str">
        <f>MID(Tabla1[[#This Row],[Aplicación]],6,2)</f>
        <v>11</v>
      </c>
      <c r="T1021" s="35" t="str">
        <f>VLOOKUP(Tabla1[[#This Row],[AREA]],Hoja1!A:B,2,FALSE)</f>
        <v>11. Salud pública y seguridad ciudadana</v>
      </c>
      <c r="U1021" s="35" t="str">
        <f>MID(Tabla1[[#This Row],[Aplicación]],9,4)</f>
        <v>1631</v>
      </c>
      <c r="V1021" s="35" t="str">
        <f>VLOOKUP(Tabla1[[#This Row],[PROGRAMA]],Hoja1!A:B,2,FALSE)</f>
        <v>1631. Limpieza viaria</v>
      </c>
      <c r="W1021" s="35" t="str">
        <f>MID(Tabla1[[#This Row],[Aplicación]],14,2)</f>
        <v>22</v>
      </c>
      <c r="X1021" s="35" t="str">
        <f>MID(Tabla1[[#This Row],[Aplicación]],14,6)</f>
        <v>22199</v>
      </c>
    </row>
    <row r="1022" spans="1:24" x14ac:dyDescent="0.25">
      <c r="A1022" s="49">
        <v>220220007241</v>
      </c>
      <c r="B1022" s="50" t="s">
        <v>172</v>
      </c>
      <c r="C1022" s="57">
        <v>44623</v>
      </c>
      <c r="D1022" s="49">
        <v>22022001641</v>
      </c>
      <c r="E1022" s="50" t="s">
        <v>2034</v>
      </c>
      <c r="F1022" s="58">
        <v>163.56</v>
      </c>
      <c r="G1022" s="50" t="s">
        <v>219</v>
      </c>
      <c r="H1022" s="50" t="s">
        <v>2463</v>
      </c>
      <c r="I1022" s="49" t="s">
        <v>173</v>
      </c>
      <c r="J1022" s="50" t="s">
        <v>109</v>
      </c>
      <c r="K1022" s="50" t="s">
        <v>109</v>
      </c>
      <c r="L1022" s="50" t="s">
        <v>15</v>
      </c>
      <c r="M1022" s="50" t="s">
        <v>13</v>
      </c>
      <c r="N1022" s="50" t="s">
        <v>14</v>
      </c>
      <c r="O1022" s="48" t="s">
        <v>631</v>
      </c>
      <c r="P1022" s="45" t="s">
        <v>453</v>
      </c>
      <c r="Q1022" s="35" t="str">
        <f>MID(Tabla1[[#This Row],[Aplicación]],14,1)</f>
        <v>2</v>
      </c>
      <c r="R1022" s="35" t="s">
        <v>441</v>
      </c>
      <c r="S1022" s="35" t="str">
        <f>MID(Tabla1[[#This Row],[Aplicación]],6,2)</f>
        <v>06</v>
      </c>
      <c r="T1022" s="35" t="str">
        <f>VLOOKUP(Tabla1[[#This Row],[AREA]],Hoja1!A:B,2,FALSE)</f>
        <v>06. Educación, infancia, juventud e igualdad</v>
      </c>
      <c r="U1022" s="35" t="str">
        <f>MID(Tabla1[[#This Row],[Aplicación]],9,4)</f>
        <v>3232</v>
      </c>
      <c r="V1022" s="35" t="str">
        <f>VLOOKUP(Tabla1[[#This Row],[PROGRAMA]],Hoja1!A:B,2,FALSE)</f>
        <v>3232. Conservación y mantenimiento centros educación infantil y primaria</v>
      </c>
      <c r="W1022" s="35" t="str">
        <f>MID(Tabla1[[#This Row],[Aplicación]],14,2)</f>
        <v>21</v>
      </c>
      <c r="X1022" s="35" t="str">
        <f>MID(Tabla1[[#This Row],[Aplicación]],14,6)</f>
        <v>212</v>
      </c>
    </row>
    <row r="1023" spans="1:24" x14ac:dyDescent="0.25">
      <c r="A1023" s="49">
        <v>220220008426</v>
      </c>
      <c r="B1023" s="50" t="s">
        <v>172</v>
      </c>
      <c r="C1023" s="57">
        <v>44631</v>
      </c>
      <c r="D1023" s="49">
        <v>22022001552</v>
      </c>
      <c r="E1023" s="50" t="s">
        <v>1975</v>
      </c>
      <c r="F1023" s="58">
        <v>501.07</v>
      </c>
      <c r="G1023" s="50" t="s">
        <v>219</v>
      </c>
      <c r="H1023" s="50" t="s">
        <v>2464</v>
      </c>
      <c r="I1023" s="49" t="s">
        <v>173</v>
      </c>
      <c r="J1023" s="50" t="s">
        <v>109</v>
      </c>
      <c r="K1023" s="50" t="s">
        <v>109</v>
      </c>
      <c r="L1023" s="50" t="s">
        <v>15</v>
      </c>
      <c r="M1023" s="50" t="s">
        <v>13</v>
      </c>
      <c r="N1023" s="50" t="s">
        <v>14</v>
      </c>
      <c r="O1023" s="48" t="s">
        <v>631</v>
      </c>
      <c r="P1023" s="45" t="s">
        <v>453</v>
      </c>
      <c r="Q1023" s="35" t="str">
        <f>MID(Tabla1[[#This Row],[Aplicación]],14,1)</f>
        <v>2</v>
      </c>
      <c r="R1023" s="35" t="s">
        <v>441</v>
      </c>
      <c r="S1023" s="35" t="str">
        <f>MID(Tabla1[[#This Row],[Aplicación]],6,2)</f>
        <v>08</v>
      </c>
      <c r="T1023" s="35" t="str">
        <f>VLOOKUP(Tabla1[[#This Row],[AREA]],Hoja1!A:B,2,FALSE)</f>
        <v>08. Movilidad y espacio urbano</v>
      </c>
      <c r="U1023" s="35" t="str">
        <f>MID(Tabla1[[#This Row],[Aplicación]],9,4)</f>
        <v>1532</v>
      </c>
      <c r="V1023" s="35" t="str">
        <f>VLOOKUP(Tabla1[[#This Row],[PROGRAMA]],Hoja1!A:B,2,FALSE)</f>
        <v>1532. Pavimentación vias públicas y otros servicios urbanísticos</v>
      </c>
      <c r="W1023" s="35" t="str">
        <f>MID(Tabla1[[#This Row],[Aplicación]],14,2)</f>
        <v>21</v>
      </c>
      <c r="X1023" s="35" t="str">
        <f>MID(Tabla1[[#This Row],[Aplicación]],14,6)</f>
        <v>210</v>
      </c>
    </row>
    <row r="1024" spans="1:24" x14ac:dyDescent="0.25">
      <c r="A1024" s="49">
        <v>220220008577</v>
      </c>
      <c r="B1024" s="50" t="s">
        <v>172</v>
      </c>
      <c r="C1024" s="57">
        <v>44631</v>
      </c>
      <c r="D1024" s="49">
        <v>22022001641</v>
      </c>
      <c r="E1024" s="50" t="s">
        <v>2034</v>
      </c>
      <c r="F1024" s="58">
        <v>126.69</v>
      </c>
      <c r="G1024" s="50" t="s">
        <v>219</v>
      </c>
      <c r="H1024" s="50" t="s">
        <v>2465</v>
      </c>
      <c r="I1024" s="49" t="s">
        <v>173</v>
      </c>
      <c r="J1024" s="50" t="s">
        <v>109</v>
      </c>
      <c r="K1024" s="50" t="s">
        <v>109</v>
      </c>
      <c r="L1024" s="50" t="s">
        <v>15</v>
      </c>
      <c r="M1024" s="50" t="s">
        <v>13</v>
      </c>
      <c r="N1024" s="50" t="s">
        <v>14</v>
      </c>
      <c r="O1024" s="48" t="s">
        <v>631</v>
      </c>
      <c r="P1024" s="45" t="s">
        <v>453</v>
      </c>
      <c r="Q1024" s="35" t="str">
        <f>MID(Tabla1[[#This Row],[Aplicación]],14,1)</f>
        <v>2</v>
      </c>
      <c r="R1024" s="35" t="s">
        <v>441</v>
      </c>
      <c r="S1024" s="35" t="str">
        <f>MID(Tabla1[[#This Row],[Aplicación]],6,2)</f>
        <v>06</v>
      </c>
      <c r="T1024" s="35" t="str">
        <f>VLOOKUP(Tabla1[[#This Row],[AREA]],Hoja1!A:B,2,FALSE)</f>
        <v>06. Educación, infancia, juventud e igualdad</v>
      </c>
      <c r="U1024" s="35" t="str">
        <f>MID(Tabla1[[#This Row],[Aplicación]],9,4)</f>
        <v>3232</v>
      </c>
      <c r="V1024" s="35" t="str">
        <f>VLOOKUP(Tabla1[[#This Row],[PROGRAMA]],Hoja1!A:B,2,FALSE)</f>
        <v>3232. Conservación y mantenimiento centros educación infantil y primaria</v>
      </c>
      <c r="W1024" s="35" t="str">
        <f>MID(Tabla1[[#This Row],[Aplicación]],14,2)</f>
        <v>21</v>
      </c>
      <c r="X1024" s="35" t="str">
        <f>MID(Tabla1[[#This Row],[Aplicación]],14,6)</f>
        <v>212</v>
      </c>
    </row>
    <row r="1025" spans="1:24" x14ac:dyDescent="0.25">
      <c r="A1025" s="49">
        <v>220220008694</v>
      </c>
      <c r="B1025" s="50" t="s">
        <v>172</v>
      </c>
      <c r="C1025" s="57">
        <v>44634</v>
      </c>
      <c r="D1025" s="49">
        <v>22022001456</v>
      </c>
      <c r="E1025" s="50" t="s">
        <v>2012</v>
      </c>
      <c r="F1025" s="58">
        <v>70.17</v>
      </c>
      <c r="G1025" s="50" t="s">
        <v>219</v>
      </c>
      <c r="H1025" s="50" t="s">
        <v>2466</v>
      </c>
      <c r="I1025" s="49" t="s">
        <v>173</v>
      </c>
      <c r="J1025" s="50" t="s">
        <v>109</v>
      </c>
      <c r="K1025" s="50" t="s">
        <v>109</v>
      </c>
      <c r="L1025" s="50" t="s">
        <v>15</v>
      </c>
      <c r="M1025" s="50" t="s">
        <v>13</v>
      </c>
      <c r="N1025" s="50" t="s">
        <v>14</v>
      </c>
      <c r="O1025" s="48" t="s">
        <v>631</v>
      </c>
      <c r="P1025" s="45" t="s">
        <v>453</v>
      </c>
      <c r="Q1025" s="35" t="str">
        <f>MID(Tabla1[[#This Row],[Aplicación]],14,1)</f>
        <v>2</v>
      </c>
      <c r="R1025" s="35" t="s">
        <v>441</v>
      </c>
      <c r="S1025" s="35" t="str">
        <f>MID(Tabla1[[#This Row],[Aplicación]],6,2)</f>
        <v>11</v>
      </c>
      <c r="T1025" s="35" t="str">
        <f>VLOOKUP(Tabla1[[#This Row],[AREA]],Hoja1!A:B,2,FALSE)</f>
        <v>11. Salud pública y seguridad ciudadana</v>
      </c>
      <c r="U1025" s="35" t="str">
        <f>MID(Tabla1[[#This Row],[Aplicación]],9,4)</f>
        <v>1321</v>
      </c>
      <c r="V1025" s="35" t="str">
        <f>VLOOKUP(Tabla1[[#This Row],[PROGRAMA]],Hoja1!A:B,2,FALSE)</f>
        <v>1321. Policía municipal</v>
      </c>
      <c r="W1025" s="35" t="str">
        <f>MID(Tabla1[[#This Row],[Aplicación]],14,2)</f>
        <v>22</v>
      </c>
      <c r="X1025" s="35" t="str">
        <f>MID(Tabla1[[#This Row],[Aplicación]],14,6)</f>
        <v>22199</v>
      </c>
    </row>
    <row r="1026" spans="1:24" x14ac:dyDescent="0.25">
      <c r="A1026" s="49">
        <v>220220009398</v>
      </c>
      <c r="B1026" s="50" t="s">
        <v>172</v>
      </c>
      <c r="C1026" s="57">
        <v>44636</v>
      </c>
      <c r="D1026" s="49">
        <v>22022001623</v>
      </c>
      <c r="E1026" s="50" t="s">
        <v>1606</v>
      </c>
      <c r="F1026" s="58">
        <v>54.81</v>
      </c>
      <c r="G1026" s="50" t="s">
        <v>219</v>
      </c>
      <c r="H1026" s="50" t="s">
        <v>2467</v>
      </c>
      <c r="I1026" s="49" t="s">
        <v>173</v>
      </c>
      <c r="J1026" s="50" t="s">
        <v>109</v>
      </c>
      <c r="K1026" s="50" t="s">
        <v>109</v>
      </c>
      <c r="L1026" s="50" t="s">
        <v>15</v>
      </c>
      <c r="M1026" s="50" t="s">
        <v>13</v>
      </c>
      <c r="N1026" s="50" t="s">
        <v>14</v>
      </c>
      <c r="O1026" s="48" t="s">
        <v>631</v>
      </c>
      <c r="P1026" s="45" t="s">
        <v>453</v>
      </c>
      <c r="Q1026" s="35" t="str">
        <f>MID(Tabla1[[#This Row],[Aplicación]],14,1)</f>
        <v>2</v>
      </c>
      <c r="R1026" s="35" t="s">
        <v>441</v>
      </c>
      <c r="S1026" s="35" t="str">
        <f>MID(Tabla1[[#This Row],[Aplicación]],6,2)</f>
        <v>11</v>
      </c>
      <c r="T1026" s="35" t="str">
        <f>VLOOKUP(Tabla1[[#This Row],[AREA]],Hoja1!A:B,2,FALSE)</f>
        <v>11. Salud pública y seguridad ciudadana</v>
      </c>
      <c r="U1026" s="35" t="str">
        <f>MID(Tabla1[[#This Row],[Aplicación]],9,4)</f>
        <v>1361</v>
      </c>
      <c r="V1026" s="35" t="str">
        <f>VLOOKUP(Tabla1[[#This Row],[PROGRAMA]],Hoja1!A:B,2,FALSE)</f>
        <v>1361. Prevención y extinción de incencios</v>
      </c>
      <c r="W1026" s="35" t="str">
        <f>MID(Tabla1[[#This Row],[Aplicación]],14,2)</f>
        <v>22</v>
      </c>
      <c r="X1026" s="35" t="str">
        <f>MID(Tabla1[[#This Row],[Aplicación]],14,6)</f>
        <v>22199</v>
      </c>
    </row>
    <row r="1027" spans="1:24" x14ac:dyDescent="0.25">
      <c r="A1027" s="49">
        <v>220220009495</v>
      </c>
      <c r="B1027" s="50" t="s">
        <v>172</v>
      </c>
      <c r="C1027" s="57">
        <v>44636</v>
      </c>
      <c r="D1027" s="49">
        <v>22022001449</v>
      </c>
      <c r="E1027" s="50" t="s">
        <v>1890</v>
      </c>
      <c r="F1027" s="58">
        <v>7.02</v>
      </c>
      <c r="G1027" s="50" t="s">
        <v>219</v>
      </c>
      <c r="H1027" s="50" t="s">
        <v>2468</v>
      </c>
      <c r="I1027" s="49" t="s">
        <v>173</v>
      </c>
      <c r="J1027" s="50" t="s">
        <v>109</v>
      </c>
      <c r="K1027" s="50" t="s">
        <v>109</v>
      </c>
      <c r="L1027" s="50" t="s">
        <v>15</v>
      </c>
      <c r="M1027" s="50" t="s">
        <v>13</v>
      </c>
      <c r="N1027" s="50" t="s">
        <v>14</v>
      </c>
      <c r="O1027" s="48" t="s">
        <v>631</v>
      </c>
      <c r="P1027" s="45" t="s">
        <v>453</v>
      </c>
      <c r="Q1027" s="35" t="str">
        <f>MID(Tabla1[[#This Row],[Aplicación]],14,1)</f>
        <v>2</v>
      </c>
      <c r="R1027" s="35" t="s">
        <v>441</v>
      </c>
      <c r="S1027" s="35" t="str">
        <f>MID(Tabla1[[#This Row],[Aplicación]],6,2)</f>
        <v>02</v>
      </c>
      <c r="T1027" s="35" t="str">
        <f>VLOOKUP(Tabla1[[#This Row],[AREA]],Hoja1!A:B,2,FALSE)</f>
        <v>02. Planeamiento urbanístico y vivienda</v>
      </c>
      <c r="U1027" s="35" t="str">
        <f>MID(Tabla1[[#This Row],[Aplicación]],9,4)</f>
        <v>9332</v>
      </c>
      <c r="V1027" s="35" t="str">
        <f>VLOOKUP(Tabla1[[#This Row],[PROGRAMA]],Hoja1!A:B,2,FALSE)</f>
        <v>9332. Mantenimiento de edificios e instalaciones municipales</v>
      </c>
      <c r="W1027" s="35" t="str">
        <f>MID(Tabla1[[#This Row],[Aplicación]],14,2)</f>
        <v>21</v>
      </c>
      <c r="X1027" s="35" t="str">
        <f>MID(Tabla1[[#This Row],[Aplicación]],14,6)</f>
        <v>212</v>
      </c>
    </row>
    <row r="1028" spans="1:24" x14ac:dyDescent="0.25">
      <c r="A1028" s="49">
        <v>220220010096</v>
      </c>
      <c r="B1028" s="50" t="s">
        <v>172</v>
      </c>
      <c r="C1028" s="57">
        <v>44638</v>
      </c>
      <c r="D1028" s="49">
        <v>22022001641</v>
      </c>
      <c r="E1028" s="50" t="s">
        <v>2034</v>
      </c>
      <c r="F1028" s="58">
        <v>415.7</v>
      </c>
      <c r="G1028" s="50" t="s">
        <v>219</v>
      </c>
      <c r="H1028" s="50" t="s">
        <v>2469</v>
      </c>
      <c r="I1028" s="49" t="s">
        <v>173</v>
      </c>
      <c r="J1028" s="50" t="s">
        <v>109</v>
      </c>
      <c r="K1028" s="50" t="s">
        <v>109</v>
      </c>
      <c r="L1028" s="50" t="s">
        <v>15</v>
      </c>
      <c r="M1028" s="50" t="s">
        <v>13</v>
      </c>
      <c r="N1028" s="50" t="s">
        <v>16</v>
      </c>
      <c r="O1028" s="48" t="s">
        <v>631</v>
      </c>
      <c r="P1028" s="45" t="s">
        <v>453</v>
      </c>
      <c r="Q1028" s="35" t="str">
        <f>MID(Tabla1[[#This Row],[Aplicación]],14,1)</f>
        <v>2</v>
      </c>
      <c r="R1028" s="35" t="s">
        <v>441</v>
      </c>
      <c r="S1028" s="35" t="str">
        <f>MID(Tabla1[[#This Row],[Aplicación]],6,2)</f>
        <v>06</v>
      </c>
      <c r="T1028" s="35" t="str">
        <f>VLOOKUP(Tabla1[[#This Row],[AREA]],Hoja1!A:B,2,FALSE)</f>
        <v>06. Educación, infancia, juventud e igualdad</v>
      </c>
      <c r="U1028" s="35" t="str">
        <f>MID(Tabla1[[#This Row],[Aplicación]],9,4)</f>
        <v>3232</v>
      </c>
      <c r="V1028" s="35" t="str">
        <f>VLOOKUP(Tabla1[[#This Row],[PROGRAMA]],Hoja1!A:B,2,FALSE)</f>
        <v>3232. Conservación y mantenimiento centros educación infantil y primaria</v>
      </c>
      <c r="W1028" s="35" t="str">
        <f>MID(Tabla1[[#This Row],[Aplicación]],14,2)</f>
        <v>21</v>
      </c>
      <c r="X1028" s="35" t="str">
        <f>MID(Tabla1[[#This Row],[Aplicación]],14,6)</f>
        <v>212</v>
      </c>
    </row>
    <row r="1029" spans="1:24" x14ac:dyDescent="0.25">
      <c r="A1029" s="49">
        <v>220220012635</v>
      </c>
      <c r="B1029" s="50" t="s">
        <v>172</v>
      </c>
      <c r="C1029" s="57">
        <v>44644</v>
      </c>
      <c r="D1029" s="49">
        <v>22022001170</v>
      </c>
      <c r="E1029" s="50" t="s">
        <v>1502</v>
      </c>
      <c r="F1029" s="58">
        <v>11.48</v>
      </c>
      <c r="G1029" s="50" t="s">
        <v>219</v>
      </c>
      <c r="H1029" s="50" t="s">
        <v>2470</v>
      </c>
      <c r="I1029" s="49" t="s">
        <v>173</v>
      </c>
      <c r="J1029" s="50" t="s">
        <v>109</v>
      </c>
      <c r="K1029" s="50" t="s">
        <v>109</v>
      </c>
      <c r="L1029" s="50" t="s">
        <v>15</v>
      </c>
      <c r="M1029" s="50" t="s">
        <v>13</v>
      </c>
      <c r="N1029" s="50" t="s">
        <v>14</v>
      </c>
      <c r="O1029" s="48" t="s">
        <v>631</v>
      </c>
      <c r="P1029" s="45" t="s">
        <v>453</v>
      </c>
      <c r="Q1029" s="35" t="str">
        <f>MID(Tabla1[[#This Row],[Aplicación]],14,1)</f>
        <v>2</v>
      </c>
      <c r="R1029" s="35" t="s">
        <v>441</v>
      </c>
      <c r="S1029" s="35" t="str">
        <f>MID(Tabla1[[#This Row],[Aplicación]],6,2)</f>
        <v>10</v>
      </c>
      <c r="T1029" s="35" t="str">
        <f>VLOOKUP(Tabla1[[#This Row],[AREA]],Hoja1!A:B,2,FALSE)</f>
        <v>10. Servicios sociales y mediación comunitaria</v>
      </c>
      <c r="U1029" s="35" t="str">
        <f>MID(Tabla1[[#This Row],[Aplicación]],9,4)</f>
        <v>2412</v>
      </c>
      <c r="V1029" s="35" t="str">
        <f>VLOOKUP(Tabla1[[#This Row],[PROGRAMA]],Hoja1!A:B,2,FALSE)</f>
        <v>2412. Formación para el empleo</v>
      </c>
      <c r="W1029" s="35" t="str">
        <f>MID(Tabla1[[#This Row],[Aplicación]],14,2)</f>
        <v>21</v>
      </c>
      <c r="X1029" s="35" t="str">
        <f>MID(Tabla1[[#This Row],[Aplicación]],14,6)</f>
        <v>213</v>
      </c>
    </row>
    <row r="1030" spans="1:24" x14ac:dyDescent="0.25">
      <c r="A1030" s="49">
        <v>220220012710</v>
      </c>
      <c r="B1030" s="50" t="s">
        <v>172</v>
      </c>
      <c r="C1030" s="57">
        <v>44644</v>
      </c>
      <c r="D1030" s="49">
        <v>22022001641</v>
      </c>
      <c r="E1030" s="50" t="s">
        <v>2034</v>
      </c>
      <c r="F1030" s="58">
        <v>26.32</v>
      </c>
      <c r="G1030" s="50" t="s">
        <v>219</v>
      </c>
      <c r="H1030" s="50" t="s">
        <v>2471</v>
      </c>
      <c r="I1030" s="49" t="s">
        <v>173</v>
      </c>
      <c r="J1030" s="50" t="s">
        <v>109</v>
      </c>
      <c r="K1030" s="50" t="s">
        <v>109</v>
      </c>
      <c r="L1030" s="50" t="s">
        <v>15</v>
      </c>
      <c r="M1030" s="50" t="s">
        <v>13</v>
      </c>
      <c r="N1030" s="50" t="s">
        <v>16</v>
      </c>
      <c r="O1030" s="48" t="s">
        <v>631</v>
      </c>
      <c r="P1030" s="45" t="s">
        <v>453</v>
      </c>
      <c r="Q1030" s="35" t="str">
        <f>MID(Tabla1[[#This Row],[Aplicación]],14,1)</f>
        <v>2</v>
      </c>
      <c r="R1030" s="35" t="s">
        <v>441</v>
      </c>
      <c r="S1030" s="35" t="str">
        <f>MID(Tabla1[[#This Row],[Aplicación]],6,2)</f>
        <v>06</v>
      </c>
      <c r="T1030" s="35" t="str">
        <f>VLOOKUP(Tabla1[[#This Row],[AREA]],Hoja1!A:B,2,FALSE)</f>
        <v>06. Educación, infancia, juventud e igualdad</v>
      </c>
      <c r="U1030" s="35" t="str">
        <f>MID(Tabla1[[#This Row],[Aplicación]],9,4)</f>
        <v>3232</v>
      </c>
      <c r="V1030" s="35" t="str">
        <f>VLOOKUP(Tabla1[[#This Row],[PROGRAMA]],Hoja1!A:B,2,FALSE)</f>
        <v>3232. Conservación y mantenimiento centros educación infantil y primaria</v>
      </c>
      <c r="W1030" s="35" t="str">
        <f>MID(Tabla1[[#This Row],[Aplicación]],14,2)</f>
        <v>21</v>
      </c>
      <c r="X1030" s="35" t="str">
        <f>MID(Tabla1[[#This Row],[Aplicación]],14,6)</f>
        <v>212</v>
      </c>
    </row>
    <row r="1031" spans="1:24" x14ac:dyDescent="0.25">
      <c r="A1031" s="49">
        <v>220220013104</v>
      </c>
      <c r="B1031" s="50" t="s">
        <v>172</v>
      </c>
      <c r="C1031" s="57">
        <v>44649</v>
      </c>
      <c r="D1031" s="49">
        <v>22022001178</v>
      </c>
      <c r="E1031" s="50" t="s">
        <v>1653</v>
      </c>
      <c r="F1031" s="58">
        <v>17.11</v>
      </c>
      <c r="G1031" s="50" t="s">
        <v>219</v>
      </c>
      <c r="H1031" s="50" t="s">
        <v>2472</v>
      </c>
      <c r="I1031" s="49" t="s">
        <v>173</v>
      </c>
      <c r="J1031" s="50" t="s">
        <v>109</v>
      </c>
      <c r="K1031" s="50" t="s">
        <v>109</v>
      </c>
      <c r="L1031" s="50" t="s">
        <v>15</v>
      </c>
      <c r="M1031" s="50" t="s">
        <v>13</v>
      </c>
      <c r="N1031" s="50" t="s">
        <v>14</v>
      </c>
      <c r="O1031" s="48" t="s">
        <v>631</v>
      </c>
      <c r="P1031" s="45" t="s">
        <v>453</v>
      </c>
      <c r="Q1031" s="35" t="str">
        <f>MID(Tabla1[[#This Row],[Aplicación]],14,1)</f>
        <v>2</v>
      </c>
      <c r="R1031" s="35" t="s">
        <v>441</v>
      </c>
      <c r="S1031" s="35" t="str">
        <f>MID(Tabla1[[#This Row],[Aplicación]],6,2)</f>
        <v>10</v>
      </c>
      <c r="T1031" s="35" t="str">
        <f>VLOOKUP(Tabla1[[#This Row],[AREA]],Hoja1!A:B,2,FALSE)</f>
        <v>10. Servicios sociales y mediación comunitaria</v>
      </c>
      <c r="U1031" s="35" t="str">
        <f>MID(Tabla1[[#This Row],[Aplicación]],9,4)</f>
        <v>2311</v>
      </c>
      <c r="V1031" s="35" t="str">
        <f>VLOOKUP(Tabla1[[#This Row],[PROGRAMA]],Hoja1!A:B,2,FALSE)</f>
        <v>2311. Intervención social</v>
      </c>
      <c r="W1031" s="35" t="str">
        <f>MID(Tabla1[[#This Row],[Aplicación]],14,2)</f>
        <v>21</v>
      </c>
      <c r="X1031" s="35" t="str">
        <f>MID(Tabla1[[#This Row],[Aplicación]],14,6)</f>
        <v>212</v>
      </c>
    </row>
    <row r="1032" spans="1:24" x14ac:dyDescent="0.25">
      <c r="A1032" s="49">
        <v>220220013147</v>
      </c>
      <c r="B1032" s="50" t="s">
        <v>172</v>
      </c>
      <c r="C1032" s="57">
        <v>44649</v>
      </c>
      <c r="D1032" s="49">
        <v>22022002585</v>
      </c>
      <c r="E1032" s="50" t="s">
        <v>1593</v>
      </c>
      <c r="F1032" s="58">
        <v>1843.02</v>
      </c>
      <c r="G1032" s="50" t="s">
        <v>219</v>
      </c>
      <c r="H1032" s="50" t="s">
        <v>2473</v>
      </c>
      <c r="I1032" s="49" t="s">
        <v>173</v>
      </c>
      <c r="J1032" s="50" t="s">
        <v>109</v>
      </c>
      <c r="K1032" s="50" t="s">
        <v>109</v>
      </c>
      <c r="L1032" s="50" t="s">
        <v>15</v>
      </c>
      <c r="M1032" s="50" t="s">
        <v>13</v>
      </c>
      <c r="N1032" s="50" t="s">
        <v>14</v>
      </c>
      <c r="O1032" s="48" t="s">
        <v>631</v>
      </c>
      <c r="P1032" s="45" t="s">
        <v>453</v>
      </c>
      <c r="Q1032" s="35" t="str">
        <f>MID(Tabla1[[#This Row],[Aplicación]],14,1)</f>
        <v>6</v>
      </c>
      <c r="R1032" s="35" t="s">
        <v>442</v>
      </c>
      <c r="S1032" s="35" t="str">
        <f>MID(Tabla1[[#This Row],[Aplicación]],6,2)</f>
        <v>07</v>
      </c>
      <c r="T1032" s="35" t="str">
        <f>VLOOKUP(Tabla1[[#This Row],[AREA]],Hoja1!A:B,2,FALSE)</f>
        <v>07. Medio ambiente y desarrollo sostenible</v>
      </c>
      <c r="U1032" s="35" t="str">
        <f>MID(Tabla1[[#This Row],[Aplicación]],9,4)</f>
        <v>1711</v>
      </c>
      <c r="V1032" s="35" t="str">
        <f>VLOOKUP(Tabla1[[#This Row],[PROGRAMA]],Hoja1!A:B,2,FALSE)</f>
        <v>1711. Parques y jardines</v>
      </c>
      <c r="W1032" s="35" t="str">
        <f>MID(Tabla1[[#This Row],[Aplicación]],14,2)</f>
        <v>61</v>
      </c>
      <c r="X1032" s="35" t="str">
        <f>MID(Tabla1[[#This Row],[Aplicación]],14,6)</f>
        <v>619</v>
      </c>
    </row>
    <row r="1033" spans="1:24" x14ac:dyDescent="0.25">
      <c r="A1033" s="49">
        <v>220220013233</v>
      </c>
      <c r="B1033" s="50" t="s">
        <v>172</v>
      </c>
      <c r="C1033" s="57">
        <v>44650</v>
      </c>
      <c r="D1033" s="49">
        <v>22022000045</v>
      </c>
      <c r="E1033" s="50" t="s">
        <v>2018</v>
      </c>
      <c r="F1033" s="58">
        <v>488.67</v>
      </c>
      <c r="G1033" s="50" t="s">
        <v>219</v>
      </c>
      <c r="H1033" s="50" t="s">
        <v>2474</v>
      </c>
      <c r="I1033" s="49" t="s">
        <v>173</v>
      </c>
      <c r="J1033" s="50" t="s">
        <v>109</v>
      </c>
      <c r="K1033" s="50" t="s">
        <v>109</v>
      </c>
      <c r="L1033" s="50" t="s">
        <v>15</v>
      </c>
      <c r="M1033" s="50" t="s">
        <v>13</v>
      </c>
      <c r="N1033" s="50" t="s">
        <v>14</v>
      </c>
      <c r="O1033" s="48" t="s">
        <v>631</v>
      </c>
      <c r="P1033" s="45" t="s">
        <v>453</v>
      </c>
      <c r="Q1033" s="35" t="str">
        <f>MID(Tabla1[[#This Row],[Aplicación]],14,1)</f>
        <v>2</v>
      </c>
      <c r="R1033" s="35" t="s">
        <v>441</v>
      </c>
      <c r="S1033" s="35" t="str">
        <f>MID(Tabla1[[#This Row],[Aplicación]],6,2)</f>
        <v>11</v>
      </c>
      <c r="T1033" s="35" t="str">
        <f>VLOOKUP(Tabla1[[#This Row],[AREA]],Hoja1!A:B,2,FALSE)</f>
        <v>11. Salud pública y seguridad ciudadana</v>
      </c>
      <c r="U1033" s="35" t="str">
        <f>MID(Tabla1[[#This Row],[Aplicación]],9,4)</f>
        <v>1631</v>
      </c>
      <c r="V1033" s="35" t="str">
        <f>VLOOKUP(Tabla1[[#This Row],[PROGRAMA]],Hoja1!A:B,2,FALSE)</f>
        <v>1631. Limpieza viaria</v>
      </c>
      <c r="W1033" s="35" t="str">
        <f>MID(Tabla1[[#This Row],[Aplicación]],14,2)</f>
        <v>22</v>
      </c>
      <c r="X1033" s="35" t="str">
        <f>MID(Tabla1[[#This Row],[Aplicación]],14,6)</f>
        <v>22199</v>
      </c>
    </row>
    <row r="1034" spans="1:24" x14ac:dyDescent="0.25">
      <c r="A1034" s="49">
        <v>220220006702</v>
      </c>
      <c r="B1034" s="50" t="s">
        <v>9</v>
      </c>
      <c r="C1034" s="57">
        <v>44617</v>
      </c>
      <c r="D1034" s="49">
        <v>22022002507</v>
      </c>
      <c r="E1034" s="50" t="s">
        <v>1551</v>
      </c>
      <c r="F1034" s="58">
        <v>1210</v>
      </c>
      <c r="G1034" s="50" t="s">
        <v>219</v>
      </c>
      <c r="H1034" s="50" t="s">
        <v>2475</v>
      </c>
      <c r="I1034" s="49" t="s">
        <v>107</v>
      </c>
      <c r="J1034" s="50" t="s">
        <v>109</v>
      </c>
      <c r="K1034" s="50" t="s">
        <v>109</v>
      </c>
      <c r="L1034" s="50" t="s">
        <v>12</v>
      </c>
      <c r="M1034" s="50" t="s">
        <v>10</v>
      </c>
      <c r="N1034" s="50" t="s">
        <v>11</v>
      </c>
      <c r="O1034" s="48" t="s">
        <v>632</v>
      </c>
      <c r="P1034" s="45" t="s">
        <v>453</v>
      </c>
      <c r="Q1034" s="35" t="str">
        <f>MID(Tabla1[[#This Row],[Aplicación]],14,1)</f>
        <v>2</v>
      </c>
      <c r="R1034" s="35" t="s">
        <v>441</v>
      </c>
      <c r="S1034" s="35" t="str">
        <f>MID(Tabla1[[#This Row],[Aplicación]],6,2)</f>
        <v>08</v>
      </c>
      <c r="T1034" s="35" t="str">
        <f>VLOOKUP(Tabla1[[#This Row],[AREA]],Hoja1!A:B,2,FALSE)</f>
        <v>08. Movilidad y espacio urbano</v>
      </c>
      <c r="U1034" s="35" t="str">
        <f>MID(Tabla1[[#This Row],[Aplicación]],9,4)</f>
        <v>1532</v>
      </c>
      <c r="V1034" s="35" t="str">
        <f>VLOOKUP(Tabla1[[#This Row],[PROGRAMA]],Hoja1!A:B,2,FALSE)</f>
        <v>1532. Pavimentación vias públicas y otros servicios urbanísticos</v>
      </c>
      <c r="W1034" s="35" t="str">
        <f>MID(Tabla1[[#This Row],[Aplicación]],14,2)</f>
        <v>21</v>
      </c>
      <c r="X1034" s="35" t="str">
        <f>MID(Tabla1[[#This Row],[Aplicación]],14,6)</f>
        <v>213</v>
      </c>
    </row>
    <row r="1035" spans="1:24" x14ac:dyDescent="0.25">
      <c r="A1035" s="49">
        <v>220220006757</v>
      </c>
      <c r="B1035" s="50" t="s">
        <v>172</v>
      </c>
      <c r="C1035" s="57">
        <v>44622</v>
      </c>
      <c r="D1035" s="49">
        <v>22022001623</v>
      </c>
      <c r="E1035" s="50" t="s">
        <v>1606</v>
      </c>
      <c r="F1035" s="58">
        <v>66.31</v>
      </c>
      <c r="G1035" s="50" t="s">
        <v>219</v>
      </c>
      <c r="H1035" s="50" t="s">
        <v>2476</v>
      </c>
      <c r="I1035" s="49" t="s">
        <v>173</v>
      </c>
      <c r="J1035" s="50" t="s">
        <v>109</v>
      </c>
      <c r="K1035" s="50" t="s">
        <v>109</v>
      </c>
      <c r="L1035" s="50" t="s">
        <v>15</v>
      </c>
      <c r="M1035" s="50" t="s">
        <v>13</v>
      </c>
      <c r="N1035" s="50" t="s">
        <v>14</v>
      </c>
      <c r="O1035" s="48" t="s">
        <v>631</v>
      </c>
      <c r="P1035" s="45" t="s">
        <v>453</v>
      </c>
      <c r="Q1035" s="35" t="str">
        <f>MID(Tabla1[[#This Row],[Aplicación]],14,1)</f>
        <v>2</v>
      </c>
      <c r="R1035" s="35" t="s">
        <v>441</v>
      </c>
      <c r="S1035" s="35" t="str">
        <f>MID(Tabla1[[#This Row],[Aplicación]],6,2)</f>
        <v>11</v>
      </c>
      <c r="T1035" s="35" t="str">
        <f>VLOOKUP(Tabla1[[#This Row],[AREA]],Hoja1!A:B,2,FALSE)</f>
        <v>11. Salud pública y seguridad ciudadana</v>
      </c>
      <c r="U1035" s="35" t="str">
        <f>MID(Tabla1[[#This Row],[Aplicación]],9,4)</f>
        <v>1361</v>
      </c>
      <c r="V1035" s="35" t="str">
        <f>VLOOKUP(Tabla1[[#This Row],[PROGRAMA]],Hoja1!A:B,2,FALSE)</f>
        <v>1361. Prevención y extinción de incencios</v>
      </c>
      <c r="W1035" s="35" t="str">
        <f>MID(Tabla1[[#This Row],[Aplicación]],14,2)</f>
        <v>22</v>
      </c>
      <c r="X1035" s="35" t="str">
        <f>MID(Tabla1[[#This Row],[Aplicación]],14,6)</f>
        <v>22199</v>
      </c>
    </row>
    <row r="1036" spans="1:24" x14ac:dyDescent="0.25">
      <c r="A1036" s="49">
        <v>220220008336</v>
      </c>
      <c r="B1036" s="50" t="s">
        <v>172</v>
      </c>
      <c r="C1036" s="57">
        <v>44631</v>
      </c>
      <c r="D1036" s="49">
        <v>22022001623</v>
      </c>
      <c r="E1036" s="50" t="s">
        <v>1606</v>
      </c>
      <c r="F1036" s="58">
        <v>397.98</v>
      </c>
      <c r="G1036" s="50" t="s">
        <v>219</v>
      </c>
      <c r="H1036" s="50" t="s">
        <v>2477</v>
      </c>
      <c r="I1036" s="49" t="s">
        <v>173</v>
      </c>
      <c r="J1036" s="50" t="s">
        <v>109</v>
      </c>
      <c r="K1036" s="50" t="s">
        <v>109</v>
      </c>
      <c r="L1036" s="50" t="s">
        <v>15</v>
      </c>
      <c r="M1036" s="50" t="s">
        <v>13</v>
      </c>
      <c r="N1036" s="50" t="s">
        <v>14</v>
      </c>
      <c r="O1036" s="48" t="s">
        <v>631</v>
      </c>
      <c r="P1036" s="45" t="s">
        <v>453</v>
      </c>
      <c r="Q1036" s="35" t="str">
        <f>MID(Tabla1[[#This Row],[Aplicación]],14,1)</f>
        <v>2</v>
      </c>
      <c r="R1036" s="35" t="s">
        <v>441</v>
      </c>
      <c r="S1036" s="35" t="str">
        <f>MID(Tabla1[[#This Row],[Aplicación]],6,2)</f>
        <v>11</v>
      </c>
      <c r="T1036" s="35" t="str">
        <f>VLOOKUP(Tabla1[[#This Row],[AREA]],Hoja1!A:B,2,FALSE)</f>
        <v>11. Salud pública y seguridad ciudadana</v>
      </c>
      <c r="U1036" s="35" t="str">
        <f>MID(Tabla1[[#This Row],[Aplicación]],9,4)</f>
        <v>1361</v>
      </c>
      <c r="V1036" s="35" t="str">
        <f>VLOOKUP(Tabla1[[#This Row],[PROGRAMA]],Hoja1!A:B,2,FALSE)</f>
        <v>1361. Prevención y extinción de incencios</v>
      </c>
      <c r="W1036" s="35" t="str">
        <f>MID(Tabla1[[#This Row],[Aplicación]],14,2)</f>
        <v>22</v>
      </c>
      <c r="X1036" s="35" t="str">
        <f>MID(Tabla1[[#This Row],[Aplicación]],14,6)</f>
        <v>22199</v>
      </c>
    </row>
    <row r="1037" spans="1:24" x14ac:dyDescent="0.25">
      <c r="A1037" s="49">
        <v>220220009354</v>
      </c>
      <c r="B1037" s="50" t="s">
        <v>9</v>
      </c>
      <c r="C1037" s="57">
        <v>44636</v>
      </c>
      <c r="D1037" s="49">
        <v>22022002769</v>
      </c>
      <c r="E1037" s="50" t="s">
        <v>2232</v>
      </c>
      <c r="F1037" s="58">
        <v>200</v>
      </c>
      <c r="G1037" s="50" t="s">
        <v>217</v>
      </c>
      <c r="H1037" s="50" t="s">
        <v>2478</v>
      </c>
      <c r="I1037" s="49" t="s">
        <v>107</v>
      </c>
      <c r="J1037" s="50" t="s">
        <v>109</v>
      </c>
      <c r="K1037" s="50" t="s">
        <v>109</v>
      </c>
      <c r="L1037" s="50" t="s">
        <v>15</v>
      </c>
      <c r="M1037" s="50" t="s">
        <v>10</v>
      </c>
      <c r="N1037" s="50" t="s">
        <v>11</v>
      </c>
      <c r="O1037" s="48" t="s">
        <v>632</v>
      </c>
      <c r="P1037" s="45" t="s">
        <v>453</v>
      </c>
      <c r="Q1037" s="35" t="str">
        <f>MID(Tabla1[[#This Row],[Aplicación]],14,1)</f>
        <v>2</v>
      </c>
      <c r="R1037" s="35" t="s">
        <v>441</v>
      </c>
      <c r="S1037" s="35" t="str">
        <f>MID(Tabla1[[#This Row],[Aplicación]],6,2)</f>
        <v>06</v>
      </c>
      <c r="T1037" s="35" t="str">
        <f>VLOOKUP(Tabla1[[#This Row],[AREA]],Hoja1!A:B,2,FALSE)</f>
        <v>06. Educación, infancia, juventud e igualdad</v>
      </c>
      <c r="U1037" s="35" t="str">
        <f>MID(Tabla1[[#This Row],[Aplicación]],9,4)</f>
        <v>3231</v>
      </c>
      <c r="V1037" s="35" t="str">
        <f>VLOOKUP(Tabla1[[#This Row],[PROGRAMA]],Hoja1!A:B,2,FALSE)</f>
        <v>3231. Escuelas infantiles</v>
      </c>
      <c r="W1037" s="35" t="str">
        <f>MID(Tabla1[[#This Row],[Aplicación]],14,2)</f>
        <v>22</v>
      </c>
      <c r="X1037" s="35" t="str">
        <f>MID(Tabla1[[#This Row],[Aplicación]],14,6)</f>
        <v>22699</v>
      </c>
    </row>
    <row r="1038" spans="1:24" x14ac:dyDescent="0.25">
      <c r="A1038" s="49">
        <v>220209000033</v>
      </c>
      <c r="B1038" s="50" t="s">
        <v>9</v>
      </c>
      <c r="C1038" s="57">
        <v>44562</v>
      </c>
      <c r="D1038" s="49">
        <v>22022000169</v>
      </c>
      <c r="E1038" s="50" t="s">
        <v>1397</v>
      </c>
      <c r="F1038" s="58">
        <v>35310</v>
      </c>
      <c r="G1038" s="50" t="s">
        <v>135</v>
      </c>
      <c r="H1038" s="50" t="s">
        <v>546</v>
      </c>
      <c r="I1038" s="49" t="s">
        <v>107</v>
      </c>
      <c r="J1038" s="50" t="s">
        <v>547</v>
      </c>
      <c r="K1038" s="50" t="s">
        <v>109</v>
      </c>
      <c r="L1038" s="50" t="s">
        <v>12</v>
      </c>
      <c r="M1038" s="50" t="s">
        <v>13</v>
      </c>
      <c r="N1038" s="50" t="s">
        <v>14</v>
      </c>
      <c r="O1038" s="48" t="s">
        <v>620</v>
      </c>
      <c r="P1038" s="45" t="s">
        <v>453</v>
      </c>
      <c r="Q1038" s="35" t="str">
        <f>MID(Tabla1[[#This Row],[Aplicación]],14,1)</f>
        <v>2</v>
      </c>
      <c r="R1038" s="35" t="s">
        <v>441</v>
      </c>
      <c r="S1038" s="35" t="str">
        <f>MID(Tabla1[[#This Row],[Aplicación]],6,2)</f>
        <v>10</v>
      </c>
      <c r="T1038" s="35" t="str">
        <f>VLOOKUP(Tabla1[[#This Row],[AREA]],Hoja1!A:B,2,FALSE)</f>
        <v>10. Servicios sociales y mediación comunitaria</v>
      </c>
      <c r="U1038" s="35" t="str">
        <f>MID(Tabla1[[#This Row],[Aplicación]],9,4)</f>
        <v>2312</v>
      </c>
      <c r="V1038" s="35" t="str">
        <f>VLOOKUP(Tabla1[[#This Row],[PROGRAMA]],Hoja1!A:B,2,FALSE)</f>
        <v>2312. Iniciativas sociales</v>
      </c>
      <c r="W1038" s="35" t="str">
        <f>MID(Tabla1[[#This Row],[Aplicación]],14,2)</f>
        <v>22</v>
      </c>
      <c r="X1038" s="35" t="str">
        <f>MID(Tabla1[[#This Row],[Aplicación]],14,6)</f>
        <v>22799</v>
      </c>
    </row>
    <row r="1039" spans="1:24" x14ac:dyDescent="0.25">
      <c r="A1039" s="49">
        <v>220220000344</v>
      </c>
      <c r="B1039" s="50" t="s">
        <v>9</v>
      </c>
      <c r="C1039" s="57">
        <v>44585</v>
      </c>
      <c r="D1039" s="49">
        <v>22022001252</v>
      </c>
      <c r="E1039" s="50" t="s">
        <v>1868</v>
      </c>
      <c r="F1039" s="58">
        <v>349</v>
      </c>
      <c r="G1039" s="50" t="s">
        <v>849</v>
      </c>
      <c r="H1039" s="50" t="s">
        <v>2479</v>
      </c>
      <c r="I1039" s="49" t="s">
        <v>107</v>
      </c>
      <c r="J1039" s="50" t="s">
        <v>109</v>
      </c>
      <c r="K1039" s="50" t="s">
        <v>109</v>
      </c>
      <c r="L1039" s="50" t="s">
        <v>15</v>
      </c>
      <c r="M1039" s="50" t="s">
        <v>10</v>
      </c>
      <c r="N1039" s="50" t="s">
        <v>11</v>
      </c>
      <c r="O1039" s="48" t="s">
        <v>632</v>
      </c>
      <c r="P1039" s="45" t="s">
        <v>453</v>
      </c>
      <c r="Q1039" s="35" t="str">
        <f>MID(Tabla1[[#This Row],[Aplicación]],14,1)</f>
        <v>2</v>
      </c>
      <c r="R1039" s="35" t="s">
        <v>441</v>
      </c>
      <c r="S1039" s="35" t="str">
        <f>MID(Tabla1[[#This Row],[Aplicación]],6,2)</f>
        <v>10</v>
      </c>
      <c r="T1039" s="35" t="str">
        <f>VLOOKUP(Tabla1[[#This Row],[AREA]],Hoja1!A:B,2,FALSE)</f>
        <v>10. Servicios sociales y mediación comunitaria</v>
      </c>
      <c r="U1039" s="35" t="str">
        <f>MID(Tabla1[[#This Row],[Aplicación]],9,4)</f>
        <v>2311</v>
      </c>
      <c r="V1039" s="35" t="str">
        <f>VLOOKUP(Tabla1[[#This Row],[PROGRAMA]],Hoja1!A:B,2,FALSE)</f>
        <v>2311. Intervención social</v>
      </c>
      <c r="W1039" s="35" t="str">
        <f>MID(Tabla1[[#This Row],[Aplicación]],14,2)</f>
        <v>22</v>
      </c>
      <c r="X1039" s="35" t="str">
        <f>MID(Tabla1[[#This Row],[Aplicación]],14,6)</f>
        <v>22699</v>
      </c>
    </row>
    <row r="1040" spans="1:24" x14ac:dyDescent="0.25">
      <c r="A1040" s="49">
        <v>220210084920</v>
      </c>
      <c r="B1040" s="50" t="s">
        <v>9</v>
      </c>
      <c r="C1040" s="57">
        <v>44631</v>
      </c>
      <c r="D1040" s="49">
        <v>22021007131</v>
      </c>
      <c r="E1040" s="50" t="s">
        <v>1593</v>
      </c>
      <c r="F1040" s="58">
        <v>87835.55</v>
      </c>
      <c r="G1040" s="50" t="s">
        <v>778</v>
      </c>
      <c r="H1040" s="50" t="s">
        <v>1292</v>
      </c>
      <c r="I1040" s="49" t="s">
        <v>107</v>
      </c>
      <c r="J1040" s="50" t="s">
        <v>157</v>
      </c>
      <c r="K1040" s="50" t="s">
        <v>157</v>
      </c>
      <c r="L1040" s="50" t="s">
        <v>25</v>
      </c>
      <c r="M1040" s="50" t="s">
        <v>13</v>
      </c>
      <c r="N1040" s="50" t="s">
        <v>14</v>
      </c>
      <c r="O1040" s="48" t="s">
        <v>620</v>
      </c>
      <c r="P1040" s="45" t="s">
        <v>453</v>
      </c>
      <c r="Q1040" s="35" t="str">
        <f>MID(Tabla1[[#This Row],[Aplicación]],14,1)</f>
        <v>6</v>
      </c>
      <c r="R1040" s="35" t="s">
        <v>442</v>
      </c>
      <c r="S1040" s="35" t="str">
        <f>MID(Tabla1[[#This Row],[Aplicación]],6,2)</f>
        <v>07</v>
      </c>
      <c r="T1040" s="35" t="str">
        <f>VLOOKUP(Tabla1[[#This Row],[AREA]],Hoja1!A:B,2,FALSE)</f>
        <v>07. Medio ambiente y desarrollo sostenible</v>
      </c>
      <c r="U1040" s="35" t="str">
        <f>MID(Tabla1[[#This Row],[Aplicación]],9,4)</f>
        <v>1711</v>
      </c>
      <c r="V1040" s="35" t="str">
        <f>VLOOKUP(Tabla1[[#This Row],[PROGRAMA]],Hoja1!A:B,2,FALSE)</f>
        <v>1711. Parques y jardines</v>
      </c>
      <c r="W1040" s="35" t="str">
        <f>MID(Tabla1[[#This Row],[Aplicación]],14,2)</f>
        <v>61</v>
      </c>
      <c r="X1040" s="35" t="str">
        <f>MID(Tabla1[[#This Row],[Aplicación]],14,6)</f>
        <v>619</v>
      </c>
    </row>
    <row r="1041" spans="1:24" x14ac:dyDescent="0.25">
      <c r="A1041" s="49">
        <v>220210065439</v>
      </c>
      <c r="B1041" s="50" t="s">
        <v>9</v>
      </c>
      <c r="C1041" s="57">
        <v>44631</v>
      </c>
      <c r="D1041" s="49">
        <v>22021006471</v>
      </c>
      <c r="E1041" s="50" t="s">
        <v>1593</v>
      </c>
      <c r="F1041" s="58">
        <v>69838.42</v>
      </c>
      <c r="G1041" s="50" t="s">
        <v>778</v>
      </c>
      <c r="H1041" s="50" t="s">
        <v>1174</v>
      </c>
      <c r="I1041" s="49" t="s">
        <v>107</v>
      </c>
      <c r="J1041" s="50" t="s">
        <v>157</v>
      </c>
      <c r="K1041" s="50" t="s">
        <v>157</v>
      </c>
      <c r="L1041" s="50" t="s">
        <v>25</v>
      </c>
      <c r="M1041" s="50" t="s">
        <v>13</v>
      </c>
      <c r="N1041" s="50" t="s">
        <v>14</v>
      </c>
      <c r="O1041" s="48" t="s">
        <v>620</v>
      </c>
      <c r="P1041" s="45" t="s">
        <v>453</v>
      </c>
      <c r="Q1041" s="35" t="str">
        <f>MID(Tabla1[[#This Row],[Aplicación]],14,1)</f>
        <v>6</v>
      </c>
      <c r="R1041" s="35" t="s">
        <v>442</v>
      </c>
      <c r="S1041" s="35" t="str">
        <f>MID(Tabla1[[#This Row],[Aplicación]],6,2)</f>
        <v>07</v>
      </c>
      <c r="T1041" s="35" t="str">
        <f>VLOOKUP(Tabla1[[#This Row],[AREA]],Hoja1!A:B,2,FALSE)</f>
        <v>07. Medio ambiente y desarrollo sostenible</v>
      </c>
      <c r="U1041" s="35" t="str">
        <f>MID(Tabla1[[#This Row],[Aplicación]],9,4)</f>
        <v>1711</v>
      </c>
      <c r="V1041" s="35" t="str">
        <f>VLOOKUP(Tabla1[[#This Row],[PROGRAMA]],Hoja1!A:B,2,FALSE)</f>
        <v>1711. Parques y jardines</v>
      </c>
      <c r="W1041" s="35" t="str">
        <f>MID(Tabla1[[#This Row],[Aplicación]],14,2)</f>
        <v>61</v>
      </c>
      <c r="X1041" s="35" t="str">
        <f>MID(Tabla1[[#This Row],[Aplicación]],14,6)</f>
        <v>619</v>
      </c>
    </row>
    <row r="1042" spans="1:24" x14ac:dyDescent="0.25">
      <c r="A1042" s="49">
        <v>220219000686</v>
      </c>
      <c r="B1042" s="50" t="s">
        <v>9</v>
      </c>
      <c r="C1042" s="57">
        <v>44562</v>
      </c>
      <c r="D1042" s="49">
        <v>22022000088</v>
      </c>
      <c r="E1042" s="50" t="s">
        <v>1749</v>
      </c>
      <c r="F1042" s="58">
        <v>24835.25</v>
      </c>
      <c r="G1042" s="50" t="s">
        <v>104</v>
      </c>
      <c r="H1042" s="50" t="s">
        <v>2480</v>
      </c>
      <c r="I1042" s="49" t="s">
        <v>107</v>
      </c>
      <c r="J1042" s="50" t="s">
        <v>109</v>
      </c>
      <c r="K1042" s="50" t="s">
        <v>109</v>
      </c>
      <c r="L1042" s="50" t="s">
        <v>15</v>
      </c>
      <c r="M1042" s="50" t="s">
        <v>13</v>
      </c>
      <c r="N1042" s="50" t="s">
        <v>14</v>
      </c>
      <c r="O1042" s="48" t="s">
        <v>620</v>
      </c>
      <c r="P1042" s="45" t="s">
        <v>453</v>
      </c>
      <c r="Q1042" s="35" t="str">
        <f>MID(Tabla1[[#This Row],[Aplicación]],14,1)</f>
        <v>2</v>
      </c>
      <c r="R1042" s="35" t="s">
        <v>441</v>
      </c>
      <c r="S1042" s="35" t="str">
        <f>MID(Tabla1[[#This Row],[Aplicación]],6,2)</f>
        <v>11</v>
      </c>
      <c r="T1042" s="35" t="str">
        <f>VLOOKUP(Tabla1[[#This Row],[AREA]],Hoja1!A:B,2,FALSE)</f>
        <v>11. Salud pública y seguridad ciudadana</v>
      </c>
      <c r="U1042" s="35" t="str">
        <f>MID(Tabla1[[#This Row],[Aplicación]],9,4)</f>
        <v>1321</v>
      </c>
      <c r="V1042" s="35" t="str">
        <f>VLOOKUP(Tabla1[[#This Row],[PROGRAMA]],Hoja1!A:B,2,FALSE)</f>
        <v>1321. Policía municipal</v>
      </c>
      <c r="W1042" s="35" t="str">
        <f>MID(Tabla1[[#This Row],[Aplicación]],14,2)</f>
        <v>22</v>
      </c>
      <c r="X1042" s="35" t="str">
        <f>MID(Tabla1[[#This Row],[Aplicación]],14,6)</f>
        <v>22104</v>
      </c>
    </row>
    <row r="1043" spans="1:24" x14ac:dyDescent="0.25">
      <c r="A1043" s="49">
        <v>220220003847</v>
      </c>
      <c r="B1043" s="50" t="s">
        <v>9</v>
      </c>
      <c r="C1043" s="57">
        <v>44608</v>
      </c>
      <c r="D1043" s="49">
        <v>22022002204</v>
      </c>
      <c r="E1043" s="50" t="s">
        <v>1629</v>
      </c>
      <c r="F1043" s="58">
        <v>3872</v>
      </c>
      <c r="G1043" s="50" t="s">
        <v>1108</v>
      </c>
      <c r="H1043" s="50" t="s">
        <v>2481</v>
      </c>
      <c r="I1043" s="49" t="s">
        <v>107</v>
      </c>
      <c r="J1043" s="50" t="s">
        <v>109</v>
      </c>
      <c r="K1043" s="50" t="s">
        <v>109</v>
      </c>
      <c r="L1043" s="50" t="s">
        <v>12</v>
      </c>
      <c r="M1043" s="50" t="s">
        <v>10</v>
      </c>
      <c r="N1043" s="50" t="s">
        <v>11</v>
      </c>
      <c r="O1043" s="48" t="s">
        <v>632</v>
      </c>
      <c r="P1043" s="45" t="s">
        <v>453</v>
      </c>
      <c r="Q1043" s="35" t="str">
        <f>MID(Tabla1[[#This Row],[Aplicación]],14,1)</f>
        <v>2</v>
      </c>
      <c r="R1043" s="35" t="s">
        <v>441</v>
      </c>
      <c r="S1043" s="35" t="str">
        <f>MID(Tabla1[[#This Row],[Aplicación]],6,2)</f>
        <v>06</v>
      </c>
      <c r="T1043" s="35" t="str">
        <f>VLOOKUP(Tabla1[[#This Row],[AREA]],Hoja1!A:B,2,FALSE)</f>
        <v>06. Educación, infancia, juventud e igualdad</v>
      </c>
      <c r="U1043" s="35" t="str">
        <f>MID(Tabla1[[#This Row],[Aplicación]],9,4)</f>
        <v>2315</v>
      </c>
      <c r="V1043" s="35" t="str">
        <f>VLOOKUP(Tabla1[[#This Row],[PROGRAMA]],Hoja1!A:B,2,FALSE)</f>
        <v>2315. Políticas de Igualdad e infancia</v>
      </c>
      <c r="W1043" s="35" t="str">
        <f>MID(Tabla1[[#This Row],[Aplicación]],14,2)</f>
        <v>22</v>
      </c>
      <c r="X1043" s="35" t="str">
        <f>MID(Tabla1[[#This Row],[Aplicación]],14,6)</f>
        <v>22611</v>
      </c>
    </row>
    <row r="1044" spans="1:24" x14ac:dyDescent="0.25">
      <c r="A1044" s="49">
        <v>220219000684</v>
      </c>
      <c r="B1044" s="50" t="s">
        <v>9</v>
      </c>
      <c r="C1044" s="57">
        <v>44562</v>
      </c>
      <c r="D1044" s="49">
        <v>22022000086</v>
      </c>
      <c r="E1044" s="50" t="s">
        <v>1749</v>
      </c>
      <c r="F1044" s="58">
        <v>19753.25</v>
      </c>
      <c r="G1044" s="50" t="s">
        <v>104</v>
      </c>
      <c r="H1044" s="50" t="s">
        <v>2482</v>
      </c>
      <c r="I1044" s="49" t="s">
        <v>107</v>
      </c>
      <c r="J1044" s="50" t="s">
        <v>109</v>
      </c>
      <c r="K1044" s="50" t="s">
        <v>109</v>
      </c>
      <c r="L1044" s="50" t="s">
        <v>15</v>
      </c>
      <c r="M1044" s="50" t="s">
        <v>13</v>
      </c>
      <c r="N1044" s="50" t="s">
        <v>14</v>
      </c>
      <c r="O1044" s="48" t="s">
        <v>620</v>
      </c>
      <c r="P1044" s="45" t="s">
        <v>453</v>
      </c>
      <c r="Q1044" s="35" t="str">
        <f>MID(Tabla1[[#This Row],[Aplicación]],14,1)</f>
        <v>2</v>
      </c>
      <c r="R1044" s="35" t="s">
        <v>441</v>
      </c>
      <c r="S1044" s="35" t="str">
        <f>MID(Tabla1[[#This Row],[Aplicación]],6,2)</f>
        <v>11</v>
      </c>
      <c r="T1044" s="35" t="str">
        <f>VLOOKUP(Tabla1[[#This Row],[AREA]],Hoja1!A:B,2,FALSE)</f>
        <v>11. Salud pública y seguridad ciudadana</v>
      </c>
      <c r="U1044" s="35" t="str">
        <f>MID(Tabla1[[#This Row],[Aplicación]],9,4)</f>
        <v>1321</v>
      </c>
      <c r="V1044" s="35" t="str">
        <f>VLOOKUP(Tabla1[[#This Row],[PROGRAMA]],Hoja1!A:B,2,FALSE)</f>
        <v>1321. Policía municipal</v>
      </c>
      <c r="W1044" s="35" t="str">
        <f>MID(Tabla1[[#This Row],[Aplicación]],14,2)</f>
        <v>22</v>
      </c>
      <c r="X1044" s="35" t="str">
        <f>MID(Tabla1[[#This Row],[Aplicación]],14,6)</f>
        <v>22104</v>
      </c>
    </row>
    <row r="1045" spans="1:24" x14ac:dyDescent="0.25">
      <c r="A1045" s="49">
        <v>220220006705</v>
      </c>
      <c r="B1045" s="50" t="s">
        <v>9</v>
      </c>
      <c r="C1045" s="57">
        <v>44617</v>
      </c>
      <c r="D1045" s="49">
        <v>22022002518</v>
      </c>
      <c r="E1045" s="50" t="s">
        <v>1417</v>
      </c>
      <c r="F1045" s="58">
        <v>2500</v>
      </c>
      <c r="G1045" s="50" t="s">
        <v>925</v>
      </c>
      <c r="H1045" s="50" t="s">
        <v>2483</v>
      </c>
      <c r="I1045" s="49" t="s">
        <v>107</v>
      </c>
      <c r="J1045" s="50" t="s">
        <v>108</v>
      </c>
      <c r="K1045" s="50" t="s">
        <v>108</v>
      </c>
      <c r="L1045" s="50" t="s">
        <v>12</v>
      </c>
      <c r="M1045" s="50" t="s">
        <v>10</v>
      </c>
      <c r="N1045" s="50" t="s">
        <v>11</v>
      </c>
      <c r="O1045" s="48" t="s">
        <v>632</v>
      </c>
      <c r="P1045" s="45" t="s">
        <v>453</v>
      </c>
      <c r="Q1045" s="35" t="str">
        <f>MID(Tabla1[[#This Row],[Aplicación]],14,1)</f>
        <v>2</v>
      </c>
      <c r="R1045" s="35" t="s">
        <v>441</v>
      </c>
      <c r="S1045" s="35" t="str">
        <f>MID(Tabla1[[#This Row],[Aplicación]],6,2)</f>
        <v>11</v>
      </c>
      <c r="T1045" s="35" t="str">
        <f>VLOOKUP(Tabla1[[#This Row],[AREA]],Hoja1!A:B,2,FALSE)</f>
        <v>11. Salud pública y seguridad ciudadana</v>
      </c>
      <c r="U1045" s="35" t="str">
        <f>MID(Tabla1[[#This Row],[Aplicación]],9,4)</f>
        <v>1621</v>
      </c>
      <c r="V1045" s="35" t="str">
        <f>VLOOKUP(Tabla1[[#This Row],[PROGRAMA]],Hoja1!A:B,2,FALSE)</f>
        <v>1621. Servicio de limpieza</v>
      </c>
      <c r="W1045" s="35" t="str">
        <f>MID(Tabla1[[#This Row],[Aplicación]],14,2)</f>
        <v>22</v>
      </c>
      <c r="X1045" s="35" t="str">
        <f>MID(Tabla1[[#This Row],[Aplicación]],14,6)</f>
        <v>22700</v>
      </c>
    </row>
    <row r="1046" spans="1:24" x14ac:dyDescent="0.25">
      <c r="A1046" s="49">
        <v>220220001613</v>
      </c>
      <c r="B1046" s="50" t="s">
        <v>9</v>
      </c>
      <c r="C1046" s="57">
        <v>44587</v>
      </c>
      <c r="D1046" s="49">
        <v>22022001550</v>
      </c>
      <c r="E1046" s="50" t="s">
        <v>2194</v>
      </c>
      <c r="F1046" s="58">
        <v>931.5</v>
      </c>
      <c r="G1046" s="50" t="s">
        <v>2484</v>
      </c>
      <c r="H1046" s="50" t="s">
        <v>2485</v>
      </c>
      <c r="I1046" s="49" t="s">
        <v>107</v>
      </c>
      <c r="J1046" s="50" t="s">
        <v>109</v>
      </c>
      <c r="K1046" s="50" t="s">
        <v>154</v>
      </c>
      <c r="L1046" s="50" t="s">
        <v>12</v>
      </c>
      <c r="M1046" s="50" t="s">
        <v>10</v>
      </c>
      <c r="N1046" s="50" t="s">
        <v>11</v>
      </c>
      <c r="O1046" s="48" t="s">
        <v>632</v>
      </c>
      <c r="P1046" s="45" t="s">
        <v>453</v>
      </c>
      <c r="Q1046" s="35" t="str">
        <f>MID(Tabla1[[#This Row],[Aplicación]],14,1)</f>
        <v>2</v>
      </c>
      <c r="R1046" s="35" t="s">
        <v>441</v>
      </c>
      <c r="S1046" s="35" t="str">
        <f>MID(Tabla1[[#This Row],[Aplicación]],6,2)</f>
        <v>10</v>
      </c>
      <c r="T1046" s="35" t="str">
        <f>VLOOKUP(Tabla1[[#This Row],[AREA]],Hoja1!A:B,2,FALSE)</f>
        <v>10. Servicios sociales y mediación comunitaria</v>
      </c>
      <c r="U1046" s="35" t="str">
        <f>MID(Tabla1[[#This Row],[Aplicación]],9,4)</f>
        <v>2312</v>
      </c>
      <c r="V1046" s="35" t="str">
        <f>VLOOKUP(Tabla1[[#This Row],[PROGRAMA]],Hoja1!A:B,2,FALSE)</f>
        <v>2312. Iniciativas sociales</v>
      </c>
      <c r="W1046" s="35" t="str">
        <f>MID(Tabla1[[#This Row],[Aplicación]],14,2)</f>
        <v>22</v>
      </c>
      <c r="X1046" s="35" t="str">
        <f>MID(Tabla1[[#This Row],[Aplicación]],14,6)</f>
        <v>22617</v>
      </c>
    </row>
    <row r="1047" spans="1:24" x14ac:dyDescent="0.25">
      <c r="A1047" s="49">
        <v>220219000690</v>
      </c>
      <c r="B1047" s="50" t="s">
        <v>9</v>
      </c>
      <c r="C1047" s="57">
        <v>44562</v>
      </c>
      <c r="D1047" s="49">
        <v>22022000092</v>
      </c>
      <c r="E1047" s="50" t="s">
        <v>1749</v>
      </c>
      <c r="F1047" s="58">
        <v>18376.88</v>
      </c>
      <c r="G1047" s="50" t="s">
        <v>104</v>
      </c>
      <c r="H1047" s="50" t="s">
        <v>2486</v>
      </c>
      <c r="I1047" s="49" t="s">
        <v>107</v>
      </c>
      <c r="J1047" s="50" t="s">
        <v>109</v>
      </c>
      <c r="K1047" s="50" t="s">
        <v>109</v>
      </c>
      <c r="L1047" s="50" t="s">
        <v>15</v>
      </c>
      <c r="M1047" s="50" t="s">
        <v>13</v>
      </c>
      <c r="N1047" s="50" t="s">
        <v>14</v>
      </c>
      <c r="O1047" s="48" t="s">
        <v>620</v>
      </c>
      <c r="P1047" s="45" t="s">
        <v>453</v>
      </c>
      <c r="Q1047" s="35" t="str">
        <f>MID(Tabla1[[#This Row],[Aplicación]],14,1)</f>
        <v>2</v>
      </c>
      <c r="R1047" s="35" t="s">
        <v>441</v>
      </c>
      <c r="S1047" s="35" t="str">
        <f>MID(Tabla1[[#This Row],[Aplicación]],6,2)</f>
        <v>11</v>
      </c>
      <c r="T1047" s="35" t="str">
        <f>VLOOKUP(Tabla1[[#This Row],[AREA]],Hoja1!A:B,2,FALSE)</f>
        <v>11. Salud pública y seguridad ciudadana</v>
      </c>
      <c r="U1047" s="35" t="str">
        <f>MID(Tabla1[[#This Row],[Aplicación]],9,4)</f>
        <v>1321</v>
      </c>
      <c r="V1047" s="35" t="str">
        <f>VLOOKUP(Tabla1[[#This Row],[PROGRAMA]],Hoja1!A:B,2,FALSE)</f>
        <v>1321. Policía municipal</v>
      </c>
      <c r="W1047" s="35" t="str">
        <f>MID(Tabla1[[#This Row],[Aplicación]],14,2)</f>
        <v>22</v>
      </c>
      <c r="X1047" s="35" t="str">
        <f>MID(Tabla1[[#This Row],[Aplicación]],14,6)</f>
        <v>22104</v>
      </c>
    </row>
    <row r="1048" spans="1:24" x14ac:dyDescent="0.25">
      <c r="A1048" s="49">
        <v>220210082257</v>
      </c>
      <c r="B1048" s="50" t="s">
        <v>9</v>
      </c>
      <c r="C1048" s="57">
        <v>44631</v>
      </c>
      <c r="D1048" s="49">
        <v>22021007138</v>
      </c>
      <c r="E1048" s="50" t="s">
        <v>1593</v>
      </c>
      <c r="F1048" s="58">
        <v>66935.13</v>
      </c>
      <c r="G1048" s="50" t="s">
        <v>778</v>
      </c>
      <c r="H1048" s="50" t="s">
        <v>1298</v>
      </c>
      <c r="I1048" s="49" t="s">
        <v>107</v>
      </c>
      <c r="J1048" s="50" t="s">
        <v>157</v>
      </c>
      <c r="K1048" s="50" t="s">
        <v>157</v>
      </c>
      <c r="L1048" s="50" t="s">
        <v>25</v>
      </c>
      <c r="M1048" s="50" t="s">
        <v>13</v>
      </c>
      <c r="N1048" s="50" t="s">
        <v>14</v>
      </c>
      <c r="O1048" s="48" t="s">
        <v>620</v>
      </c>
      <c r="P1048" s="45" t="s">
        <v>453</v>
      </c>
      <c r="Q1048" s="35" t="str">
        <f>MID(Tabla1[[#This Row],[Aplicación]],14,1)</f>
        <v>6</v>
      </c>
      <c r="R1048" s="35" t="s">
        <v>442</v>
      </c>
      <c r="S1048" s="35" t="str">
        <f>MID(Tabla1[[#This Row],[Aplicación]],6,2)</f>
        <v>07</v>
      </c>
      <c r="T1048" s="35" t="str">
        <f>VLOOKUP(Tabla1[[#This Row],[AREA]],Hoja1!A:B,2,FALSE)</f>
        <v>07. Medio ambiente y desarrollo sostenible</v>
      </c>
      <c r="U1048" s="35" t="str">
        <f>MID(Tabla1[[#This Row],[Aplicación]],9,4)</f>
        <v>1711</v>
      </c>
      <c r="V1048" s="35" t="str">
        <f>VLOOKUP(Tabla1[[#This Row],[PROGRAMA]],Hoja1!A:B,2,FALSE)</f>
        <v>1711. Parques y jardines</v>
      </c>
      <c r="W1048" s="35" t="str">
        <f>MID(Tabla1[[#This Row],[Aplicación]],14,2)</f>
        <v>61</v>
      </c>
      <c r="X1048" s="35" t="str">
        <f>MID(Tabla1[[#This Row],[Aplicación]],14,6)</f>
        <v>619</v>
      </c>
    </row>
    <row r="1049" spans="1:24" x14ac:dyDescent="0.25">
      <c r="A1049" s="49">
        <v>220210037297</v>
      </c>
      <c r="B1049" s="50" t="s">
        <v>9</v>
      </c>
      <c r="C1049" s="57">
        <v>44631</v>
      </c>
      <c r="D1049" s="49">
        <v>22021004891</v>
      </c>
      <c r="E1049" s="50" t="s">
        <v>1593</v>
      </c>
      <c r="F1049" s="58">
        <v>23129.97</v>
      </c>
      <c r="G1049" s="50" t="s">
        <v>778</v>
      </c>
      <c r="H1049" s="50" t="s">
        <v>1151</v>
      </c>
      <c r="I1049" s="49" t="s">
        <v>107</v>
      </c>
      <c r="J1049" s="50" t="s">
        <v>157</v>
      </c>
      <c r="K1049" s="50" t="s">
        <v>157</v>
      </c>
      <c r="L1049" s="50" t="s">
        <v>25</v>
      </c>
      <c r="M1049" s="50" t="s">
        <v>13</v>
      </c>
      <c r="N1049" s="50" t="s">
        <v>14</v>
      </c>
      <c r="O1049" s="48" t="s">
        <v>620</v>
      </c>
      <c r="P1049" s="45" t="s">
        <v>453</v>
      </c>
      <c r="Q1049" s="35" t="str">
        <f>MID(Tabla1[[#This Row],[Aplicación]],14,1)</f>
        <v>6</v>
      </c>
      <c r="R1049" s="35" t="s">
        <v>442</v>
      </c>
      <c r="S1049" s="35" t="str">
        <f>MID(Tabla1[[#This Row],[Aplicación]],6,2)</f>
        <v>07</v>
      </c>
      <c r="T1049" s="35" t="str">
        <f>VLOOKUP(Tabla1[[#This Row],[AREA]],Hoja1!A:B,2,FALSE)</f>
        <v>07. Medio ambiente y desarrollo sostenible</v>
      </c>
      <c r="U1049" s="35" t="str">
        <f>MID(Tabla1[[#This Row],[Aplicación]],9,4)</f>
        <v>1711</v>
      </c>
      <c r="V1049" s="35" t="str">
        <f>VLOOKUP(Tabla1[[#This Row],[PROGRAMA]],Hoja1!A:B,2,FALSE)</f>
        <v>1711. Parques y jardines</v>
      </c>
      <c r="W1049" s="35" t="str">
        <f>MID(Tabla1[[#This Row],[Aplicación]],14,2)</f>
        <v>61</v>
      </c>
      <c r="X1049" s="35" t="str">
        <f>MID(Tabla1[[#This Row],[Aplicación]],14,6)</f>
        <v>619</v>
      </c>
    </row>
    <row r="1050" spans="1:24" x14ac:dyDescent="0.25">
      <c r="A1050" s="49">
        <v>220220003547</v>
      </c>
      <c r="B1050" s="50" t="s">
        <v>172</v>
      </c>
      <c r="C1050" s="57">
        <v>44607</v>
      </c>
      <c r="D1050" s="49">
        <v>22022001626</v>
      </c>
      <c r="E1050" s="50" t="s">
        <v>1635</v>
      </c>
      <c r="F1050" s="58">
        <v>460.41</v>
      </c>
      <c r="G1050" s="50" t="s">
        <v>222</v>
      </c>
      <c r="H1050" s="50" t="s">
        <v>2487</v>
      </c>
      <c r="I1050" s="49" t="s">
        <v>173</v>
      </c>
      <c r="J1050" s="50" t="s">
        <v>109</v>
      </c>
      <c r="K1050" s="50" t="s">
        <v>109</v>
      </c>
      <c r="L1050" s="50" t="s">
        <v>15</v>
      </c>
      <c r="M1050" s="50" t="s">
        <v>13</v>
      </c>
      <c r="N1050" s="50" t="s">
        <v>16</v>
      </c>
      <c r="O1050" s="48" t="s">
        <v>631</v>
      </c>
      <c r="P1050" s="45" t="s">
        <v>453</v>
      </c>
      <c r="Q1050" s="35" t="str">
        <f>MID(Tabla1[[#This Row],[Aplicación]],14,1)</f>
        <v>2</v>
      </c>
      <c r="R1050" s="35" t="s">
        <v>441</v>
      </c>
      <c r="S1050" s="35" t="str">
        <f>MID(Tabla1[[#This Row],[Aplicación]],6,2)</f>
        <v>03</v>
      </c>
      <c r="T1050" s="35" t="str">
        <f>VLOOKUP(Tabla1[[#This Row],[AREA]],Hoja1!A:B,2,FALSE)</f>
        <v>03. Participación ciudadana y deportes</v>
      </c>
      <c r="U1050" s="35" t="str">
        <f>MID(Tabla1[[#This Row],[Aplicación]],9,4)</f>
        <v>9241</v>
      </c>
      <c r="V1050" s="35" t="str">
        <f>VLOOKUP(Tabla1[[#This Row],[PROGRAMA]],Hoja1!A:B,2,FALSE)</f>
        <v>9241. Participación ciudadana</v>
      </c>
      <c r="W1050" s="35" t="str">
        <f>MID(Tabla1[[#This Row],[Aplicación]],14,2)</f>
        <v>21</v>
      </c>
      <c r="X1050" s="35" t="str">
        <f>MID(Tabla1[[#This Row],[Aplicación]],14,6)</f>
        <v>212</v>
      </c>
    </row>
    <row r="1051" spans="1:24" x14ac:dyDescent="0.25">
      <c r="A1051" s="49">
        <v>220220003255</v>
      </c>
      <c r="B1051" s="50" t="s">
        <v>172</v>
      </c>
      <c r="C1051" s="57">
        <v>44601</v>
      </c>
      <c r="D1051" s="49">
        <v>22022001593</v>
      </c>
      <c r="E1051" s="50" t="s">
        <v>1581</v>
      </c>
      <c r="F1051" s="58">
        <v>390.72</v>
      </c>
      <c r="G1051" s="50" t="s">
        <v>222</v>
      </c>
      <c r="H1051" s="50" t="s">
        <v>723</v>
      </c>
      <c r="I1051" s="49" t="s">
        <v>173</v>
      </c>
      <c r="J1051" s="50" t="s">
        <v>109</v>
      </c>
      <c r="K1051" s="50" t="s">
        <v>109</v>
      </c>
      <c r="L1051" s="50" t="s">
        <v>15</v>
      </c>
      <c r="M1051" s="50" t="s">
        <v>13</v>
      </c>
      <c r="N1051" s="50" t="s">
        <v>14</v>
      </c>
      <c r="O1051" s="48" t="s">
        <v>631</v>
      </c>
      <c r="P1051" s="45" t="s">
        <v>453</v>
      </c>
      <c r="Q1051" s="35" t="str">
        <f>MID(Tabla1[[#This Row],[Aplicación]],14,1)</f>
        <v>2</v>
      </c>
      <c r="R1051" s="35" t="s">
        <v>441</v>
      </c>
      <c r="S1051" s="35" t="str">
        <f>MID(Tabla1[[#This Row],[Aplicación]],6,2)</f>
        <v>07</v>
      </c>
      <c r="T1051" s="35" t="str">
        <f>VLOOKUP(Tabla1[[#This Row],[AREA]],Hoja1!A:B,2,FALSE)</f>
        <v>07. Medio ambiente y desarrollo sostenible</v>
      </c>
      <c r="U1051" s="35" t="str">
        <f>MID(Tabla1[[#This Row],[Aplicación]],9,4)</f>
        <v>1711</v>
      </c>
      <c r="V1051" s="35" t="str">
        <f>VLOOKUP(Tabla1[[#This Row],[PROGRAMA]],Hoja1!A:B,2,FALSE)</f>
        <v>1711. Parques y jardines</v>
      </c>
      <c r="W1051" s="35" t="str">
        <f>MID(Tabla1[[#This Row],[Aplicación]],14,2)</f>
        <v>22</v>
      </c>
      <c r="X1051" s="35" t="str">
        <f>MID(Tabla1[[#This Row],[Aplicación]],14,6)</f>
        <v>22199</v>
      </c>
    </row>
    <row r="1052" spans="1:24" x14ac:dyDescent="0.25">
      <c r="A1052" s="49">
        <v>220220008584</v>
      </c>
      <c r="B1052" s="50" t="s">
        <v>172</v>
      </c>
      <c r="C1052" s="57">
        <v>44631</v>
      </c>
      <c r="D1052" s="49">
        <v>22022001641</v>
      </c>
      <c r="E1052" s="50" t="s">
        <v>2034</v>
      </c>
      <c r="F1052" s="58">
        <v>378.37</v>
      </c>
      <c r="G1052" s="50" t="s">
        <v>222</v>
      </c>
      <c r="H1052" s="50" t="s">
        <v>2488</v>
      </c>
      <c r="I1052" s="49" t="s">
        <v>173</v>
      </c>
      <c r="J1052" s="50" t="s">
        <v>109</v>
      </c>
      <c r="K1052" s="50" t="s">
        <v>109</v>
      </c>
      <c r="L1052" s="50" t="s">
        <v>15</v>
      </c>
      <c r="M1052" s="50" t="s">
        <v>13</v>
      </c>
      <c r="N1052" s="50" t="s">
        <v>14</v>
      </c>
      <c r="O1052" s="48" t="s">
        <v>631</v>
      </c>
      <c r="P1052" s="45" t="s">
        <v>453</v>
      </c>
      <c r="Q1052" s="35" t="str">
        <f>MID(Tabla1[[#This Row],[Aplicación]],14,1)</f>
        <v>2</v>
      </c>
      <c r="R1052" s="35" t="s">
        <v>441</v>
      </c>
      <c r="S1052" s="35" t="str">
        <f>MID(Tabla1[[#This Row],[Aplicación]],6,2)</f>
        <v>06</v>
      </c>
      <c r="T1052" s="35" t="str">
        <f>VLOOKUP(Tabla1[[#This Row],[AREA]],Hoja1!A:B,2,FALSE)</f>
        <v>06. Educación, infancia, juventud e igualdad</v>
      </c>
      <c r="U1052" s="35" t="str">
        <f>MID(Tabla1[[#This Row],[Aplicación]],9,4)</f>
        <v>3232</v>
      </c>
      <c r="V1052" s="35" t="str">
        <f>VLOOKUP(Tabla1[[#This Row],[PROGRAMA]],Hoja1!A:B,2,FALSE)</f>
        <v>3232. Conservación y mantenimiento centros educación infantil y primaria</v>
      </c>
      <c r="W1052" s="35" t="str">
        <f>MID(Tabla1[[#This Row],[Aplicación]],14,2)</f>
        <v>21</v>
      </c>
      <c r="X1052" s="35" t="str">
        <f>MID(Tabla1[[#This Row],[Aplicación]],14,6)</f>
        <v>212</v>
      </c>
    </row>
    <row r="1053" spans="1:24" x14ac:dyDescent="0.25">
      <c r="A1053" s="49">
        <v>220220004233</v>
      </c>
      <c r="B1053" s="50" t="s">
        <v>172</v>
      </c>
      <c r="C1053" s="57">
        <v>44610</v>
      </c>
      <c r="D1053" s="49">
        <v>22022000045</v>
      </c>
      <c r="E1053" s="50" t="s">
        <v>2018</v>
      </c>
      <c r="F1053" s="58">
        <v>308.88</v>
      </c>
      <c r="G1053" s="50" t="s">
        <v>222</v>
      </c>
      <c r="H1053" s="50" t="s">
        <v>2489</v>
      </c>
      <c r="I1053" s="49" t="s">
        <v>173</v>
      </c>
      <c r="J1053" s="50" t="s">
        <v>109</v>
      </c>
      <c r="K1053" s="50" t="s">
        <v>109</v>
      </c>
      <c r="L1053" s="50" t="s">
        <v>15</v>
      </c>
      <c r="M1053" s="50" t="s">
        <v>13</v>
      </c>
      <c r="N1053" s="50" t="s">
        <v>14</v>
      </c>
      <c r="O1053" s="48" t="s">
        <v>631</v>
      </c>
      <c r="P1053" s="45" t="s">
        <v>453</v>
      </c>
      <c r="Q1053" s="35" t="str">
        <f>MID(Tabla1[[#This Row],[Aplicación]],14,1)</f>
        <v>2</v>
      </c>
      <c r="R1053" s="35" t="s">
        <v>441</v>
      </c>
      <c r="S1053" s="35" t="str">
        <f>MID(Tabla1[[#This Row],[Aplicación]],6,2)</f>
        <v>11</v>
      </c>
      <c r="T1053" s="35" t="str">
        <f>VLOOKUP(Tabla1[[#This Row],[AREA]],Hoja1!A:B,2,FALSE)</f>
        <v>11. Salud pública y seguridad ciudadana</v>
      </c>
      <c r="U1053" s="35" t="str">
        <f>MID(Tabla1[[#This Row],[Aplicación]],9,4)</f>
        <v>1631</v>
      </c>
      <c r="V1053" s="35" t="str">
        <f>VLOOKUP(Tabla1[[#This Row],[PROGRAMA]],Hoja1!A:B,2,FALSE)</f>
        <v>1631. Limpieza viaria</v>
      </c>
      <c r="W1053" s="35" t="str">
        <f>MID(Tabla1[[#This Row],[Aplicación]],14,2)</f>
        <v>22</v>
      </c>
      <c r="X1053" s="35" t="str">
        <f>MID(Tabla1[[#This Row],[Aplicación]],14,6)</f>
        <v>22199</v>
      </c>
    </row>
    <row r="1054" spans="1:24" x14ac:dyDescent="0.25">
      <c r="A1054" s="49">
        <v>220220009499</v>
      </c>
      <c r="B1054" s="50" t="s">
        <v>172</v>
      </c>
      <c r="C1054" s="57">
        <v>44636</v>
      </c>
      <c r="D1054" s="49">
        <v>22022001449</v>
      </c>
      <c r="E1054" s="50" t="s">
        <v>1890</v>
      </c>
      <c r="F1054" s="58">
        <v>210.83</v>
      </c>
      <c r="G1054" s="50" t="s">
        <v>222</v>
      </c>
      <c r="H1054" s="50" t="s">
        <v>2490</v>
      </c>
      <c r="I1054" s="49" t="s">
        <v>173</v>
      </c>
      <c r="J1054" s="50" t="s">
        <v>109</v>
      </c>
      <c r="K1054" s="50" t="s">
        <v>109</v>
      </c>
      <c r="L1054" s="50" t="s">
        <v>15</v>
      </c>
      <c r="M1054" s="50" t="s">
        <v>13</v>
      </c>
      <c r="N1054" s="50" t="s">
        <v>14</v>
      </c>
      <c r="O1054" s="48" t="s">
        <v>631</v>
      </c>
      <c r="P1054" s="45" t="s">
        <v>453</v>
      </c>
      <c r="Q1054" s="35" t="str">
        <f>MID(Tabla1[[#This Row],[Aplicación]],14,1)</f>
        <v>2</v>
      </c>
      <c r="R1054" s="35" t="s">
        <v>441</v>
      </c>
      <c r="S1054" s="35" t="str">
        <f>MID(Tabla1[[#This Row],[Aplicación]],6,2)</f>
        <v>02</v>
      </c>
      <c r="T1054" s="35" t="str">
        <f>VLOOKUP(Tabla1[[#This Row],[AREA]],Hoja1!A:B,2,FALSE)</f>
        <v>02. Planeamiento urbanístico y vivienda</v>
      </c>
      <c r="U1054" s="35" t="str">
        <f>MID(Tabla1[[#This Row],[Aplicación]],9,4)</f>
        <v>9332</v>
      </c>
      <c r="V1054" s="35" t="str">
        <f>VLOOKUP(Tabla1[[#This Row],[PROGRAMA]],Hoja1!A:B,2,FALSE)</f>
        <v>9332. Mantenimiento de edificios e instalaciones municipales</v>
      </c>
      <c r="W1054" s="35" t="str">
        <f>MID(Tabla1[[#This Row],[Aplicación]],14,2)</f>
        <v>21</v>
      </c>
      <c r="X1054" s="35" t="str">
        <f>MID(Tabla1[[#This Row],[Aplicación]],14,6)</f>
        <v>212</v>
      </c>
    </row>
    <row r="1055" spans="1:24" x14ac:dyDescent="0.25">
      <c r="A1055" s="49">
        <v>220220005560</v>
      </c>
      <c r="B1055" s="50" t="s">
        <v>172</v>
      </c>
      <c r="C1055" s="57">
        <v>44614</v>
      </c>
      <c r="D1055" s="49">
        <v>22022001456</v>
      </c>
      <c r="E1055" s="50" t="s">
        <v>2012</v>
      </c>
      <c r="F1055" s="58">
        <v>209.33</v>
      </c>
      <c r="G1055" s="50" t="s">
        <v>222</v>
      </c>
      <c r="H1055" s="50" t="s">
        <v>2491</v>
      </c>
      <c r="I1055" s="49" t="s">
        <v>173</v>
      </c>
      <c r="J1055" s="50" t="s">
        <v>109</v>
      </c>
      <c r="K1055" s="50" t="s">
        <v>109</v>
      </c>
      <c r="L1055" s="50" t="s">
        <v>15</v>
      </c>
      <c r="M1055" s="50" t="s">
        <v>13</v>
      </c>
      <c r="N1055" s="50" t="s">
        <v>14</v>
      </c>
      <c r="O1055" s="48" t="s">
        <v>631</v>
      </c>
      <c r="P1055" s="45" t="s">
        <v>453</v>
      </c>
      <c r="Q1055" s="35" t="str">
        <f>MID(Tabla1[[#This Row],[Aplicación]],14,1)</f>
        <v>2</v>
      </c>
      <c r="R1055" s="35" t="s">
        <v>441</v>
      </c>
      <c r="S1055" s="35" t="str">
        <f>MID(Tabla1[[#This Row],[Aplicación]],6,2)</f>
        <v>11</v>
      </c>
      <c r="T1055" s="35" t="str">
        <f>VLOOKUP(Tabla1[[#This Row],[AREA]],Hoja1!A:B,2,FALSE)</f>
        <v>11. Salud pública y seguridad ciudadana</v>
      </c>
      <c r="U1055" s="35" t="str">
        <f>MID(Tabla1[[#This Row],[Aplicación]],9,4)</f>
        <v>1321</v>
      </c>
      <c r="V1055" s="35" t="str">
        <f>VLOOKUP(Tabla1[[#This Row],[PROGRAMA]],Hoja1!A:B,2,FALSE)</f>
        <v>1321. Policía municipal</v>
      </c>
      <c r="W1055" s="35" t="str">
        <f>MID(Tabla1[[#This Row],[Aplicación]],14,2)</f>
        <v>22</v>
      </c>
      <c r="X1055" s="35" t="str">
        <f>MID(Tabla1[[#This Row],[Aplicación]],14,6)</f>
        <v>22199</v>
      </c>
    </row>
    <row r="1056" spans="1:24" x14ac:dyDescent="0.25">
      <c r="A1056" s="49">
        <v>220220012690</v>
      </c>
      <c r="B1056" s="50" t="s">
        <v>172</v>
      </c>
      <c r="C1056" s="57">
        <v>44644</v>
      </c>
      <c r="D1056" s="49">
        <v>22022001626</v>
      </c>
      <c r="E1056" s="50" t="s">
        <v>1635</v>
      </c>
      <c r="F1056" s="58">
        <v>153.47999999999999</v>
      </c>
      <c r="G1056" s="50" t="s">
        <v>222</v>
      </c>
      <c r="H1056" s="50" t="s">
        <v>2492</v>
      </c>
      <c r="I1056" s="49" t="s">
        <v>173</v>
      </c>
      <c r="J1056" s="50" t="s">
        <v>109</v>
      </c>
      <c r="K1056" s="50" t="s">
        <v>109</v>
      </c>
      <c r="L1056" s="50" t="s">
        <v>15</v>
      </c>
      <c r="M1056" s="50" t="s">
        <v>13</v>
      </c>
      <c r="N1056" s="50" t="s">
        <v>16</v>
      </c>
      <c r="O1056" s="48" t="s">
        <v>631</v>
      </c>
      <c r="P1056" s="45" t="s">
        <v>453</v>
      </c>
      <c r="Q1056" s="35" t="str">
        <f>MID(Tabla1[[#This Row],[Aplicación]],14,1)</f>
        <v>2</v>
      </c>
      <c r="R1056" s="35" t="s">
        <v>441</v>
      </c>
      <c r="S1056" s="35" t="str">
        <f>MID(Tabla1[[#This Row],[Aplicación]],6,2)</f>
        <v>03</v>
      </c>
      <c r="T1056" s="35" t="str">
        <f>VLOOKUP(Tabla1[[#This Row],[AREA]],Hoja1!A:B,2,FALSE)</f>
        <v>03. Participación ciudadana y deportes</v>
      </c>
      <c r="U1056" s="35" t="str">
        <f>MID(Tabla1[[#This Row],[Aplicación]],9,4)</f>
        <v>9241</v>
      </c>
      <c r="V1056" s="35" t="str">
        <f>VLOOKUP(Tabla1[[#This Row],[PROGRAMA]],Hoja1!A:B,2,FALSE)</f>
        <v>9241. Participación ciudadana</v>
      </c>
      <c r="W1056" s="35" t="str">
        <f>MID(Tabla1[[#This Row],[Aplicación]],14,2)</f>
        <v>21</v>
      </c>
      <c r="X1056" s="35" t="str">
        <f>MID(Tabla1[[#This Row],[Aplicación]],14,6)</f>
        <v>212</v>
      </c>
    </row>
    <row r="1057" spans="1:24" x14ac:dyDescent="0.25">
      <c r="A1057" s="49">
        <v>220220012757</v>
      </c>
      <c r="B1057" s="50" t="s">
        <v>172</v>
      </c>
      <c r="C1057" s="57">
        <v>44644</v>
      </c>
      <c r="D1057" s="49">
        <v>22022001626</v>
      </c>
      <c r="E1057" s="50" t="s">
        <v>1635</v>
      </c>
      <c r="F1057" s="58">
        <v>143.49</v>
      </c>
      <c r="G1057" s="50" t="s">
        <v>222</v>
      </c>
      <c r="H1057" s="50" t="s">
        <v>2493</v>
      </c>
      <c r="I1057" s="49" t="s">
        <v>173</v>
      </c>
      <c r="J1057" s="50" t="s">
        <v>109</v>
      </c>
      <c r="K1057" s="50" t="s">
        <v>109</v>
      </c>
      <c r="L1057" s="50" t="s">
        <v>15</v>
      </c>
      <c r="M1057" s="50" t="s">
        <v>13</v>
      </c>
      <c r="N1057" s="50" t="s">
        <v>16</v>
      </c>
      <c r="O1057" s="48" t="s">
        <v>631</v>
      </c>
      <c r="P1057" s="45" t="s">
        <v>453</v>
      </c>
      <c r="Q1057" s="35" t="str">
        <f>MID(Tabla1[[#This Row],[Aplicación]],14,1)</f>
        <v>2</v>
      </c>
      <c r="R1057" s="35" t="s">
        <v>441</v>
      </c>
      <c r="S1057" s="35" t="str">
        <f>MID(Tabla1[[#This Row],[Aplicación]],6,2)</f>
        <v>03</v>
      </c>
      <c r="T1057" s="35" t="str">
        <f>VLOOKUP(Tabla1[[#This Row],[AREA]],Hoja1!A:B,2,FALSE)</f>
        <v>03. Participación ciudadana y deportes</v>
      </c>
      <c r="U1057" s="35" t="str">
        <f>MID(Tabla1[[#This Row],[Aplicación]],9,4)</f>
        <v>9241</v>
      </c>
      <c r="V1057" s="35" t="str">
        <f>VLOOKUP(Tabla1[[#This Row],[PROGRAMA]],Hoja1!A:B,2,FALSE)</f>
        <v>9241. Participación ciudadana</v>
      </c>
      <c r="W1057" s="35" t="str">
        <f>MID(Tabla1[[#This Row],[Aplicación]],14,2)</f>
        <v>21</v>
      </c>
      <c r="X1057" s="35" t="str">
        <f>MID(Tabla1[[#This Row],[Aplicación]],14,6)</f>
        <v>212</v>
      </c>
    </row>
    <row r="1058" spans="1:24" x14ac:dyDescent="0.25">
      <c r="A1058" s="49">
        <v>220220007015</v>
      </c>
      <c r="B1058" s="50" t="s">
        <v>172</v>
      </c>
      <c r="C1058" s="57">
        <v>44623</v>
      </c>
      <c r="D1058" s="49">
        <v>22022001643</v>
      </c>
      <c r="E1058" s="50" t="s">
        <v>2116</v>
      </c>
      <c r="F1058" s="58">
        <v>133.41</v>
      </c>
      <c r="G1058" s="50" t="s">
        <v>222</v>
      </c>
      <c r="H1058" s="50" t="s">
        <v>2494</v>
      </c>
      <c r="I1058" s="49" t="s">
        <v>173</v>
      </c>
      <c r="J1058" s="50" t="s">
        <v>109</v>
      </c>
      <c r="K1058" s="50" t="s">
        <v>109</v>
      </c>
      <c r="L1058" s="50" t="s">
        <v>15</v>
      </c>
      <c r="M1058" s="50" t="s">
        <v>13</v>
      </c>
      <c r="N1058" s="50" t="s">
        <v>14</v>
      </c>
      <c r="O1058" s="48" t="s">
        <v>631</v>
      </c>
      <c r="P1058" s="45" t="s">
        <v>453</v>
      </c>
      <c r="Q1058" s="35" t="str">
        <f>MID(Tabla1[[#This Row],[Aplicación]],14,1)</f>
        <v>2</v>
      </c>
      <c r="R1058" s="35" t="s">
        <v>441</v>
      </c>
      <c r="S1058" s="35" t="str">
        <f>MID(Tabla1[[#This Row],[Aplicación]],6,2)</f>
        <v>06</v>
      </c>
      <c r="T1058" s="35" t="str">
        <f>VLOOKUP(Tabla1[[#This Row],[AREA]],Hoja1!A:B,2,FALSE)</f>
        <v>06. Educación, infancia, juventud e igualdad</v>
      </c>
      <c r="U1058" s="35" t="str">
        <f>MID(Tabla1[[#This Row],[Aplicación]],9,4)</f>
        <v>3321</v>
      </c>
      <c r="V1058" s="35" t="str">
        <f>VLOOKUP(Tabla1[[#This Row],[PROGRAMA]],Hoja1!A:B,2,FALSE)</f>
        <v>3321. Bibliotecas públicas</v>
      </c>
      <c r="W1058" s="35" t="str">
        <f>MID(Tabla1[[#This Row],[Aplicación]],14,2)</f>
        <v>21</v>
      </c>
      <c r="X1058" s="35" t="str">
        <f>MID(Tabla1[[#This Row],[Aplicación]],14,6)</f>
        <v>212</v>
      </c>
    </row>
    <row r="1059" spans="1:24" x14ac:dyDescent="0.25">
      <c r="A1059" s="49">
        <v>220220003187</v>
      </c>
      <c r="B1059" s="50" t="s">
        <v>172</v>
      </c>
      <c r="C1059" s="57">
        <v>44601</v>
      </c>
      <c r="D1059" s="49">
        <v>22022001641</v>
      </c>
      <c r="E1059" s="50" t="s">
        <v>2034</v>
      </c>
      <c r="F1059" s="58">
        <v>121.56</v>
      </c>
      <c r="G1059" s="50" t="s">
        <v>222</v>
      </c>
      <c r="H1059" s="50" t="s">
        <v>2495</v>
      </c>
      <c r="I1059" s="49" t="s">
        <v>173</v>
      </c>
      <c r="J1059" s="50" t="s">
        <v>109</v>
      </c>
      <c r="K1059" s="50" t="s">
        <v>109</v>
      </c>
      <c r="L1059" s="50" t="s">
        <v>15</v>
      </c>
      <c r="M1059" s="50" t="s">
        <v>13</v>
      </c>
      <c r="N1059" s="50" t="s">
        <v>16</v>
      </c>
      <c r="O1059" s="48" t="s">
        <v>631</v>
      </c>
      <c r="P1059" s="45" t="s">
        <v>453</v>
      </c>
      <c r="Q1059" s="35" t="str">
        <f>MID(Tabla1[[#This Row],[Aplicación]],14,1)</f>
        <v>2</v>
      </c>
      <c r="R1059" s="35" t="s">
        <v>441</v>
      </c>
      <c r="S1059" s="35" t="str">
        <f>MID(Tabla1[[#This Row],[Aplicación]],6,2)</f>
        <v>06</v>
      </c>
      <c r="T1059" s="35" t="str">
        <f>VLOOKUP(Tabla1[[#This Row],[AREA]],Hoja1!A:B,2,FALSE)</f>
        <v>06. Educación, infancia, juventud e igualdad</v>
      </c>
      <c r="U1059" s="35" t="str">
        <f>MID(Tabla1[[#This Row],[Aplicación]],9,4)</f>
        <v>3232</v>
      </c>
      <c r="V1059" s="35" t="str">
        <f>VLOOKUP(Tabla1[[#This Row],[PROGRAMA]],Hoja1!A:B,2,FALSE)</f>
        <v>3232. Conservación y mantenimiento centros educación infantil y primaria</v>
      </c>
      <c r="W1059" s="35" t="str">
        <f>MID(Tabla1[[#This Row],[Aplicación]],14,2)</f>
        <v>21</v>
      </c>
      <c r="X1059" s="35" t="str">
        <f>MID(Tabla1[[#This Row],[Aplicación]],14,6)</f>
        <v>212</v>
      </c>
    </row>
    <row r="1060" spans="1:24" x14ac:dyDescent="0.25">
      <c r="A1060" s="49">
        <v>220220013132</v>
      </c>
      <c r="B1060" s="50" t="s">
        <v>172</v>
      </c>
      <c r="C1060" s="57">
        <v>44649</v>
      </c>
      <c r="D1060" s="49">
        <v>22022001179</v>
      </c>
      <c r="E1060" s="50" t="s">
        <v>1653</v>
      </c>
      <c r="F1060" s="58">
        <v>119.58</v>
      </c>
      <c r="G1060" s="50" t="s">
        <v>222</v>
      </c>
      <c r="H1060" s="50" t="s">
        <v>2496</v>
      </c>
      <c r="I1060" s="49" t="s">
        <v>173</v>
      </c>
      <c r="J1060" s="50" t="s">
        <v>109</v>
      </c>
      <c r="K1060" s="50" t="s">
        <v>109</v>
      </c>
      <c r="L1060" s="50" t="s">
        <v>15</v>
      </c>
      <c r="M1060" s="50" t="s">
        <v>13</v>
      </c>
      <c r="N1060" s="50" t="s">
        <v>14</v>
      </c>
      <c r="O1060" s="48" t="s">
        <v>631</v>
      </c>
      <c r="P1060" s="45" t="s">
        <v>453</v>
      </c>
      <c r="Q1060" s="35" t="str">
        <f>MID(Tabla1[[#This Row],[Aplicación]],14,1)</f>
        <v>2</v>
      </c>
      <c r="R1060" s="35" t="s">
        <v>441</v>
      </c>
      <c r="S1060" s="35" t="str">
        <f>MID(Tabla1[[#This Row],[Aplicación]],6,2)</f>
        <v>10</v>
      </c>
      <c r="T1060" s="35" t="str">
        <f>VLOOKUP(Tabla1[[#This Row],[AREA]],Hoja1!A:B,2,FALSE)</f>
        <v>10. Servicios sociales y mediación comunitaria</v>
      </c>
      <c r="U1060" s="35" t="str">
        <f>MID(Tabla1[[#This Row],[Aplicación]],9,4)</f>
        <v>2311</v>
      </c>
      <c r="V1060" s="35" t="str">
        <f>VLOOKUP(Tabla1[[#This Row],[PROGRAMA]],Hoja1!A:B,2,FALSE)</f>
        <v>2311. Intervención social</v>
      </c>
      <c r="W1060" s="35" t="str">
        <f>MID(Tabla1[[#This Row],[Aplicación]],14,2)</f>
        <v>21</v>
      </c>
      <c r="X1060" s="35" t="str">
        <f>MID(Tabla1[[#This Row],[Aplicación]],14,6)</f>
        <v>212</v>
      </c>
    </row>
    <row r="1061" spans="1:24" x14ac:dyDescent="0.25">
      <c r="A1061" s="49">
        <v>220220003789</v>
      </c>
      <c r="B1061" s="50" t="s">
        <v>172</v>
      </c>
      <c r="C1061" s="57">
        <v>44608</v>
      </c>
      <c r="D1061" s="49">
        <v>22022001643</v>
      </c>
      <c r="E1061" s="50" t="s">
        <v>2116</v>
      </c>
      <c r="F1061" s="58">
        <v>116.89</v>
      </c>
      <c r="G1061" s="50" t="s">
        <v>222</v>
      </c>
      <c r="H1061" s="50" t="s">
        <v>2497</v>
      </c>
      <c r="I1061" s="49" t="s">
        <v>173</v>
      </c>
      <c r="J1061" s="50" t="s">
        <v>109</v>
      </c>
      <c r="K1061" s="50" t="s">
        <v>109</v>
      </c>
      <c r="L1061" s="50" t="s">
        <v>15</v>
      </c>
      <c r="M1061" s="50" t="s">
        <v>13</v>
      </c>
      <c r="N1061" s="50" t="s">
        <v>14</v>
      </c>
      <c r="O1061" s="48" t="s">
        <v>631</v>
      </c>
      <c r="P1061" s="45" t="s">
        <v>453</v>
      </c>
      <c r="Q1061" s="35" t="str">
        <f>MID(Tabla1[[#This Row],[Aplicación]],14,1)</f>
        <v>2</v>
      </c>
      <c r="R1061" s="35" t="s">
        <v>441</v>
      </c>
      <c r="S1061" s="35" t="str">
        <f>MID(Tabla1[[#This Row],[Aplicación]],6,2)</f>
        <v>06</v>
      </c>
      <c r="T1061" s="35" t="str">
        <f>VLOOKUP(Tabla1[[#This Row],[AREA]],Hoja1!A:B,2,FALSE)</f>
        <v>06. Educación, infancia, juventud e igualdad</v>
      </c>
      <c r="U1061" s="35" t="str">
        <f>MID(Tabla1[[#This Row],[Aplicación]],9,4)</f>
        <v>3321</v>
      </c>
      <c r="V1061" s="35" t="str">
        <f>VLOOKUP(Tabla1[[#This Row],[PROGRAMA]],Hoja1!A:B,2,FALSE)</f>
        <v>3321. Bibliotecas públicas</v>
      </c>
      <c r="W1061" s="35" t="str">
        <f>MID(Tabla1[[#This Row],[Aplicación]],14,2)</f>
        <v>21</v>
      </c>
      <c r="X1061" s="35" t="str">
        <f>MID(Tabla1[[#This Row],[Aplicación]],14,6)</f>
        <v>212</v>
      </c>
    </row>
    <row r="1062" spans="1:24" x14ac:dyDescent="0.25">
      <c r="A1062" s="49">
        <v>220220012738</v>
      </c>
      <c r="B1062" s="50" t="s">
        <v>172</v>
      </c>
      <c r="C1062" s="57">
        <v>44644</v>
      </c>
      <c r="D1062" s="49">
        <v>22022001449</v>
      </c>
      <c r="E1062" s="50" t="s">
        <v>1890</v>
      </c>
      <c r="F1062" s="58">
        <v>103.46</v>
      </c>
      <c r="G1062" s="50" t="s">
        <v>222</v>
      </c>
      <c r="H1062" s="50" t="s">
        <v>2498</v>
      </c>
      <c r="I1062" s="49" t="s">
        <v>173</v>
      </c>
      <c r="J1062" s="50" t="s">
        <v>109</v>
      </c>
      <c r="K1062" s="50" t="s">
        <v>109</v>
      </c>
      <c r="L1062" s="50" t="s">
        <v>15</v>
      </c>
      <c r="M1062" s="50" t="s">
        <v>13</v>
      </c>
      <c r="N1062" s="50" t="s">
        <v>14</v>
      </c>
      <c r="O1062" s="48" t="s">
        <v>631</v>
      </c>
      <c r="P1062" s="45" t="s">
        <v>453</v>
      </c>
      <c r="Q1062" s="35" t="str">
        <f>MID(Tabla1[[#This Row],[Aplicación]],14,1)</f>
        <v>2</v>
      </c>
      <c r="R1062" s="35" t="s">
        <v>441</v>
      </c>
      <c r="S1062" s="35" t="str">
        <f>MID(Tabla1[[#This Row],[Aplicación]],6,2)</f>
        <v>02</v>
      </c>
      <c r="T1062" s="35" t="str">
        <f>VLOOKUP(Tabla1[[#This Row],[AREA]],Hoja1!A:B,2,FALSE)</f>
        <v>02. Planeamiento urbanístico y vivienda</v>
      </c>
      <c r="U1062" s="35" t="str">
        <f>MID(Tabla1[[#This Row],[Aplicación]],9,4)</f>
        <v>9332</v>
      </c>
      <c r="V1062" s="35" t="str">
        <f>VLOOKUP(Tabla1[[#This Row],[PROGRAMA]],Hoja1!A:B,2,FALSE)</f>
        <v>9332. Mantenimiento de edificios e instalaciones municipales</v>
      </c>
      <c r="W1062" s="35" t="str">
        <f>MID(Tabla1[[#This Row],[Aplicación]],14,2)</f>
        <v>21</v>
      </c>
      <c r="X1062" s="35" t="str">
        <f>MID(Tabla1[[#This Row],[Aplicación]],14,6)</f>
        <v>212</v>
      </c>
    </row>
    <row r="1063" spans="1:24" x14ac:dyDescent="0.25">
      <c r="A1063" s="49">
        <v>220220008397</v>
      </c>
      <c r="B1063" s="50" t="s">
        <v>172</v>
      </c>
      <c r="C1063" s="57">
        <v>44631</v>
      </c>
      <c r="D1063" s="49">
        <v>22022001643</v>
      </c>
      <c r="E1063" s="50" t="s">
        <v>2116</v>
      </c>
      <c r="F1063" s="58">
        <v>103.18</v>
      </c>
      <c r="G1063" s="50" t="s">
        <v>222</v>
      </c>
      <c r="H1063" s="50" t="s">
        <v>2499</v>
      </c>
      <c r="I1063" s="49" t="s">
        <v>173</v>
      </c>
      <c r="J1063" s="50" t="s">
        <v>109</v>
      </c>
      <c r="K1063" s="50" t="s">
        <v>109</v>
      </c>
      <c r="L1063" s="50" t="s">
        <v>15</v>
      </c>
      <c r="M1063" s="50" t="s">
        <v>13</v>
      </c>
      <c r="N1063" s="50" t="s">
        <v>14</v>
      </c>
      <c r="O1063" s="48" t="s">
        <v>631</v>
      </c>
      <c r="P1063" s="45" t="s">
        <v>453</v>
      </c>
      <c r="Q1063" s="35" t="str">
        <f>MID(Tabla1[[#This Row],[Aplicación]],14,1)</f>
        <v>2</v>
      </c>
      <c r="R1063" s="35" t="s">
        <v>441</v>
      </c>
      <c r="S1063" s="35" t="str">
        <f>MID(Tabla1[[#This Row],[Aplicación]],6,2)</f>
        <v>06</v>
      </c>
      <c r="T1063" s="35" t="str">
        <f>VLOOKUP(Tabla1[[#This Row],[AREA]],Hoja1!A:B,2,FALSE)</f>
        <v>06. Educación, infancia, juventud e igualdad</v>
      </c>
      <c r="U1063" s="35" t="str">
        <f>MID(Tabla1[[#This Row],[Aplicación]],9,4)</f>
        <v>3321</v>
      </c>
      <c r="V1063" s="35" t="str">
        <f>VLOOKUP(Tabla1[[#This Row],[PROGRAMA]],Hoja1!A:B,2,FALSE)</f>
        <v>3321. Bibliotecas públicas</v>
      </c>
      <c r="W1063" s="35" t="str">
        <f>MID(Tabla1[[#This Row],[Aplicación]],14,2)</f>
        <v>21</v>
      </c>
      <c r="X1063" s="35" t="str">
        <f>MID(Tabla1[[#This Row],[Aplicación]],14,6)</f>
        <v>212</v>
      </c>
    </row>
    <row r="1064" spans="1:24" x14ac:dyDescent="0.25">
      <c r="A1064" s="49">
        <v>220220006749</v>
      </c>
      <c r="B1064" s="50" t="s">
        <v>172</v>
      </c>
      <c r="C1064" s="57">
        <v>44622</v>
      </c>
      <c r="D1064" s="49">
        <v>22022001623</v>
      </c>
      <c r="E1064" s="50" t="s">
        <v>1606</v>
      </c>
      <c r="F1064" s="58">
        <v>76.53</v>
      </c>
      <c r="G1064" s="50" t="s">
        <v>222</v>
      </c>
      <c r="H1064" s="50" t="s">
        <v>2500</v>
      </c>
      <c r="I1064" s="49" t="s">
        <v>173</v>
      </c>
      <c r="J1064" s="50" t="s">
        <v>109</v>
      </c>
      <c r="K1064" s="50" t="s">
        <v>109</v>
      </c>
      <c r="L1064" s="50" t="s">
        <v>15</v>
      </c>
      <c r="M1064" s="50" t="s">
        <v>13</v>
      </c>
      <c r="N1064" s="50" t="s">
        <v>14</v>
      </c>
      <c r="O1064" s="48" t="s">
        <v>631</v>
      </c>
      <c r="P1064" s="45" t="s">
        <v>453</v>
      </c>
      <c r="Q1064" s="35" t="str">
        <f>MID(Tabla1[[#This Row],[Aplicación]],14,1)</f>
        <v>2</v>
      </c>
      <c r="R1064" s="35" t="s">
        <v>441</v>
      </c>
      <c r="S1064" s="35" t="str">
        <f>MID(Tabla1[[#This Row],[Aplicación]],6,2)</f>
        <v>11</v>
      </c>
      <c r="T1064" s="35" t="str">
        <f>VLOOKUP(Tabla1[[#This Row],[AREA]],Hoja1!A:B,2,FALSE)</f>
        <v>11. Salud pública y seguridad ciudadana</v>
      </c>
      <c r="U1064" s="35" t="str">
        <f>MID(Tabla1[[#This Row],[Aplicación]],9,4)</f>
        <v>1361</v>
      </c>
      <c r="V1064" s="35" t="str">
        <f>VLOOKUP(Tabla1[[#This Row],[PROGRAMA]],Hoja1!A:B,2,FALSE)</f>
        <v>1361. Prevención y extinción de incencios</v>
      </c>
      <c r="W1064" s="35" t="str">
        <f>MID(Tabla1[[#This Row],[Aplicación]],14,2)</f>
        <v>22</v>
      </c>
      <c r="X1064" s="35" t="str">
        <f>MID(Tabla1[[#This Row],[Aplicación]],14,6)</f>
        <v>22199</v>
      </c>
    </row>
    <row r="1065" spans="1:24" x14ac:dyDescent="0.25">
      <c r="A1065" s="49">
        <v>220220012626</v>
      </c>
      <c r="B1065" s="50" t="s">
        <v>172</v>
      </c>
      <c r="C1065" s="57">
        <v>44644</v>
      </c>
      <c r="D1065" s="49">
        <v>22022000045</v>
      </c>
      <c r="E1065" s="50" t="s">
        <v>2018</v>
      </c>
      <c r="F1065" s="58">
        <v>62.99</v>
      </c>
      <c r="G1065" s="50" t="s">
        <v>222</v>
      </c>
      <c r="H1065" s="50" t="s">
        <v>2501</v>
      </c>
      <c r="I1065" s="49" t="s">
        <v>173</v>
      </c>
      <c r="J1065" s="50" t="s">
        <v>109</v>
      </c>
      <c r="K1065" s="50" t="s">
        <v>109</v>
      </c>
      <c r="L1065" s="50" t="s">
        <v>15</v>
      </c>
      <c r="M1065" s="50" t="s">
        <v>13</v>
      </c>
      <c r="N1065" s="50" t="s">
        <v>14</v>
      </c>
      <c r="O1065" s="48" t="s">
        <v>631</v>
      </c>
      <c r="P1065" s="45" t="s">
        <v>453</v>
      </c>
      <c r="Q1065" s="35" t="str">
        <f>MID(Tabla1[[#This Row],[Aplicación]],14,1)</f>
        <v>2</v>
      </c>
      <c r="R1065" s="35" t="s">
        <v>441</v>
      </c>
      <c r="S1065" s="35" t="str">
        <f>MID(Tabla1[[#This Row],[Aplicación]],6,2)</f>
        <v>11</v>
      </c>
      <c r="T1065" s="35" t="str">
        <f>VLOOKUP(Tabla1[[#This Row],[AREA]],Hoja1!A:B,2,FALSE)</f>
        <v>11. Salud pública y seguridad ciudadana</v>
      </c>
      <c r="U1065" s="35" t="str">
        <f>MID(Tabla1[[#This Row],[Aplicación]],9,4)</f>
        <v>1631</v>
      </c>
      <c r="V1065" s="35" t="str">
        <f>VLOOKUP(Tabla1[[#This Row],[PROGRAMA]],Hoja1!A:B,2,FALSE)</f>
        <v>1631. Limpieza viaria</v>
      </c>
      <c r="W1065" s="35" t="str">
        <f>MID(Tabla1[[#This Row],[Aplicación]],14,2)</f>
        <v>22</v>
      </c>
      <c r="X1065" s="35" t="str">
        <f>MID(Tabla1[[#This Row],[Aplicación]],14,6)</f>
        <v>22199</v>
      </c>
    </row>
    <row r="1066" spans="1:24" x14ac:dyDescent="0.25">
      <c r="A1066" s="49">
        <v>220220006812</v>
      </c>
      <c r="B1066" s="50" t="s">
        <v>172</v>
      </c>
      <c r="C1066" s="57">
        <v>44622</v>
      </c>
      <c r="D1066" s="49">
        <v>22022001626</v>
      </c>
      <c r="E1066" s="50" t="s">
        <v>1635</v>
      </c>
      <c r="F1066" s="58">
        <v>61.98</v>
      </c>
      <c r="G1066" s="50" t="s">
        <v>222</v>
      </c>
      <c r="H1066" s="50" t="s">
        <v>2502</v>
      </c>
      <c r="I1066" s="49" t="s">
        <v>173</v>
      </c>
      <c r="J1066" s="50" t="s">
        <v>109</v>
      </c>
      <c r="K1066" s="50" t="s">
        <v>109</v>
      </c>
      <c r="L1066" s="50" t="s">
        <v>15</v>
      </c>
      <c r="M1066" s="50" t="s">
        <v>13</v>
      </c>
      <c r="N1066" s="50" t="s">
        <v>16</v>
      </c>
      <c r="O1066" s="48" t="s">
        <v>631</v>
      </c>
      <c r="P1066" s="45" t="s">
        <v>453</v>
      </c>
      <c r="Q1066" s="35" t="str">
        <f>MID(Tabla1[[#This Row],[Aplicación]],14,1)</f>
        <v>2</v>
      </c>
      <c r="R1066" s="35" t="s">
        <v>441</v>
      </c>
      <c r="S1066" s="35" t="str">
        <f>MID(Tabla1[[#This Row],[Aplicación]],6,2)</f>
        <v>03</v>
      </c>
      <c r="T1066" s="35" t="str">
        <f>VLOOKUP(Tabla1[[#This Row],[AREA]],Hoja1!A:B,2,FALSE)</f>
        <v>03. Participación ciudadana y deportes</v>
      </c>
      <c r="U1066" s="35" t="str">
        <f>MID(Tabla1[[#This Row],[Aplicación]],9,4)</f>
        <v>9241</v>
      </c>
      <c r="V1066" s="35" t="str">
        <f>VLOOKUP(Tabla1[[#This Row],[PROGRAMA]],Hoja1!A:B,2,FALSE)</f>
        <v>9241. Participación ciudadana</v>
      </c>
      <c r="W1066" s="35" t="str">
        <f>MID(Tabla1[[#This Row],[Aplicación]],14,2)</f>
        <v>21</v>
      </c>
      <c r="X1066" s="35" t="str">
        <f>MID(Tabla1[[#This Row],[Aplicación]],14,6)</f>
        <v>212</v>
      </c>
    </row>
    <row r="1067" spans="1:24" x14ac:dyDescent="0.25">
      <c r="A1067" s="49">
        <v>220220013311</v>
      </c>
      <c r="B1067" s="50" t="s">
        <v>172</v>
      </c>
      <c r="C1067" s="57">
        <v>44650</v>
      </c>
      <c r="D1067" s="49">
        <v>22022001643</v>
      </c>
      <c r="E1067" s="50" t="s">
        <v>2116</v>
      </c>
      <c r="F1067" s="58">
        <v>59.24</v>
      </c>
      <c r="G1067" s="50" t="s">
        <v>222</v>
      </c>
      <c r="H1067" s="50" t="s">
        <v>2503</v>
      </c>
      <c r="I1067" s="49" t="s">
        <v>173</v>
      </c>
      <c r="J1067" s="50" t="s">
        <v>109</v>
      </c>
      <c r="K1067" s="50" t="s">
        <v>109</v>
      </c>
      <c r="L1067" s="50" t="s">
        <v>15</v>
      </c>
      <c r="M1067" s="50" t="s">
        <v>13</v>
      </c>
      <c r="N1067" s="50" t="s">
        <v>14</v>
      </c>
      <c r="O1067" s="48" t="s">
        <v>631</v>
      </c>
      <c r="P1067" s="45" t="s">
        <v>453</v>
      </c>
      <c r="Q1067" s="35" t="str">
        <f>MID(Tabla1[[#This Row],[Aplicación]],14,1)</f>
        <v>2</v>
      </c>
      <c r="R1067" s="35" t="s">
        <v>441</v>
      </c>
      <c r="S1067" s="35" t="str">
        <f>MID(Tabla1[[#This Row],[Aplicación]],6,2)</f>
        <v>06</v>
      </c>
      <c r="T1067" s="35" t="str">
        <f>VLOOKUP(Tabla1[[#This Row],[AREA]],Hoja1!A:B,2,FALSE)</f>
        <v>06. Educación, infancia, juventud e igualdad</v>
      </c>
      <c r="U1067" s="35" t="str">
        <f>MID(Tabla1[[#This Row],[Aplicación]],9,4)</f>
        <v>3321</v>
      </c>
      <c r="V1067" s="35" t="str">
        <f>VLOOKUP(Tabla1[[#This Row],[PROGRAMA]],Hoja1!A:B,2,FALSE)</f>
        <v>3321. Bibliotecas públicas</v>
      </c>
      <c r="W1067" s="35" t="str">
        <f>MID(Tabla1[[#This Row],[Aplicación]],14,2)</f>
        <v>21</v>
      </c>
      <c r="X1067" s="35" t="str">
        <f>MID(Tabla1[[#This Row],[Aplicación]],14,6)</f>
        <v>212</v>
      </c>
    </row>
    <row r="1068" spans="1:24" x14ac:dyDescent="0.25">
      <c r="A1068" s="49">
        <v>220220003842</v>
      </c>
      <c r="B1068" s="50" t="s">
        <v>9</v>
      </c>
      <c r="C1068" s="57">
        <v>44608</v>
      </c>
      <c r="D1068" s="49">
        <v>22022002237</v>
      </c>
      <c r="E1068" s="50" t="s">
        <v>2229</v>
      </c>
      <c r="F1068" s="58">
        <v>56.95</v>
      </c>
      <c r="G1068" s="50" t="s">
        <v>222</v>
      </c>
      <c r="H1068" s="50" t="s">
        <v>2504</v>
      </c>
      <c r="I1068" s="49" t="s">
        <v>107</v>
      </c>
      <c r="J1068" s="50" t="s">
        <v>109</v>
      </c>
      <c r="K1068" s="50" t="s">
        <v>109</v>
      </c>
      <c r="L1068" s="50" t="s">
        <v>15</v>
      </c>
      <c r="M1068" s="50" t="s">
        <v>10</v>
      </c>
      <c r="N1068" s="50" t="s">
        <v>11</v>
      </c>
      <c r="O1068" s="48" t="s">
        <v>632</v>
      </c>
      <c r="P1068" s="45" t="s">
        <v>453</v>
      </c>
      <c r="Q1068" s="35" t="str">
        <f>MID(Tabla1[[#This Row],[Aplicación]],14,1)</f>
        <v>2</v>
      </c>
      <c r="R1068" s="35" t="s">
        <v>441</v>
      </c>
      <c r="S1068" s="35" t="str">
        <f>MID(Tabla1[[#This Row],[Aplicación]],6,2)</f>
        <v>06</v>
      </c>
      <c r="T1068" s="35" t="str">
        <f>VLOOKUP(Tabla1[[#This Row],[AREA]],Hoja1!A:B,2,FALSE)</f>
        <v>06. Educación, infancia, juventud e igualdad</v>
      </c>
      <c r="U1068" s="35" t="str">
        <f>MID(Tabla1[[#This Row],[Aplicación]],9,4)</f>
        <v>2315</v>
      </c>
      <c r="V1068" s="35" t="str">
        <f>VLOOKUP(Tabla1[[#This Row],[PROGRAMA]],Hoja1!A:B,2,FALSE)</f>
        <v>2315. Políticas de Igualdad e infancia</v>
      </c>
      <c r="W1068" s="35" t="str">
        <f>MID(Tabla1[[#This Row],[Aplicación]],14,2)</f>
        <v>22</v>
      </c>
      <c r="X1068" s="35" t="str">
        <f>MID(Tabla1[[#This Row],[Aplicación]],14,6)</f>
        <v>22699</v>
      </c>
    </row>
    <row r="1069" spans="1:24" x14ac:dyDescent="0.25">
      <c r="A1069" s="49">
        <v>220220013083</v>
      </c>
      <c r="B1069" s="50" t="s">
        <v>172</v>
      </c>
      <c r="C1069" s="57">
        <v>44649</v>
      </c>
      <c r="D1069" s="49">
        <v>22022001184</v>
      </c>
      <c r="E1069" s="50" t="s">
        <v>2020</v>
      </c>
      <c r="F1069" s="58">
        <v>54.69</v>
      </c>
      <c r="G1069" s="50" t="s">
        <v>222</v>
      </c>
      <c r="H1069" s="50" t="s">
        <v>2505</v>
      </c>
      <c r="I1069" s="49" t="s">
        <v>173</v>
      </c>
      <c r="J1069" s="50" t="s">
        <v>109</v>
      </c>
      <c r="K1069" s="50" t="s">
        <v>109</v>
      </c>
      <c r="L1069" s="50" t="s">
        <v>15</v>
      </c>
      <c r="M1069" s="50" t="s">
        <v>13</v>
      </c>
      <c r="N1069" s="50" t="s">
        <v>14</v>
      </c>
      <c r="O1069" s="48" t="s">
        <v>631</v>
      </c>
      <c r="P1069" s="45" t="s">
        <v>453</v>
      </c>
      <c r="Q1069" s="35" t="str">
        <f>MID(Tabla1[[#This Row],[Aplicación]],14,1)</f>
        <v>2</v>
      </c>
      <c r="R1069" s="35" t="s">
        <v>441</v>
      </c>
      <c r="S1069" s="35" t="str">
        <f>MID(Tabla1[[#This Row],[Aplicación]],6,2)</f>
        <v>10</v>
      </c>
      <c r="T1069" s="35" t="str">
        <f>VLOOKUP(Tabla1[[#This Row],[AREA]],Hoja1!A:B,2,FALSE)</f>
        <v>10. Servicios sociales y mediación comunitaria</v>
      </c>
      <c r="U1069" s="35" t="str">
        <f>MID(Tabla1[[#This Row],[Aplicación]],9,4)</f>
        <v>2312</v>
      </c>
      <c r="V1069" s="35" t="str">
        <f>VLOOKUP(Tabla1[[#This Row],[PROGRAMA]],Hoja1!A:B,2,FALSE)</f>
        <v>2312. Iniciativas sociales</v>
      </c>
      <c r="W1069" s="35" t="str">
        <f>MID(Tabla1[[#This Row],[Aplicación]],14,2)</f>
        <v>21</v>
      </c>
      <c r="X1069" s="35" t="str">
        <f>MID(Tabla1[[#This Row],[Aplicación]],14,6)</f>
        <v>212</v>
      </c>
    </row>
    <row r="1070" spans="1:24" x14ac:dyDescent="0.25">
      <c r="A1070" s="49">
        <v>220220012692</v>
      </c>
      <c r="B1070" s="50" t="s">
        <v>172</v>
      </c>
      <c r="C1070" s="57">
        <v>44644</v>
      </c>
      <c r="D1070" s="49">
        <v>22022001626</v>
      </c>
      <c r="E1070" s="50" t="s">
        <v>1635</v>
      </c>
      <c r="F1070" s="58">
        <v>52.1</v>
      </c>
      <c r="G1070" s="50" t="s">
        <v>222</v>
      </c>
      <c r="H1070" s="50" t="s">
        <v>2506</v>
      </c>
      <c r="I1070" s="49" t="s">
        <v>173</v>
      </c>
      <c r="J1070" s="50" t="s">
        <v>109</v>
      </c>
      <c r="K1070" s="50" t="s">
        <v>109</v>
      </c>
      <c r="L1070" s="50" t="s">
        <v>15</v>
      </c>
      <c r="M1070" s="50" t="s">
        <v>13</v>
      </c>
      <c r="N1070" s="50" t="s">
        <v>16</v>
      </c>
      <c r="O1070" s="48" t="s">
        <v>631</v>
      </c>
      <c r="P1070" s="45" t="s">
        <v>453</v>
      </c>
      <c r="Q1070" s="35" t="str">
        <f>MID(Tabla1[[#This Row],[Aplicación]],14,1)</f>
        <v>2</v>
      </c>
      <c r="R1070" s="35" t="s">
        <v>441</v>
      </c>
      <c r="S1070" s="35" t="str">
        <f>MID(Tabla1[[#This Row],[Aplicación]],6,2)</f>
        <v>03</v>
      </c>
      <c r="T1070" s="35" t="str">
        <f>VLOOKUP(Tabla1[[#This Row],[AREA]],Hoja1!A:B,2,FALSE)</f>
        <v>03. Participación ciudadana y deportes</v>
      </c>
      <c r="U1070" s="35" t="str">
        <f>MID(Tabla1[[#This Row],[Aplicación]],9,4)</f>
        <v>9241</v>
      </c>
      <c r="V1070" s="35" t="str">
        <f>VLOOKUP(Tabla1[[#This Row],[PROGRAMA]],Hoja1!A:B,2,FALSE)</f>
        <v>9241. Participación ciudadana</v>
      </c>
      <c r="W1070" s="35" t="str">
        <f>MID(Tabla1[[#This Row],[Aplicación]],14,2)</f>
        <v>21</v>
      </c>
      <c r="X1070" s="35" t="str">
        <f>MID(Tabla1[[#This Row],[Aplicación]],14,6)</f>
        <v>212</v>
      </c>
    </row>
    <row r="1071" spans="1:24" x14ac:dyDescent="0.25">
      <c r="A1071" s="49">
        <v>220220013248</v>
      </c>
      <c r="B1071" s="50" t="s">
        <v>172</v>
      </c>
      <c r="C1071" s="57">
        <v>44650</v>
      </c>
      <c r="D1071" s="49">
        <v>22022002364</v>
      </c>
      <c r="E1071" s="50" t="s">
        <v>1614</v>
      </c>
      <c r="F1071" s="58">
        <v>48.21</v>
      </c>
      <c r="G1071" s="50" t="s">
        <v>222</v>
      </c>
      <c r="H1071" s="50" t="s">
        <v>2507</v>
      </c>
      <c r="I1071" s="49" t="s">
        <v>173</v>
      </c>
      <c r="J1071" s="50" t="s">
        <v>109</v>
      </c>
      <c r="K1071" s="50" t="s">
        <v>109</v>
      </c>
      <c r="L1071" s="50" t="s">
        <v>15</v>
      </c>
      <c r="M1071" s="50" t="s">
        <v>13</v>
      </c>
      <c r="N1071" s="50" t="s">
        <v>14</v>
      </c>
      <c r="O1071" s="48" t="s">
        <v>631</v>
      </c>
      <c r="P1071" s="45" t="s">
        <v>453</v>
      </c>
      <c r="Q1071" s="35" t="str">
        <f>MID(Tabla1[[#This Row],[Aplicación]],14,1)</f>
        <v>2</v>
      </c>
      <c r="R1071" s="35" t="s">
        <v>441</v>
      </c>
      <c r="S1071" s="35" t="str">
        <f>MID(Tabla1[[#This Row],[Aplicación]],6,2)</f>
        <v>07</v>
      </c>
      <c r="T1071" s="35" t="str">
        <f>VLOOKUP(Tabla1[[#This Row],[AREA]],Hoja1!A:B,2,FALSE)</f>
        <v>07. Medio ambiente y desarrollo sostenible</v>
      </c>
      <c r="U1071" s="35" t="str">
        <f>MID(Tabla1[[#This Row],[Aplicación]],9,4)</f>
        <v>1721</v>
      </c>
      <c r="V1071" s="35" t="str">
        <f>VLOOKUP(Tabla1[[#This Row],[PROGRAMA]],Hoja1!A:B,2,FALSE)</f>
        <v>1721. Protección del medio ambiente</v>
      </c>
      <c r="W1071" s="35" t="str">
        <f>MID(Tabla1[[#This Row],[Aplicación]],14,2)</f>
        <v>22</v>
      </c>
      <c r="X1071" s="35" t="str">
        <f>MID(Tabla1[[#This Row],[Aplicación]],14,6)</f>
        <v>22199</v>
      </c>
    </row>
    <row r="1072" spans="1:24" x14ac:dyDescent="0.25">
      <c r="A1072" s="49">
        <v>220220010114</v>
      </c>
      <c r="B1072" s="50" t="s">
        <v>172</v>
      </c>
      <c r="C1072" s="57">
        <v>44638</v>
      </c>
      <c r="D1072" s="49">
        <v>22022001641</v>
      </c>
      <c r="E1072" s="50" t="s">
        <v>2034</v>
      </c>
      <c r="F1072" s="58">
        <v>47.07</v>
      </c>
      <c r="G1072" s="50" t="s">
        <v>222</v>
      </c>
      <c r="H1072" s="50" t="s">
        <v>2508</v>
      </c>
      <c r="I1072" s="49" t="s">
        <v>173</v>
      </c>
      <c r="J1072" s="50" t="s">
        <v>109</v>
      </c>
      <c r="K1072" s="50" t="s">
        <v>109</v>
      </c>
      <c r="L1072" s="50" t="s">
        <v>15</v>
      </c>
      <c r="M1072" s="50" t="s">
        <v>13</v>
      </c>
      <c r="N1072" s="50" t="s">
        <v>16</v>
      </c>
      <c r="O1072" s="48" t="s">
        <v>631</v>
      </c>
      <c r="P1072" s="45" t="s">
        <v>453</v>
      </c>
      <c r="Q1072" s="35" t="str">
        <f>MID(Tabla1[[#This Row],[Aplicación]],14,1)</f>
        <v>2</v>
      </c>
      <c r="R1072" s="35" t="s">
        <v>441</v>
      </c>
      <c r="S1072" s="35" t="str">
        <f>MID(Tabla1[[#This Row],[Aplicación]],6,2)</f>
        <v>06</v>
      </c>
      <c r="T1072" s="35" t="str">
        <f>VLOOKUP(Tabla1[[#This Row],[AREA]],Hoja1!A:B,2,FALSE)</f>
        <v>06. Educación, infancia, juventud e igualdad</v>
      </c>
      <c r="U1072" s="35" t="str">
        <f>MID(Tabla1[[#This Row],[Aplicación]],9,4)</f>
        <v>3232</v>
      </c>
      <c r="V1072" s="35" t="str">
        <f>VLOOKUP(Tabla1[[#This Row],[PROGRAMA]],Hoja1!A:B,2,FALSE)</f>
        <v>3232. Conservación y mantenimiento centros educación infantil y primaria</v>
      </c>
      <c r="W1072" s="35" t="str">
        <f>MID(Tabla1[[#This Row],[Aplicación]],14,2)</f>
        <v>21</v>
      </c>
      <c r="X1072" s="35" t="str">
        <f>MID(Tabla1[[#This Row],[Aplicación]],14,6)</f>
        <v>212</v>
      </c>
    </row>
    <row r="1073" spans="1:24" x14ac:dyDescent="0.25">
      <c r="A1073" s="49">
        <v>220220009679</v>
      </c>
      <c r="B1073" s="50" t="s">
        <v>172</v>
      </c>
      <c r="C1073" s="57">
        <v>44636</v>
      </c>
      <c r="D1073" s="49">
        <v>22022001449</v>
      </c>
      <c r="E1073" s="50" t="s">
        <v>1890</v>
      </c>
      <c r="F1073" s="58">
        <v>44.81</v>
      </c>
      <c r="G1073" s="50" t="s">
        <v>222</v>
      </c>
      <c r="H1073" s="50" t="s">
        <v>2509</v>
      </c>
      <c r="I1073" s="49" t="s">
        <v>173</v>
      </c>
      <c r="J1073" s="50" t="s">
        <v>109</v>
      </c>
      <c r="K1073" s="50" t="s">
        <v>109</v>
      </c>
      <c r="L1073" s="50" t="s">
        <v>15</v>
      </c>
      <c r="M1073" s="50" t="s">
        <v>13</v>
      </c>
      <c r="N1073" s="50" t="s">
        <v>14</v>
      </c>
      <c r="O1073" s="48" t="s">
        <v>631</v>
      </c>
      <c r="P1073" s="45" t="s">
        <v>453</v>
      </c>
      <c r="Q1073" s="35" t="str">
        <f>MID(Tabla1[[#This Row],[Aplicación]],14,1)</f>
        <v>2</v>
      </c>
      <c r="R1073" s="35" t="s">
        <v>441</v>
      </c>
      <c r="S1073" s="35" t="str">
        <f>MID(Tabla1[[#This Row],[Aplicación]],6,2)</f>
        <v>02</v>
      </c>
      <c r="T1073" s="35" t="str">
        <f>VLOOKUP(Tabla1[[#This Row],[AREA]],Hoja1!A:B,2,FALSE)</f>
        <v>02. Planeamiento urbanístico y vivienda</v>
      </c>
      <c r="U1073" s="35" t="str">
        <f>MID(Tabla1[[#This Row],[Aplicación]],9,4)</f>
        <v>9332</v>
      </c>
      <c r="V1073" s="35" t="str">
        <f>VLOOKUP(Tabla1[[#This Row],[PROGRAMA]],Hoja1!A:B,2,FALSE)</f>
        <v>9332. Mantenimiento de edificios e instalaciones municipales</v>
      </c>
      <c r="W1073" s="35" t="str">
        <f>MID(Tabla1[[#This Row],[Aplicación]],14,2)</f>
        <v>21</v>
      </c>
      <c r="X1073" s="35" t="str">
        <f>MID(Tabla1[[#This Row],[Aplicación]],14,6)</f>
        <v>212</v>
      </c>
    </row>
    <row r="1074" spans="1:24" x14ac:dyDescent="0.25">
      <c r="A1074" s="49">
        <v>220220013094</v>
      </c>
      <c r="B1074" s="50" t="s">
        <v>172</v>
      </c>
      <c r="C1074" s="57">
        <v>44649</v>
      </c>
      <c r="D1074" s="49">
        <v>22022001177</v>
      </c>
      <c r="E1074" s="50" t="s">
        <v>1653</v>
      </c>
      <c r="F1074" s="58">
        <v>43.55</v>
      </c>
      <c r="G1074" s="50" t="s">
        <v>222</v>
      </c>
      <c r="H1074" s="50" t="s">
        <v>2510</v>
      </c>
      <c r="I1074" s="49" t="s">
        <v>173</v>
      </c>
      <c r="J1074" s="50" t="s">
        <v>109</v>
      </c>
      <c r="K1074" s="50" t="s">
        <v>109</v>
      </c>
      <c r="L1074" s="50" t="s">
        <v>15</v>
      </c>
      <c r="M1074" s="50" t="s">
        <v>13</v>
      </c>
      <c r="N1074" s="50" t="s">
        <v>14</v>
      </c>
      <c r="O1074" s="48" t="s">
        <v>631</v>
      </c>
      <c r="P1074" s="45" t="s">
        <v>453</v>
      </c>
      <c r="Q1074" s="35" t="str">
        <f>MID(Tabla1[[#This Row],[Aplicación]],14,1)</f>
        <v>2</v>
      </c>
      <c r="R1074" s="35" t="s">
        <v>441</v>
      </c>
      <c r="S1074" s="35" t="str">
        <f>MID(Tabla1[[#This Row],[Aplicación]],6,2)</f>
        <v>10</v>
      </c>
      <c r="T1074" s="35" t="str">
        <f>VLOOKUP(Tabla1[[#This Row],[AREA]],Hoja1!A:B,2,FALSE)</f>
        <v>10. Servicios sociales y mediación comunitaria</v>
      </c>
      <c r="U1074" s="35" t="str">
        <f>MID(Tabla1[[#This Row],[Aplicación]],9,4)</f>
        <v>2311</v>
      </c>
      <c r="V1074" s="35" t="str">
        <f>VLOOKUP(Tabla1[[#This Row],[PROGRAMA]],Hoja1!A:B,2,FALSE)</f>
        <v>2311. Intervención social</v>
      </c>
      <c r="W1074" s="35" t="str">
        <f>MID(Tabla1[[#This Row],[Aplicación]],14,2)</f>
        <v>21</v>
      </c>
      <c r="X1074" s="35" t="str">
        <f>MID(Tabla1[[#This Row],[Aplicación]],14,6)</f>
        <v>212</v>
      </c>
    </row>
    <row r="1075" spans="1:24" x14ac:dyDescent="0.25">
      <c r="A1075" s="49">
        <v>220220013136</v>
      </c>
      <c r="B1075" s="50" t="s">
        <v>172</v>
      </c>
      <c r="C1075" s="57">
        <v>44649</v>
      </c>
      <c r="D1075" s="49">
        <v>22022001179</v>
      </c>
      <c r="E1075" s="50" t="s">
        <v>1653</v>
      </c>
      <c r="F1075" s="58">
        <v>38.72</v>
      </c>
      <c r="G1075" s="50" t="s">
        <v>222</v>
      </c>
      <c r="H1075" s="50" t="s">
        <v>2511</v>
      </c>
      <c r="I1075" s="49" t="s">
        <v>173</v>
      </c>
      <c r="J1075" s="50" t="s">
        <v>109</v>
      </c>
      <c r="K1075" s="50" t="s">
        <v>109</v>
      </c>
      <c r="L1075" s="50" t="s">
        <v>15</v>
      </c>
      <c r="M1075" s="50" t="s">
        <v>13</v>
      </c>
      <c r="N1075" s="50" t="s">
        <v>14</v>
      </c>
      <c r="O1075" s="48" t="s">
        <v>631</v>
      </c>
      <c r="P1075" s="45" t="s">
        <v>453</v>
      </c>
      <c r="Q1075" s="35" t="str">
        <f>MID(Tabla1[[#This Row],[Aplicación]],14,1)</f>
        <v>2</v>
      </c>
      <c r="R1075" s="35" t="s">
        <v>441</v>
      </c>
      <c r="S1075" s="35" t="str">
        <f>MID(Tabla1[[#This Row],[Aplicación]],6,2)</f>
        <v>10</v>
      </c>
      <c r="T1075" s="35" t="str">
        <f>VLOOKUP(Tabla1[[#This Row],[AREA]],Hoja1!A:B,2,FALSE)</f>
        <v>10. Servicios sociales y mediación comunitaria</v>
      </c>
      <c r="U1075" s="35" t="str">
        <f>MID(Tabla1[[#This Row],[Aplicación]],9,4)</f>
        <v>2311</v>
      </c>
      <c r="V1075" s="35" t="str">
        <f>VLOOKUP(Tabla1[[#This Row],[PROGRAMA]],Hoja1!A:B,2,FALSE)</f>
        <v>2311. Intervención social</v>
      </c>
      <c r="W1075" s="35" t="str">
        <f>MID(Tabla1[[#This Row],[Aplicación]],14,2)</f>
        <v>21</v>
      </c>
      <c r="X1075" s="35" t="str">
        <f>MID(Tabla1[[#This Row],[Aplicación]],14,6)</f>
        <v>212</v>
      </c>
    </row>
    <row r="1076" spans="1:24" x14ac:dyDescent="0.25">
      <c r="A1076" s="49">
        <v>220220008308</v>
      </c>
      <c r="B1076" s="50" t="s">
        <v>172</v>
      </c>
      <c r="C1076" s="57">
        <v>44631</v>
      </c>
      <c r="D1076" s="49">
        <v>22022001178</v>
      </c>
      <c r="E1076" s="50" t="s">
        <v>1653</v>
      </c>
      <c r="F1076" s="58">
        <v>33.67</v>
      </c>
      <c r="G1076" s="50" t="s">
        <v>222</v>
      </c>
      <c r="H1076" s="50" t="s">
        <v>2512</v>
      </c>
      <c r="I1076" s="49" t="s">
        <v>173</v>
      </c>
      <c r="J1076" s="50" t="s">
        <v>109</v>
      </c>
      <c r="K1076" s="50" t="s">
        <v>109</v>
      </c>
      <c r="L1076" s="50" t="s">
        <v>15</v>
      </c>
      <c r="M1076" s="50" t="s">
        <v>13</v>
      </c>
      <c r="N1076" s="50" t="s">
        <v>14</v>
      </c>
      <c r="O1076" s="48" t="s">
        <v>631</v>
      </c>
      <c r="P1076" s="45" t="s">
        <v>453</v>
      </c>
      <c r="Q1076" s="35" t="str">
        <f>MID(Tabla1[[#This Row],[Aplicación]],14,1)</f>
        <v>2</v>
      </c>
      <c r="R1076" s="35" t="s">
        <v>441</v>
      </c>
      <c r="S1076" s="35" t="str">
        <f>MID(Tabla1[[#This Row],[Aplicación]],6,2)</f>
        <v>10</v>
      </c>
      <c r="T1076" s="35" t="str">
        <f>VLOOKUP(Tabla1[[#This Row],[AREA]],Hoja1!A:B,2,FALSE)</f>
        <v>10. Servicios sociales y mediación comunitaria</v>
      </c>
      <c r="U1076" s="35" t="str">
        <f>MID(Tabla1[[#This Row],[Aplicación]],9,4)</f>
        <v>2311</v>
      </c>
      <c r="V1076" s="35" t="str">
        <f>VLOOKUP(Tabla1[[#This Row],[PROGRAMA]],Hoja1!A:B,2,FALSE)</f>
        <v>2311. Intervención social</v>
      </c>
      <c r="W1076" s="35" t="str">
        <f>MID(Tabla1[[#This Row],[Aplicación]],14,2)</f>
        <v>21</v>
      </c>
      <c r="X1076" s="35" t="str">
        <f>MID(Tabla1[[#This Row],[Aplicación]],14,6)</f>
        <v>212</v>
      </c>
    </row>
    <row r="1077" spans="1:24" x14ac:dyDescent="0.25">
      <c r="A1077" s="49">
        <v>220220009521</v>
      </c>
      <c r="B1077" s="50" t="s">
        <v>172</v>
      </c>
      <c r="C1077" s="57">
        <v>44636</v>
      </c>
      <c r="D1077" s="49">
        <v>22022001449</v>
      </c>
      <c r="E1077" s="50" t="s">
        <v>1890</v>
      </c>
      <c r="F1077" s="58">
        <v>33.28</v>
      </c>
      <c r="G1077" s="50" t="s">
        <v>222</v>
      </c>
      <c r="H1077" s="50" t="s">
        <v>2513</v>
      </c>
      <c r="I1077" s="49" t="s">
        <v>173</v>
      </c>
      <c r="J1077" s="50" t="s">
        <v>109</v>
      </c>
      <c r="K1077" s="50" t="s">
        <v>109</v>
      </c>
      <c r="L1077" s="50" t="s">
        <v>15</v>
      </c>
      <c r="M1077" s="50" t="s">
        <v>13</v>
      </c>
      <c r="N1077" s="50" t="s">
        <v>14</v>
      </c>
      <c r="O1077" s="48" t="s">
        <v>631</v>
      </c>
      <c r="P1077" s="45" t="s">
        <v>453</v>
      </c>
      <c r="Q1077" s="35" t="str">
        <f>MID(Tabla1[[#This Row],[Aplicación]],14,1)</f>
        <v>2</v>
      </c>
      <c r="R1077" s="35" t="s">
        <v>441</v>
      </c>
      <c r="S1077" s="35" t="str">
        <f>MID(Tabla1[[#This Row],[Aplicación]],6,2)</f>
        <v>02</v>
      </c>
      <c r="T1077" s="35" t="str">
        <f>VLOOKUP(Tabla1[[#This Row],[AREA]],Hoja1!A:B,2,FALSE)</f>
        <v>02. Planeamiento urbanístico y vivienda</v>
      </c>
      <c r="U1077" s="35" t="str">
        <f>MID(Tabla1[[#This Row],[Aplicación]],9,4)</f>
        <v>9332</v>
      </c>
      <c r="V1077" s="35" t="str">
        <f>VLOOKUP(Tabla1[[#This Row],[PROGRAMA]],Hoja1!A:B,2,FALSE)</f>
        <v>9332. Mantenimiento de edificios e instalaciones municipales</v>
      </c>
      <c r="W1077" s="35" t="str">
        <f>MID(Tabla1[[#This Row],[Aplicación]],14,2)</f>
        <v>21</v>
      </c>
      <c r="X1077" s="35" t="str">
        <f>MID(Tabla1[[#This Row],[Aplicación]],14,6)</f>
        <v>212</v>
      </c>
    </row>
    <row r="1078" spans="1:24" x14ac:dyDescent="0.25">
      <c r="A1078" s="49">
        <v>220220007039</v>
      </c>
      <c r="B1078" s="50" t="s">
        <v>172</v>
      </c>
      <c r="C1078" s="57">
        <v>44623</v>
      </c>
      <c r="D1078" s="49">
        <v>22022001184</v>
      </c>
      <c r="E1078" s="50" t="s">
        <v>2020</v>
      </c>
      <c r="F1078" s="58">
        <v>31.75</v>
      </c>
      <c r="G1078" s="50" t="s">
        <v>222</v>
      </c>
      <c r="H1078" s="50" t="s">
        <v>2514</v>
      </c>
      <c r="I1078" s="49" t="s">
        <v>173</v>
      </c>
      <c r="J1078" s="50" t="s">
        <v>109</v>
      </c>
      <c r="K1078" s="50" t="s">
        <v>109</v>
      </c>
      <c r="L1078" s="50" t="s">
        <v>15</v>
      </c>
      <c r="M1078" s="50" t="s">
        <v>13</v>
      </c>
      <c r="N1078" s="50" t="s">
        <v>14</v>
      </c>
      <c r="O1078" s="48" t="s">
        <v>631</v>
      </c>
      <c r="P1078" s="45" t="s">
        <v>453</v>
      </c>
      <c r="Q1078" s="35" t="str">
        <f>MID(Tabla1[[#This Row],[Aplicación]],14,1)</f>
        <v>2</v>
      </c>
      <c r="R1078" s="35" t="s">
        <v>441</v>
      </c>
      <c r="S1078" s="35" t="str">
        <f>MID(Tabla1[[#This Row],[Aplicación]],6,2)</f>
        <v>10</v>
      </c>
      <c r="T1078" s="35" t="str">
        <f>VLOOKUP(Tabla1[[#This Row],[AREA]],Hoja1!A:B,2,FALSE)</f>
        <v>10. Servicios sociales y mediación comunitaria</v>
      </c>
      <c r="U1078" s="35" t="str">
        <f>MID(Tabla1[[#This Row],[Aplicación]],9,4)</f>
        <v>2312</v>
      </c>
      <c r="V1078" s="35" t="str">
        <f>VLOOKUP(Tabla1[[#This Row],[PROGRAMA]],Hoja1!A:B,2,FALSE)</f>
        <v>2312. Iniciativas sociales</v>
      </c>
      <c r="W1078" s="35" t="str">
        <f>MID(Tabla1[[#This Row],[Aplicación]],14,2)</f>
        <v>21</v>
      </c>
      <c r="X1078" s="35" t="str">
        <f>MID(Tabla1[[#This Row],[Aplicación]],14,6)</f>
        <v>212</v>
      </c>
    </row>
    <row r="1079" spans="1:24" x14ac:dyDescent="0.25">
      <c r="A1079" s="49">
        <v>220220001602</v>
      </c>
      <c r="B1079" s="50" t="s">
        <v>9</v>
      </c>
      <c r="C1079" s="57">
        <v>44587</v>
      </c>
      <c r="D1079" s="49">
        <v>22022001364</v>
      </c>
      <c r="E1079" s="50" t="s">
        <v>1988</v>
      </c>
      <c r="F1079" s="58">
        <v>1788.59</v>
      </c>
      <c r="G1079" s="50" t="s">
        <v>38</v>
      </c>
      <c r="H1079" s="50" t="s">
        <v>2104</v>
      </c>
      <c r="I1079" s="49" t="s">
        <v>107</v>
      </c>
      <c r="J1079" s="50" t="s">
        <v>129</v>
      </c>
      <c r="K1079" s="50" t="s">
        <v>170</v>
      </c>
      <c r="L1079" s="50" t="s">
        <v>15</v>
      </c>
      <c r="M1079" s="50" t="s">
        <v>13</v>
      </c>
      <c r="N1079" s="50" t="s">
        <v>14</v>
      </c>
      <c r="O1079" s="48" t="s">
        <v>620</v>
      </c>
      <c r="P1079" s="45" t="s">
        <v>453</v>
      </c>
      <c r="Q1079" s="35" t="str">
        <f>MID(Tabla1[[#This Row],[Aplicación]],14,1)</f>
        <v>2</v>
      </c>
      <c r="R1079" s="35" t="s">
        <v>441</v>
      </c>
      <c r="S1079" s="35" t="str">
        <f>MID(Tabla1[[#This Row],[Aplicación]],6,2)</f>
        <v>10</v>
      </c>
      <c r="T1079" s="35" t="str">
        <f>VLOOKUP(Tabla1[[#This Row],[AREA]],Hoja1!A:B,2,FALSE)</f>
        <v>10. Servicios sociales y mediación comunitaria</v>
      </c>
      <c r="U1079" s="35" t="str">
        <f>MID(Tabla1[[#This Row],[Aplicación]],9,4)</f>
        <v>2412</v>
      </c>
      <c r="V1079" s="35" t="str">
        <f>VLOOKUP(Tabla1[[#This Row],[PROGRAMA]],Hoja1!A:B,2,FALSE)</f>
        <v>2412. Formación para el empleo</v>
      </c>
      <c r="W1079" s="35" t="str">
        <f>MID(Tabla1[[#This Row],[Aplicación]],14,2)</f>
        <v>22</v>
      </c>
      <c r="X1079" s="35" t="str">
        <f>MID(Tabla1[[#This Row],[Aplicación]],14,6)</f>
        <v>22100</v>
      </c>
    </row>
    <row r="1080" spans="1:24" x14ac:dyDescent="0.25">
      <c r="A1080" s="49">
        <v>220220008656</v>
      </c>
      <c r="B1080" s="50" t="s">
        <v>172</v>
      </c>
      <c r="C1080" s="57">
        <v>44634</v>
      </c>
      <c r="D1080" s="49">
        <v>22022001456</v>
      </c>
      <c r="E1080" s="50" t="s">
        <v>2012</v>
      </c>
      <c r="F1080" s="58">
        <v>21.95</v>
      </c>
      <c r="G1080" s="50" t="s">
        <v>222</v>
      </c>
      <c r="H1080" s="50" t="s">
        <v>2515</v>
      </c>
      <c r="I1080" s="49" t="s">
        <v>173</v>
      </c>
      <c r="J1080" s="50" t="s">
        <v>109</v>
      </c>
      <c r="K1080" s="50" t="s">
        <v>109</v>
      </c>
      <c r="L1080" s="50" t="s">
        <v>15</v>
      </c>
      <c r="M1080" s="50" t="s">
        <v>13</v>
      </c>
      <c r="N1080" s="50" t="s">
        <v>14</v>
      </c>
      <c r="O1080" s="48" t="s">
        <v>631</v>
      </c>
      <c r="P1080" s="45" t="s">
        <v>453</v>
      </c>
      <c r="Q1080" s="35" t="str">
        <f>MID(Tabla1[[#This Row],[Aplicación]],14,1)</f>
        <v>2</v>
      </c>
      <c r="R1080" s="35" t="s">
        <v>441</v>
      </c>
      <c r="S1080" s="35" t="str">
        <f>MID(Tabla1[[#This Row],[Aplicación]],6,2)</f>
        <v>11</v>
      </c>
      <c r="T1080" s="35" t="str">
        <f>VLOOKUP(Tabla1[[#This Row],[AREA]],Hoja1!A:B,2,FALSE)</f>
        <v>11. Salud pública y seguridad ciudadana</v>
      </c>
      <c r="U1080" s="35" t="str">
        <f>MID(Tabla1[[#This Row],[Aplicación]],9,4)</f>
        <v>1321</v>
      </c>
      <c r="V1080" s="35" t="str">
        <f>VLOOKUP(Tabla1[[#This Row],[PROGRAMA]],Hoja1!A:B,2,FALSE)</f>
        <v>1321. Policía municipal</v>
      </c>
      <c r="W1080" s="35" t="str">
        <f>MID(Tabla1[[#This Row],[Aplicación]],14,2)</f>
        <v>22</v>
      </c>
      <c r="X1080" s="35" t="str">
        <f>MID(Tabla1[[#This Row],[Aplicación]],14,6)</f>
        <v>22199</v>
      </c>
    </row>
    <row r="1081" spans="1:24" x14ac:dyDescent="0.25">
      <c r="A1081" s="49">
        <v>220220009370</v>
      </c>
      <c r="B1081" s="50" t="s">
        <v>172</v>
      </c>
      <c r="C1081" s="57">
        <v>44636</v>
      </c>
      <c r="D1081" s="49">
        <v>22022001178</v>
      </c>
      <c r="E1081" s="50" t="s">
        <v>1653</v>
      </c>
      <c r="F1081" s="58">
        <v>20.85</v>
      </c>
      <c r="G1081" s="50" t="s">
        <v>222</v>
      </c>
      <c r="H1081" s="50" t="s">
        <v>2516</v>
      </c>
      <c r="I1081" s="49" t="s">
        <v>173</v>
      </c>
      <c r="J1081" s="50" t="s">
        <v>109</v>
      </c>
      <c r="K1081" s="50" t="s">
        <v>109</v>
      </c>
      <c r="L1081" s="50" t="s">
        <v>15</v>
      </c>
      <c r="M1081" s="50" t="s">
        <v>13</v>
      </c>
      <c r="N1081" s="50" t="s">
        <v>14</v>
      </c>
      <c r="O1081" s="48" t="s">
        <v>631</v>
      </c>
      <c r="P1081" s="45" t="s">
        <v>453</v>
      </c>
      <c r="Q1081" s="35" t="str">
        <f>MID(Tabla1[[#This Row],[Aplicación]],14,1)</f>
        <v>2</v>
      </c>
      <c r="R1081" s="35" t="s">
        <v>441</v>
      </c>
      <c r="S1081" s="35" t="str">
        <f>MID(Tabla1[[#This Row],[Aplicación]],6,2)</f>
        <v>10</v>
      </c>
      <c r="T1081" s="35" t="str">
        <f>VLOOKUP(Tabla1[[#This Row],[AREA]],Hoja1!A:B,2,FALSE)</f>
        <v>10. Servicios sociales y mediación comunitaria</v>
      </c>
      <c r="U1081" s="35" t="str">
        <f>MID(Tabla1[[#This Row],[Aplicación]],9,4)</f>
        <v>2311</v>
      </c>
      <c r="V1081" s="35" t="str">
        <f>VLOOKUP(Tabla1[[#This Row],[PROGRAMA]],Hoja1!A:B,2,FALSE)</f>
        <v>2311. Intervención social</v>
      </c>
      <c r="W1081" s="35" t="str">
        <f>MID(Tabla1[[#This Row],[Aplicación]],14,2)</f>
        <v>21</v>
      </c>
      <c r="X1081" s="35" t="str">
        <f>MID(Tabla1[[#This Row],[Aplicación]],14,6)</f>
        <v>212</v>
      </c>
    </row>
    <row r="1082" spans="1:24" x14ac:dyDescent="0.25">
      <c r="A1082" s="49">
        <v>220220013090</v>
      </c>
      <c r="B1082" s="50" t="s">
        <v>172</v>
      </c>
      <c r="C1082" s="57">
        <v>44649</v>
      </c>
      <c r="D1082" s="49">
        <v>22022001178</v>
      </c>
      <c r="E1082" s="50" t="s">
        <v>1653</v>
      </c>
      <c r="F1082" s="58">
        <v>20.82</v>
      </c>
      <c r="G1082" s="50" t="s">
        <v>222</v>
      </c>
      <c r="H1082" s="50" t="s">
        <v>2517</v>
      </c>
      <c r="I1082" s="49" t="s">
        <v>173</v>
      </c>
      <c r="J1082" s="50" t="s">
        <v>109</v>
      </c>
      <c r="K1082" s="50" t="s">
        <v>109</v>
      </c>
      <c r="L1082" s="50" t="s">
        <v>15</v>
      </c>
      <c r="M1082" s="50" t="s">
        <v>13</v>
      </c>
      <c r="N1082" s="50" t="s">
        <v>14</v>
      </c>
      <c r="O1082" s="48" t="s">
        <v>631</v>
      </c>
      <c r="P1082" s="45" t="s">
        <v>453</v>
      </c>
      <c r="Q1082" s="35" t="str">
        <f>MID(Tabla1[[#This Row],[Aplicación]],14,1)</f>
        <v>2</v>
      </c>
      <c r="R1082" s="35" t="s">
        <v>441</v>
      </c>
      <c r="S1082" s="35" t="str">
        <f>MID(Tabla1[[#This Row],[Aplicación]],6,2)</f>
        <v>10</v>
      </c>
      <c r="T1082" s="35" t="str">
        <f>VLOOKUP(Tabla1[[#This Row],[AREA]],Hoja1!A:B,2,FALSE)</f>
        <v>10. Servicios sociales y mediación comunitaria</v>
      </c>
      <c r="U1082" s="35" t="str">
        <f>MID(Tabla1[[#This Row],[Aplicación]],9,4)</f>
        <v>2311</v>
      </c>
      <c r="V1082" s="35" t="str">
        <f>VLOOKUP(Tabla1[[#This Row],[PROGRAMA]],Hoja1!A:B,2,FALSE)</f>
        <v>2311. Intervención social</v>
      </c>
      <c r="W1082" s="35" t="str">
        <f>MID(Tabla1[[#This Row],[Aplicación]],14,2)</f>
        <v>21</v>
      </c>
      <c r="X1082" s="35" t="str">
        <f>MID(Tabla1[[#This Row],[Aplicación]],14,6)</f>
        <v>212</v>
      </c>
    </row>
    <row r="1083" spans="1:24" x14ac:dyDescent="0.25">
      <c r="A1083" s="49">
        <v>220220013208</v>
      </c>
      <c r="B1083" s="50" t="s">
        <v>172</v>
      </c>
      <c r="C1083" s="57">
        <v>44650</v>
      </c>
      <c r="D1083" s="49">
        <v>22022002690</v>
      </c>
      <c r="E1083" s="50" t="s">
        <v>2150</v>
      </c>
      <c r="F1083" s="58">
        <v>20.03</v>
      </c>
      <c r="G1083" s="50" t="s">
        <v>222</v>
      </c>
      <c r="H1083" s="50" t="s">
        <v>2518</v>
      </c>
      <c r="I1083" s="49" t="s">
        <v>173</v>
      </c>
      <c r="J1083" s="50" t="s">
        <v>109</v>
      </c>
      <c r="K1083" s="50" t="s">
        <v>109</v>
      </c>
      <c r="L1083" s="50" t="s">
        <v>15</v>
      </c>
      <c r="M1083" s="50" t="s">
        <v>13</v>
      </c>
      <c r="N1083" s="50" t="s">
        <v>14</v>
      </c>
      <c r="O1083" s="48" t="s">
        <v>631</v>
      </c>
      <c r="P1083" s="45" t="s">
        <v>453</v>
      </c>
      <c r="Q1083" s="35" t="str">
        <f>MID(Tabla1[[#This Row],[Aplicación]],14,1)</f>
        <v>2</v>
      </c>
      <c r="R1083" s="35" t="s">
        <v>441</v>
      </c>
      <c r="S1083" s="35" t="str">
        <f>MID(Tabla1[[#This Row],[Aplicación]],6,2)</f>
        <v>09</v>
      </c>
      <c r="T1083" s="35" t="str">
        <f>VLOOKUP(Tabla1[[#This Row],[AREA]],Hoja1!A:B,2,FALSE)</f>
        <v>09. Cultura y turismo</v>
      </c>
      <c r="U1083" s="35" t="str">
        <f>MID(Tabla1[[#This Row],[Aplicación]],9,4)</f>
        <v>3341</v>
      </c>
      <c r="V1083" s="35" t="str">
        <f>VLOOKUP(Tabla1[[#This Row],[PROGRAMA]],Hoja1!A:B,2,FALSE)</f>
        <v>3341. Coordinación de políticas culturales</v>
      </c>
      <c r="W1083" s="35" t="str">
        <f>MID(Tabla1[[#This Row],[Aplicación]],14,2)</f>
        <v>21</v>
      </c>
      <c r="X1083" s="35" t="str">
        <f>MID(Tabla1[[#This Row],[Aplicación]],14,6)</f>
        <v>213</v>
      </c>
    </row>
    <row r="1084" spans="1:24" x14ac:dyDescent="0.25">
      <c r="A1084" s="49">
        <v>220220013134</v>
      </c>
      <c r="B1084" s="50" t="s">
        <v>172</v>
      </c>
      <c r="C1084" s="57">
        <v>44649</v>
      </c>
      <c r="D1084" s="49">
        <v>22022001179</v>
      </c>
      <c r="E1084" s="50" t="s">
        <v>1653</v>
      </c>
      <c r="F1084" s="58">
        <v>18.97</v>
      </c>
      <c r="G1084" s="50" t="s">
        <v>222</v>
      </c>
      <c r="H1084" s="50" t="s">
        <v>2519</v>
      </c>
      <c r="I1084" s="49" t="s">
        <v>173</v>
      </c>
      <c r="J1084" s="50" t="s">
        <v>109</v>
      </c>
      <c r="K1084" s="50" t="s">
        <v>109</v>
      </c>
      <c r="L1084" s="50" t="s">
        <v>15</v>
      </c>
      <c r="M1084" s="50" t="s">
        <v>13</v>
      </c>
      <c r="N1084" s="50" t="s">
        <v>14</v>
      </c>
      <c r="O1084" s="48" t="s">
        <v>631</v>
      </c>
      <c r="P1084" s="45" t="s">
        <v>453</v>
      </c>
      <c r="Q1084" s="35" t="str">
        <f>MID(Tabla1[[#This Row],[Aplicación]],14,1)</f>
        <v>2</v>
      </c>
      <c r="R1084" s="35" t="s">
        <v>441</v>
      </c>
      <c r="S1084" s="35" t="str">
        <f>MID(Tabla1[[#This Row],[Aplicación]],6,2)</f>
        <v>10</v>
      </c>
      <c r="T1084" s="35" t="str">
        <f>VLOOKUP(Tabla1[[#This Row],[AREA]],Hoja1!A:B,2,FALSE)</f>
        <v>10. Servicios sociales y mediación comunitaria</v>
      </c>
      <c r="U1084" s="35" t="str">
        <f>MID(Tabla1[[#This Row],[Aplicación]],9,4)</f>
        <v>2311</v>
      </c>
      <c r="V1084" s="35" t="str">
        <f>VLOOKUP(Tabla1[[#This Row],[PROGRAMA]],Hoja1!A:B,2,FALSE)</f>
        <v>2311. Intervención social</v>
      </c>
      <c r="W1084" s="35" t="str">
        <f>MID(Tabla1[[#This Row],[Aplicación]],14,2)</f>
        <v>21</v>
      </c>
      <c r="X1084" s="35" t="str">
        <f>MID(Tabla1[[#This Row],[Aplicación]],14,6)</f>
        <v>212</v>
      </c>
    </row>
    <row r="1085" spans="1:24" x14ac:dyDescent="0.25">
      <c r="A1085" s="49">
        <v>220220001602</v>
      </c>
      <c r="B1085" s="50" t="s">
        <v>9</v>
      </c>
      <c r="C1085" s="57">
        <v>44587</v>
      </c>
      <c r="D1085" s="49">
        <v>22022000121</v>
      </c>
      <c r="E1085" s="50" t="s">
        <v>1988</v>
      </c>
      <c r="F1085" s="58">
        <v>1725</v>
      </c>
      <c r="G1085" s="50" t="s">
        <v>38</v>
      </c>
      <c r="H1085" s="50" t="s">
        <v>2104</v>
      </c>
      <c r="I1085" s="49" t="s">
        <v>107</v>
      </c>
      <c r="J1085" s="50" t="s">
        <v>129</v>
      </c>
      <c r="K1085" s="50" t="s">
        <v>170</v>
      </c>
      <c r="L1085" s="50" t="s">
        <v>15</v>
      </c>
      <c r="M1085" s="50" t="s">
        <v>13</v>
      </c>
      <c r="N1085" s="50" t="s">
        <v>14</v>
      </c>
      <c r="O1085" s="48" t="s">
        <v>620</v>
      </c>
      <c r="P1085" s="45" t="s">
        <v>453</v>
      </c>
      <c r="Q1085" s="35" t="str">
        <f>MID(Tabla1[[#This Row],[Aplicación]],14,1)</f>
        <v>2</v>
      </c>
      <c r="R1085" s="35" t="s">
        <v>441</v>
      </c>
      <c r="S1085" s="35" t="str">
        <f>MID(Tabla1[[#This Row],[Aplicación]],6,2)</f>
        <v>10</v>
      </c>
      <c r="T1085" s="35" t="str">
        <f>VLOOKUP(Tabla1[[#This Row],[AREA]],Hoja1!A:B,2,FALSE)</f>
        <v>10. Servicios sociales y mediación comunitaria</v>
      </c>
      <c r="U1085" s="35" t="str">
        <f>MID(Tabla1[[#This Row],[Aplicación]],9,4)</f>
        <v>2412</v>
      </c>
      <c r="V1085" s="35" t="str">
        <f>VLOOKUP(Tabla1[[#This Row],[PROGRAMA]],Hoja1!A:B,2,FALSE)</f>
        <v>2412. Formación para el empleo</v>
      </c>
      <c r="W1085" s="35" t="str">
        <f>MID(Tabla1[[#This Row],[Aplicación]],14,2)</f>
        <v>22</v>
      </c>
      <c r="X1085" s="35" t="str">
        <f>MID(Tabla1[[#This Row],[Aplicación]],14,6)</f>
        <v>22100</v>
      </c>
    </row>
    <row r="1086" spans="1:24" x14ac:dyDescent="0.25">
      <c r="A1086" s="49">
        <v>220220009900</v>
      </c>
      <c r="B1086" s="50" t="s">
        <v>172</v>
      </c>
      <c r="C1086" s="57">
        <v>44638</v>
      </c>
      <c r="D1086" s="49">
        <v>22022001184</v>
      </c>
      <c r="E1086" s="50" t="s">
        <v>2020</v>
      </c>
      <c r="F1086" s="58">
        <v>16.38</v>
      </c>
      <c r="G1086" s="50" t="s">
        <v>222</v>
      </c>
      <c r="H1086" s="50" t="s">
        <v>2520</v>
      </c>
      <c r="I1086" s="49" t="s">
        <v>173</v>
      </c>
      <c r="J1086" s="50" t="s">
        <v>109</v>
      </c>
      <c r="K1086" s="50" t="s">
        <v>109</v>
      </c>
      <c r="L1086" s="50" t="s">
        <v>15</v>
      </c>
      <c r="M1086" s="50" t="s">
        <v>13</v>
      </c>
      <c r="N1086" s="50" t="s">
        <v>14</v>
      </c>
      <c r="O1086" s="48" t="s">
        <v>631</v>
      </c>
      <c r="P1086" s="45" t="s">
        <v>453</v>
      </c>
      <c r="Q1086" s="35" t="str">
        <f>MID(Tabla1[[#This Row],[Aplicación]],14,1)</f>
        <v>2</v>
      </c>
      <c r="R1086" s="35" t="s">
        <v>441</v>
      </c>
      <c r="S1086" s="35" t="str">
        <f>MID(Tabla1[[#This Row],[Aplicación]],6,2)</f>
        <v>10</v>
      </c>
      <c r="T1086" s="35" t="str">
        <f>VLOOKUP(Tabla1[[#This Row],[AREA]],Hoja1!A:B,2,FALSE)</f>
        <v>10. Servicios sociales y mediación comunitaria</v>
      </c>
      <c r="U1086" s="35" t="str">
        <f>MID(Tabla1[[#This Row],[Aplicación]],9,4)</f>
        <v>2312</v>
      </c>
      <c r="V1086" s="35" t="str">
        <f>VLOOKUP(Tabla1[[#This Row],[PROGRAMA]],Hoja1!A:B,2,FALSE)</f>
        <v>2312. Iniciativas sociales</v>
      </c>
      <c r="W1086" s="35" t="str">
        <f>MID(Tabla1[[#This Row],[Aplicación]],14,2)</f>
        <v>21</v>
      </c>
      <c r="X1086" s="35" t="str">
        <f>MID(Tabla1[[#This Row],[Aplicación]],14,6)</f>
        <v>212</v>
      </c>
    </row>
    <row r="1087" spans="1:24" x14ac:dyDescent="0.25">
      <c r="A1087" s="49">
        <v>220220013083</v>
      </c>
      <c r="B1087" s="50" t="s">
        <v>172</v>
      </c>
      <c r="C1087" s="57">
        <v>44649</v>
      </c>
      <c r="D1087" s="49">
        <v>22022001183</v>
      </c>
      <c r="E1087" s="50" t="s">
        <v>2020</v>
      </c>
      <c r="F1087" s="58">
        <v>13</v>
      </c>
      <c r="G1087" s="50" t="s">
        <v>222</v>
      </c>
      <c r="H1087" s="50" t="s">
        <v>2505</v>
      </c>
      <c r="I1087" s="49" t="s">
        <v>173</v>
      </c>
      <c r="J1087" s="50" t="s">
        <v>109</v>
      </c>
      <c r="K1087" s="50" t="s">
        <v>109</v>
      </c>
      <c r="L1087" s="50" t="s">
        <v>15</v>
      </c>
      <c r="M1087" s="50" t="s">
        <v>13</v>
      </c>
      <c r="N1087" s="50" t="s">
        <v>14</v>
      </c>
      <c r="O1087" s="48" t="s">
        <v>631</v>
      </c>
      <c r="P1087" s="45" t="s">
        <v>453</v>
      </c>
      <c r="Q1087" s="35" t="str">
        <f>MID(Tabla1[[#This Row],[Aplicación]],14,1)</f>
        <v>2</v>
      </c>
      <c r="R1087" s="35" t="s">
        <v>441</v>
      </c>
      <c r="S1087" s="35" t="str">
        <f>MID(Tabla1[[#This Row],[Aplicación]],6,2)</f>
        <v>10</v>
      </c>
      <c r="T1087" s="35" t="str">
        <f>VLOOKUP(Tabla1[[#This Row],[AREA]],Hoja1!A:B,2,FALSE)</f>
        <v>10. Servicios sociales y mediación comunitaria</v>
      </c>
      <c r="U1087" s="35" t="str">
        <f>MID(Tabla1[[#This Row],[Aplicación]],9,4)</f>
        <v>2312</v>
      </c>
      <c r="V1087" s="35" t="str">
        <f>VLOOKUP(Tabla1[[#This Row],[PROGRAMA]],Hoja1!A:B,2,FALSE)</f>
        <v>2312. Iniciativas sociales</v>
      </c>
      <c r="W1087" s="35" t="str">
        <f>MID(Tabla1[[#This Row],[Aplicación]],14,2)</f>
        <v>21</v>
      </c>
      <c r="X1087" s="35" t="str">
        <f>MID(Tabla1[[#This Row],[Aplicación]],14,6)</f>
        <v>212</v>
      </c>
    </row>
    <row r="1088" spans="1:24" x14ac:dyDescent="0.25">
      <c r="A1088" s="49">
        <v>220220003160</v>
      </c>
      <c r="B1088" s="50" t="s">
        <v>172</v>
      </c>
      <c r="C1088" s="57">
        <v>44601</v>
      </c>
      <c r="D1088" s="49">
        <v>22022001640</v>
      </c>
      <c r="E1088" s="50" t="s">
        <v>1719</v>
      </c>
      <c r="F1088" s="58">
        <v>12.5</v>
      </c>
      <c r="G1088" s="50" t="s">
        <v>222</v>
      </c>
      <c r="H1088" s="50" t="s">
        <v>2521</v>
      </c>
      <c r="I1088" s="49" t="s">
        <v>173</v>
      </c>
      <c r="J1088" s="50" t="s">
        <v>109</v>
      </c>
      <c r="K1088" s="50" t="s">
        <v>109</v>
      </c>
      <c r="L1088" s="50" t="s">
        <v>15</v>
      </c>
      <c r="M1088" s="50" t="s">
        <v>13</v>
      </c>
      <c r="N1088" s="50" t="s">
        <v>16</v>
      </c>
      <c r="O1088" s="48" t="s">
        <v>631</v>
      </c>
      <c r="P1088" s="45" t="s">
        <v>453</v>
      </c>
      <c r="Q1088" s="35" t="str">
        <f>MID(Tabla1[[#This Row],[Aplicación]],14,1)</f>
        <v>2</v>
      </c>
      <c r="R1088" s="35" t="s">
        <v>441</v>
      </c>
      <c r="S1088" s="35" t="str">
        <f>MID(Tabla1[[#This Row],[Aplicación]],6,2)</f>
        <v>06</v>
      </c>
      <c r="T1088" s="35" t="str">
        <f>VLOOKUP(Tabla1[[#This Row],[AREA]],Hoja1!A:B,2,FALSE)</f>
        <v>06. Educación, infancia, juventud e igualdad</v>
      </c>
      <c r="U1088" s="35" t="str">
        <f>MID(Tabla1[[#This Row],[Aplicación]],9,4)</f>
        <v>3231</v>
      </c>
      <c r="V1088" s="35" t="str">
        <f>VLOOKUP(Tabla1[[#This Row],[PROGRAMA]],Hoja1!A:B,2,FALSE)</f>
        <v>3231. Escuelas infantiles</v>
      </c>
      <c r="W1088" s="35" t="str">
        <f>MID(Tabla1[[#This Row],[Aplicación]],14,2)</f>
        <v>21</v>
      </c>
      <c r="X1088" s="35" t="str">
        <f>MID(Tabla1[[#This Row],[Aplicación]],14,6)</f>
        <v>212</v>
      </c>
    </row>
    <row r="1089" spans="1:24" x14ac:dyDescent="0.25">
      <c r="A1089" s="49">
        <v>220220008523</v>
      </c>
      <c r="B1089" s="50" t="s">
        <v>172</v>
      </c>
      <c r="C1089" s="57">
        <v>44631</v>
      </c>
      <c r="D1089" s="49">
        <v>22022001626</v>
      </c>
      <c r="E1089" s="50" t="s">
        <v>1635</v>
      </c>
      <c r="F1089" s="58">
        <v>11.56</v>
      </c>
      <c r="G1089" s="50" t="s">
        <v>222</v>
      </c>
      <c r="H1089" s="50" t="s">
        <v>2522</v>
      </c>
      <c r="I1089" s="49" t="s">
        <v>173</v>
      </c>
      <c r="J1089" s="50" t="s">
        <v>109</v>
      </c>
      <c r="K1089" s="50" t="s">
        <v>109</v>
      </c>
      <c r="L1089" s="50" t="s">
        <v>15</v>
      </c>
      <c r="M1089" s="50" t="s">
        <v>13</v>
      </c>
      <c r="N1089" s="50" t="s">
        <v>16</v>
      </c>
      <c r="O1089" s="48" t="s">
        <v>631</v>
      </c>
      <c r="P1089" s="45" t="s">
        <v>453</v>
      </c>
      <c r="Q1089" s="35" t="str">
        <f>MID(Tabla1[[#This Row],[Aplicación]],14,1)</f>
        <v>2</v>
      </c>
      <c r="R1089" s="35" t="s">
        <v>441</v>
      </c>
      <c r="S1089" s="35" t="str">
        <f>MID(Tabla1[[#This Row],[Aplicación]],6,2)</f>
        <v>03</v>
      </c>
      <c r="T1089" s="35" t="str">
        <f>VLOOKUP(Tabla1[[#This Row],[AREA]],Hoja1!A:B,2,FALSE)</f>
        <v>03. Participación ciudadana y deportes</v>
      </c>
      <c r="U1089" s="35" t="str">
        <f>MID(Tabla1[[#This Row],[Aplicación]],9,4)</f>
        <v>9241</v>
      </c>
      <c r="V1089" s="35" t="str">
        <f>VLOOKUP(Tabla1[[#This Row],[PROGRAMA]],Hoja1!A:B,2,FALSE)</f>
        <v>9241. Participación ciudadana</v>
      </c>
      <c r="W1089" s="35" t="str">
        <f>MID(Tabla1[[#This Row],[Aplicación]],14,2)</f>
        <v>21</v>
      </c>
      <c r="X1089" s="35" t="str">
        <f>MID(Tabla1[[#This Row],[Aplicación]],14,6)</f>
        <v>212</v>
      </c>
    </row>
    <row r="1090" spans="1:24" x14ac:dyDescent="0.25">
      <c r="A1090" s="49">
        <v>220220013092</v>
      </c>
      <c r="B1090" s="50" t="s">
        <v>172</v>
      </c>
      <c r="C1090" s="57">
        <v>44649</v>
      </c>
      <c r="D1090" s="49">
        <v>22022001178</v>
      </c>
      <c r="E1090" s="50" t="s">
        <v>1653</v>
      </c>
      <c r="F1090" s="58">
        <v>1.9</v>
      </c>
      <c r="G1090" s="50" t="s">
        <v>222</v>
      </c>
      <c r="H1090" s="50" t="s">
        <v>2523</v>
      </c>
      <c r="I1090" s="49" t="s">
        <v>173</v>
      </c>
      <c r="J1090" s="50" t="s">
        <v>109</v>
      </c>
      <c r="K1090" s="50" t="s">
        <v>109</v>
      </c>
      <c r="L1090" s="50" t="s">
        <v>15</v>
      </c>
      <c r="M1090" s="50" t="s">
        <v>13</v>
      </c>
      <c r="N1090" s="50" t="s">
        <v>14</v>
      </c>
      <c r="O1090" s="48" t="s">
        <v>631</v>
      </c>
      <c r="P1090" s="45" t="s">
        <v>453</v>
      </c>
      <c r="Q1090" s="35" t="str">
        <f>MID(Tabla1[[#This Row],[Aplicación]],14,1)</f>
        <v>2</v>
      </c>
      <c r="R1090" s="35" t="s">
        <v>441</v>
      </c>
      <c r="S1090" s="35" t="str">
        <f>MID(Tabla1[[#This Row],[Aplicación]],6,2)</f>
        <v>10</v>
      </c>
      <c r="T1090" s="35" t="str">
        <f>VLOOKUP(Tabla1[[#This Row],[AREA]],Hoja1!A:B,2,FALSE)</f>
        <v>10. Servicios sociales y mediación comunitaria</v>
      </c>
      <c r="U1090" s="35" t="str">
        <f>MID(Tabla1[[#This Row],[Aplicación]],9,4)</f>
        <v>2311</v>
      </c>
      <c r="V1090" s="35" t="str">
        <f>VLOOKUP(Tabla1[[#This Row],[PROGRAMA]],Hoja1!A:B,2,FALSE)</f>
        <v>2311. Intervención social</v>
      </c>
      <c r="W1090" s="35" t="str">
        <f>MID(Tabla1[[#This Row],[Aplicación]],14,2)</f>
        <v>21</v>
      </c>
      <c r="X1090" s="35" t="str">
        <f>MID(Tabla1[[#This Row],[Aplicación]],14,6)</f>
        <v>212</v>
      </c>
    </row>
    <row r="1091" spans="1:24" x14ac:dyDescent="0.25">
      <c r="A1091" s="49">
        <v>220220008272</v>
      </c>
      <c r="B1091" s="50" t="s">
        <v>9</v>
      </c>
      <c r="C1091" s="57">
        <v>44630</v>
      </c>
      <c r="D1091" s="49">
        <v>22022002594</v>
      </c>
      <c r="E1091" s="50" t="s">
        <v>1606</v>
      </c>
      <c r="F1091" s="58">
        <v>50</v>
      </c>
      <c r="G1091" s="50" t="s">
        <v>736</v>
      </c>
      <c r="H1091" s="50" t="s">
        <v>2524</v>
      </c>
      <c r="I1091" s="49" t="s">
        <v>107</v>
      </c>
      <c r="J1091" s="50" t="s">
        <v>109</v>
      </c>
      <c r="K1091" s="50" t="s">
        <v>109</v>
      </c>
      <c r="L1091" s="50" t="s">
        <v>12</v>
      </c>
      <c r="M1091" s="50" t="s">
        <v>10</v>
      </c>
      <c r="N1091" s="50" t="s">
        <v>11</v>
      </c>
      <c r="O1091" s="48" t="s">
        <v>632</v>
      </c>
      <c r="P1091" s="45" t="s">
        <v>453</v>
      </c>
      <c r="Q1091" s="35" t="str">
        <f>MID(Tabla1[[#This Row],[Aplicación]],14,1)</f>
        <v>2</v>
      </c>
      <c r="R1091" s="35" t="s">
        <v>441</v>
      </c>
      <c r="S1091" s="35" t="str">
        <f>MID(Tabla1[[#This Row],[Aplicación]],6,2)</f>
        <v>11</v>
      </c>
      <c r="T1091" s="35" t="str">
        <f>VLOOKUP(Tabla1[[#This Row],[AREA]],Hoja1!A:B,2,FALSE)</f>
        <v>11. Salud pública y seguridad ciudadana</v>
      </c>
      <c r="U1091" s="35" t="str">
        <f>MID(Tabla1[[#This Row],[Aplicación]],9,4)</f>
        <v>1361</v>
      </c>
      <c r="V1091" s="35" t="str">
        <f>VLOOKUP(Tabla1[[#This Row],[PROGRAMA]],Hoja1!A:B,2,FALSE)</f>
        <v>1361. Prevención y extinción de incencios</v>
      </c>
      <c r="W1091" s="35" t="str">
        <f>MID(Tabla1[[#This Row],[Aplicación]],14,2)</f>
        <v>22</v>
      </c>
      <c r="X1091" s="35" t="str">
        <f>MID(Tabla1[[#This Row],[Aplicación]],14,6)</f>
        <v>22199</v>
      </c>
    </row>
    <row r="1092" spans="1:24" x14ac:dyDescent="0.25">
      <c r="A1092" s="49">
        <v>220210074323</v>
      </c>
      <c r="B1092" s="50" t="s">
        <v>9</v>
      </c>
      <c r="C1092" s="57">
        <v>44620</v>
      </c>
      <c r="D1092" s="49">
        <v>22021007319</v>
      </c>
      <c r="E1092" s="50" t="s">
        <v>1410</v>
      </c>
      <c r="F1092" s="58">
        <v>8232.84</v>
      </c>
      <c r="G1092" s="50" t="s">
        <v>1232</v>
      </c>
      <c r="H1092" s="50" t="s">
        <v>1233</v>
      </c>
      <c r="I1092" s="49" t="s">
        <v>107</v>
      </c>
      <c r="J1092" s="50" t="s">
        <v>109</v>
      </c>
      <c r="K1092" s="55" t="s">
        <v>109</v>
      </c>
      <c r="L1092" s="50" t="s">
        <v>25</v>
      </c>
      <c r="M1092" s="50" t="s">
        <v>10</v>
      </c>
      <c r="N1092" s="50" t="s">
        <v>11</v>
      </c>
      <c r="O1092" s="48" t="s">
        <v>632</v>
      </c>
      <c r="P1092" s="45" t="s">
        <v>453</v>
      </c>
      <c r="Q1092" s="35" t="str">
        <f>MID(Tabla1[[#This Row],[Aplicación]],14,1)</f>
        <v>6</v>
      </c>
      <c r="R1092" s="35" t="s">
        <v>442</v>
      </c>
      <c r="S1092" s="35" t="str">
        <f>MID(Tabla1[[#This Row],[Aplicación]],6,2)</f>
        <v>03</v>
      </c>
      <c r="T1092" s="35" t="str">
        <f>VLOOKUP(Tabla1[[#This Row],[AREA]],Hoja1!A:B,2,FALSE)</f>
        <v>03. Participación ciudadana y deportes</v>
      </c>
      <c r="U1092" s="35" t="str">
        <f>MID(Tabla1[[#This Row],[Aplicación]],9,4)</f>
        <v>9241</v>
      </c>
      <c r="V1092" s="35" t="str">
        <f>VLOOKUP(Tabla1[[#This Row],[PROGRAMA]],Hoja1!A:B,2,FALSE)</f>
        <v>9241. Participación ciudadana</v>
      </c>
      <c r="W1092" s="35" t="str">
        <f>MID(Tabla1[[#This Row],[Aplicación]],14,2)</f>
        <v>63</v>
      </c>
      <c r="X1092" s="35" t="str">
        <f>MID(Tabla1[[#This Row],[Aplicación]],14,6)</f>
        <v>632</v>
      </c>
    </row>
    <row r="1093" spans="1:24" x14ac:dyDescent="0.25">
      <c r="A1093" s="49">
        <v>220219000892</v>
      </c>
      <c r="B1093" s="50" t="s">
        <v>9</v>
      </c>
      <c r="C1093" s="57">
        <v>44562</v>
      </c>
      <c r="D1093" s="49">
        <v>22022000615</v>
      </c>
      <c r="E1093" s="50" t="s">
        <v>1627</v>
      </c>
      <c r="F1093" s="58">
        <v>5989.5</v>
      </c>
      <c r="G1093" s="50" t="s">
        <v>1223</v>
      </c>
      <c r="H1093" s="50" t="s">
        <v>2525</v>
      </c>
      <c r="I1093" s="49" t="s">
        <v>107</v>
      </c>
      <c r="J1093" s="50" t="s">
        <v>108</v>
      </c>
      <c r="K1093" s="50" t="s">
        <v>108</v>
      </c>
      <c r="L1093" s="50" t="s">
        <v>12</v>
      </c>
      <c r="M1093" s="50" t="s">
        <v>13</v>
      </c>
      <c r="N1093" s="50" t="s">
        <v>14</v>
      </c>
      <c r="O1093" s="48" t="s">
        <v>620</v>
      </c>
      <c r="P1093" s="45" t="s">
        <v>453</v>
      </c>
      <c r="Q1093" s="35" t="str">
        <f>MID(Tabla1[[#This Row],[Aplicación]],14,1)</f>
        <v>2</v>
      </c>
      <c r="R1093" s="35" t="s">
        <v>441</v>
      </c>
      <c r="S1093" s="35" t="str">
        <f>MID(Tabla1[[#This Row],[Aplicación]],6,2)</f>
        <v>07</v>
      </c>
      <c r="T1093" s="35" t="str">
        <f>VLOOKUP(Tabla1[[#This Row],[AREA]],Hoja1!A:B,2,FALSE)</f>
        <v>07. Medio ambiente y desarrollo sostenible</v>
      </c>
      <c r="U1093" s="35" t="str">
        <f>MID(Tabla1[[#This Row],[Aplicación]],9,4)</f>
        <v>1721</v>
      </c>
      <c r="V1093" s="35" t="str">
        <f>VLOOKUP(Tabla1[[#This Row],[PROGRAMA]],Hoja1!A:B,2,FALSE)</f>
        <v>1721. Protección del medio ambiente</v>
      </c>
      <c r="W1093" s="35" t="str">
        <f>MID(Tabla1[[#This Row],[Aplicación]],14,2)</f>
        <v>22</v>
      </c>
      <c r="X1093" s="35" t="str">
        <f>MID(Tabla1[[#This Row],[Aplicación]],14,6)</f>
        <v>22799</v>
      </c>
    </row>
    <row r="1094" spans="1:24" x14ac:dyDescent="0.25">
      <c r="A1094" s="49">
        <v>220219000893</v>
      </c>
      <c r="B1094" s="50" t="s">
        <v>9</v>
      </c>
      <c r="C1094" s="57">
        <v>44562</v>
      </c>
      <c r="D1094" s="49">
        <v>22022000616</v>
      </c>
      <c r="E1094" s="50" t="s">
        <v>1627</v>
      </c>
      <c r="F1094" s="58">
        <v>2904</v>
      </c>
      <c r="G1094" s="50" t="s">
        <v>1223</v>
      </c>
      <c r="H1094" s="50" t="s">
        <v>2526</v>
      </c>
      <c r="I1094" s="49" t="s">
        <v>107</v>
      </c>
      <c r="J1094" s="50" t="s">
        <v>108</v>
      </c>
      <c r="K1094" s="50" t="s">
        <v>108</v>
      </c>
      <c r="L1094" s="50" t="s">
        <v>12</v>
      </c>
      <c r="M1094" s="50" t="s">
        <v>13</v>
      </c>
      <c r="N1094" s="50" t="s">
        <v>14</v>
      </c>
      <c r="O1094" s="48" t="s">
        <v>620</v>
      </c>
      <c r="P1094" s="45" t="s">
        <v>453</v>
      </c>
      <c r="Q1094" s="35" t="str">
        <f>MID(Tabla1[[#This Row],[Aplicación]],14,1)</f>
        <v>2</v>
      </c>
      <c r="R1094" s="35" t="s">
        <v>441</v>
      </c>
      <c r="S1094" s="35" t="str">
        <f>MID(Tabla1[[#This Row],[Aplicación]],6,2)</f>
        <v>07</v>
      </c>
      <c r="T1094" s="35" t="str">
        <f>VLOOKUP(Tabla1[[#This Row],[AREA]],Hoja1!A:B,2,FALSE)</f>
        <v>07. Medio ambiente y desarrollo sostenible</v>
      </c>
      <c r="U1094" s="35" t="str">
        <f>MID(Tabla1[[#This Row],[Aplicación]],9,4)</f>
        <v>1721</v>
      </c>
      <c r="V1094" s="35" t="str">
        <f>VLOOKUP(Tabla1[[#This Row],[PROGRAMA]],Hoja1!A:B,2,FALSE)</f>
        <v>1721. Protección del medio ambiente</v>
      </c>
      <c r="W1094" s="35" t="str">
        <f>MID(Tabla1[[#This Row],[Aplicación]],14,2)</f>
        <v>22</v>
      </c>
      <c r="X1094" s="35" t="str">
        <f>MID(Tabla1[[#This Row],[Aplicación]],14,6)</f>
        <v>22799</v>
      </c>
    </row>
    <row r="1095" spans="1:24" x14ac:dyDescent="0.25">
      <c r="A1095" s="49">
        <v>220199000724</v>
      </c>
      <c r="B1095" s="50" t="s">
        <v>9</v>
      </c>
      <c r="C1095" s="57">
        <v>44562</v>
      </c>
      <c r="D1095" s="49">
        <v>22022000161</v>
      </c>
      <c r="E1095" s="50" t="s">
        <v>1627</v>
      </c>
      <c r="F1095" s="58">
        <v>379.8</v>
      </c>
      <c r="G1095" s="50" t="s">
        <v>37</v>
      </c>
      <c r="H1095" s="50" t="s">
        <v>2527</v>
      </c>
      <c r="I1095" s="49" t="s">
        <v>107</v>
      </c>
      <c r="J1095" s="50" t="s">
        <v>108</v>
      </c>
      <c r="K1095" s="50" t="s">
        <v>108</v>
      </c>
      <c r="L1095" s="50" t="s">
        <v>12</v>
      </c>
      <c r="M1095" s="50" t="s">
        <v>13</v>
      </c>
      <c r="N1095" s="50" t="s">
        <v>14</v>
      </c>
      <c r="O1095" s="48" t="s">
        <v>620</v>
      </c>
      <c r="P1095" s="45" t="s">
        <v>453</v>
      </c>
      <c r="Q1095" s="35" t="str">
        <f>MID(Tabla1[[#This Row],[Aplicación]],14,1)</f>
        <v>2</v>
      </c>
      <c r="R1095" s="35" t="s">
        <v>441</v>
      </c>
      <c r="S1095" s="35" t="str">
        <f>MID(Tabla1[[#This Row],[Aplicación]],6,2)</f>
        <v>07</v>
      </c>
      <c r="T1095" s="35" t="str">
        <f>VLOOKUP(Tabla1[[#This Row],[AREA]],Hoja1!A:B,2,FALSE)</f>
        <v>07. Medio ambiente y desarrollo sostenible</v>
      </c>
      <c r="U1095" s="35" t="str">
        <f>MID(Tabla1[[#This Row],[Aplicación]],9,4)</f>
        <v>1721</v>
      </c>
      <c r="V1095" s="35" t="str">
        <f>VLOOKUP(Tabla1[[#This Row],[PROGRAMA]],Hoja1!A:B,2,FALSE)</f>
        <v>1721. Protección del medio ambiente</v>
      </c>
      <c r="W1095" s="35" t="str">
        <f>MID(Tabla1[[#This Row],[Aplicación]],14,2)</f>
        <v>22</v>
      </c>
      <c r="X1095" s="35" t="str">
        <f>MID(Tabla1[[#This Row],[Aplicación]],14,6)</f>
        <v>22799</v>
      </c>
    </row>
    <row r="1096" spans="1:24" x14ac:dyDescent="0.25">
      <c r="A1096" s="49">
        <v>220199000725</v>
      </c>
      <c r="B1096" s="50" t="s">
        <v>9</v>
      </c>
      <c r="C1096" s="57">
        <v>44562</v>
      </c>
      <c r="D1096" s="49">
        <v>22022000162</v>
      </c>
      <c r="E1096" s="50" t="s">
        <v>1627</v>
      </c>
      <c r="F1096" s="58">
        <v>262.77999999999997</v>
      </c>
      <c r="G1096" s="50" t="s">
        <v>37</v>
      </c>
      <c r="H1096" s="50" t="s">
        <v>1231</v>
      </c>
      <c r="I1096" s="49" t="s">
        <v>107</v>
      </c>
      <c r="J1096" s="50" t="s">
        <v>108</v>
      </c>
      <c r="K1096" s="50" t="s">
        <v>108</v>
      </c>
      <c r="L1096" s="50" t="s">
        <v>12</v>
      </c>
      <c r="M1096" s="50" t="s">
        <v>13</v>
      </c>
      <c r="N1096" s="50" t="s">
        <v>14</v>
      </c>
      <c r="O1096" s="48" t="s">
        <v>620</v>
      </c>
      <c r="P1096" s="45" t="s">
        <v>453</v>
      </c>
      <c r="Q1096" s="35" t="str">
        <f>MID(Tabla1[[#This Row],[Aplicación]],14,1)</f>
        <v>2</v>
      </c>
      <c r="R1096" s="35" t="s">
        <v>441</v>
      </c>
      <c r="S1096" s="35" t="str">
        <f>MID(Tabla1[[#This Row],[Aplicación]],6,2)</f>
        <v>07</v>
      </c>
      <c r="T1096" s="35" t="str">
        <f>VLOOKUP(Tabla1[[#This Row],[AREA]],Hoja1!A:B,2,FALSE)</f>
        <v>07. Medio ambiente y desarrollo sostenible</v>
      </c>
      <c r="U1096" s="35" t="str">
        <f>MID(Tabla1[[#This Row],[Aplicación]],9,4)</f>
        <v>1721</v>
      </c>
      <c r="V1096" s="35" t="str">
        <f>VLOOKUP(Tabla1[[#This Row],[PROGRAMA]],Hoja1!A:B,2,FALSE)</f>
        <v>1721. Protección del medio ambiente</v>
      </c>
      <c r="W1096" s="35" t="str">
        <f>MID(Tabla1[[#This Row],[Aplicación]],14,2)</f>
        <v>22</v>
      </c>
      <c r="X1096" s="35" t="str">
        <f>MID(Tabla1[[#This Row],[Aplicación]],14,6)</f>
        <v>22799</v>
      </c>
    </row>
    <row r="1097" spans="1:24" x14ac:dyDescent="0.25">
      <c r="A1097" s="49">
        <v>220220010330</v>
      </c>
      <c r="B1097" s="50" t="s">
        <v>9</v>
      </c>
      <c r="C1097" s="57">
        <v>44641</v>
      </c>
      <c r="D1097" s="49">
        <v>22022002907</v>
      </c>
      <c r="E1097" s="50" t="s">
        <v>1436</v>
      </c>
      <c r="F1097" s="58">
        <v>1197.9000000000001</v>
      </c>
      <c r="G1097" s="50" t="s">
        <v>1332</v>
      </c>
      <c r="H1097" s="50" t="s">
        <v>2528</v>
      </c>
      <c r="I1097" s="49" t="s">
        <v>107</v>
      </c>
      <c r="J1097" s="50" t="s">
        <v>109</v>
      </c>
      <c r="K1097" s="50" t="s">
        <v>109</v>
      </c>
      <c r="L1097" s="50" t="s">
        <v>12</v>
      </c>
      <c r="M1097" s="50" t="s">
        <v>10</v>
      </c>
      <c r="N1097" s="50" t="s">
        <v>11</v>
      </c>
      <c r="O1097" s="48" t="s">
        <v>632</v>
      </c>
      <c r="P1097" s="45" t="s">
        <v>453</v>
      </c>
      <c r="Q1097" s="35" t="str">
        <f>MID(Tabla1[[#This Row],[Aplicación]],14,1)</f>
        <v>2</v>
      </c>
      <c r="R1097" s="35" t="s">
        <v>441</v>
      </c>
      <c r="S1097" s="35" t="str">
        <f>MID(Tabla1[[#This Row],[Aplicación]],6,2)</f>
        <v>03</v>
      </c>
      <c r="T1097" s="35" t="str">
        <f>VLOOKUP(Tabla1[[#This Row],[AREA]],Hoja1!A:B,2,FALSE)</f>
        <v>03. Participación ciudadana y deportes</v>
      </c>
      <c r="U1097" s="35" t="str">
        <f>MID(Tabla1[[#This Row],[Aplicación]],9,4)</f>
        <v>9241</v>
      </c>
      <c r="V1097" s="35" t="str">
        <f>VLOOKUP(Tabla1[[#This Row],[PROGRAMA]],Hoja1!A:B,2,FALSE)</f>
        <v>9241. Participación ciudadana</v>
      </c>
      <c r="W1097" s="35" t="str">
        <f>MID(Tabla1[[#This Row],[Aplicación]],14,2)</f>
        <v>22</v>
      </c>
      <c r="X1097" s="35" t="str">
        <f>MID(Tabla1[[#This Row],[Aplicación]],14,6)</f>
        <v>22609</v>
      </c>
    </row>
    <row r="1098" spans="1:24" x14ac:dyDescent="0.25">
      <c r="A1098" s="49">
        <v>220220000347</v>
      </c>
      <c r="B1098" s="50" t="s">
        <v>9</v>
      </c>
      <c r="C1098" s="57">
        <v>44585</v>
      </c>
      <c r="D1098" s="49">
        <v>22022001258</v>
      </c>
      <c r="E1098" s="50" t="s">
        <v>1868</v>
      </c>
      <c r="F1098" s="58">
        <v>629.79999999999995</v>
      </c>
      <c r="G1098" s="50" t="s">
        <v>739</v>
      </c>
      <c r="H1098" s="50" t="s">
        <v>2529</v>
      </c>
      <c r="I1098" s="49" t="s">
        <v>107</v>
      </c>
      <c r="J1098" s="50" t="s">
        <v>109</v>
      </c>
      <c r="K1098" s="50" t="s">
        <v>109</v>
      </c>
      <c r="L1098" s="50" t="s">
        <v>15</v>
      </c>
      <c r="M1098" s="50" t="s">
        <v>10</v>
      </c>
      <c r="N1098" s="50" t="s">
        <v>11</v>
      </c>
      <c r="O1098" s="48" t="s">
        <v>632</v>
      </c>
      <c r="P1098" s="45" t="s">
        <v>453</v>
      </c>
      <c r="Q1098" s="35" t="str">
        <f>MID(Tabla1[[#This Row],[Aplicación]],14,1)</f>
        <v>2</v>
      </c>
      <c r="R1098" s="35" t="s">
        <v>441</v>
      </c>
      <c r="S1098" s="35" t="str">
        <f>MID(Tabla1[[#This Row],[Aplicación]],6,2)</f>
        <v>10</v>
      </c>
      <c r="T1098" s="35" t="str">
        <f>VLOOKUP(Tabla1[[#This Row],[AREA]],Hoja1!A:B,2,FALSE)</f>
        <v>10. Servicios sociales y mediación comunitaria</v>
      </c>
      <c r="U1098" s="35" t="str">
        <f>MID(Tabla1[[#This Row],[Aplicación]],9,4)</f>
        <v>2311</v>
      </c>
      <c r="V1098" s="35" t="str">
        <f>VLOOKUP(Tabla1[[#This Row],[PROGRAMA]],Hoja1!A:B,2,FALSE)</f>
        <v>2311. Intervención social</v>
      </c>
      <c r="W1098" s="35" t="str">
        <f>MID(Tabla1[[#This Row],[Aplicación]],14,2)</f>
        <v>22</v>
      </c>
      <c r="X1098" s="35" t="str">
        <f>MID(Tabla1[[#This Row],[Aplicación]],14,6)</f>
        <v>22699</v>
      </c>
    </row>
    <row r="1099" spans="1:24" x14ac:dyDescent="0.25">
      <c r="A1099" s="49">
        <v>220220005777</v>
      </c>
      <c r="B1099" s="50" t="s">
        <v>9</v>
      </c>
      <c r="C1099" s="57">
        <v>44615</v>
      </c>
      <c r="D1099" s="49">
        <v>22022002331</v>
      </c>
      <c r="E1099" s="50" t="s">
        <v>2530</v>
      </c>
      <c r="F1099" s="58">
        <v>6344.33</v>
      </c>
      <c r="G1099" s="50" t="s">
        <v>2531</v>
      </c>
      <c r="H1099" s="50" t="s">
        <v>2532</v>
      </c>
      <c r="I1099" s="49" t="s">
        <v>107</v>
      </c>
      <c r="J1099" s="50" t="s">
        <v>109</v>
      </c>
      <c r="K1099" s="50" t="s">
        <v>109</v>
      </c>
      <c r="L1099" s="50" t="s">
        <v>12</v>
      </c>
      <c r="M1099" s="50" t="s">
        <v>10</v>
      </c>
      <c r="N1099" s="50" t="s">
        <v>11</v>
      </c>
      <c r="O1099" s="48" t="s">
        <v>632</v>
      </c>
      <c r="P1099" s="45" t="s">
        <v>453</v>
      </c>
      <c r="Q1099" s="35" t="str">
        <f>MID(Tabla1[[#This Row],[Aplicación]],14,1)</f>
        <v>2</v>
      </c>
      <c r="R1099" s="35" t="s">
        <v>441</v>
      </c>
      <c r="S1099" s="35" t="str">
        <f>MID(Tabla1[[#This Row],[Aplicación]],6,2)</f>
        <v>07</v>
      </c>
      <c r="T1099" s="35" t="str">
        <f>VLOOKUP(Tabla1[[#This Row],[AREA]],Hoja1!A:B,2,FALSE)</f>
        <v>07. Medio ambiente y desarrollo sostenible</v>
      </c>
      <c r="U1099" s="35" t="str">
        <f>MID(Tabla1[[#This Row],[Aplicación]],9,4)</f>
        <v>1721</v>
      </c>
      <c r="V1099" s="35" t="str">
        <f>VLOOKUP(Tabla1[[#This Row],[PROGRAMA]],Hoja1!A:B,2,FALSE)</f>
        <v>1721. Protección del medio ambiente</v>
      </c>
      <c r="W1099" s="35" t="str">
        <f>MID(Tabla1[[#This Row],[Aplicación]],14,2)</f>
        <v>22</v>
      </c>
      <c r="X1099" s="35" t="str">
        <f>MID(Tabla1[[#This Row],[Aplicación]],14,6)</f>
        <v>22706</v>
      </c>
    </row>
    <row r="1100" spans="1:24" x14ac:dyDescent="0.25">
      <c r="A1100" s="49">
        <v>220220002263</v>
      </c>
      <c r="B1100" s="50" t="s">
        <v>9</v>
      </c>
      <c r="C1100" s="57">
        <v>44592</v>
      </c>
      <c r="D1100" s="49">
        <v>22022001695</v>
      </c>
      <c r="E1100" s="50" t="s">
        <v>1496</v>
      </c>
      <c r="F1100" s="58">
        <v>459.8</v>
      </c>
      <c r="G1100" s="50" t="s">
        <v>1033</v>
      </c>
      <c r="H1100" s="50" t="s">
        <v>2533</v>
      </c>
      <c r="I1100" s="49" t="s">
        <v>107</v>
      </c>
      <c r="J1100" s="50" t="s">
        <v>109</v>
      </c>
      <c r="K1100" s="50" t="s">
        <v>109</v>
      </c>
      <c r="L1100" s="50" t="s">
        <v>12</v>
      </c>
      <c r="M1100" s="50" t="s">
        <v>10</v>
      </c>
      <c r="N1100" s="50" t="s">
        <v>11</v>
      </c>
      <c r="O1100" s="48" t="s">
        <v>632</v>
      </c>
      <c r="P1100" s="45" t="s">
        <v>453</v>
      </c>
      <c r="Q1100" s="35" t="str">
        <f>MID(Tabla1[[#This Row],[Aplicación]],14,1)</f>
        <v>2</v>
      </c>
      <c r="R1100" s="35" t="s">
        <v>441</v>
      </c>
      <c r="S1100" s="35" t="str">
        <f>MID(Tabla1[[#This Row],[Aplicación]],6,2)</f>
        <v>10</v>
      </c>
      <c r="T1100" s="35" t="str">
        <f>VLOOKUP(Tabla1[[#This Row],[AREA]],Hoja1!A:B,2,FALSE)</f>
        <v>10. Servicios sociales y mediación comunitaria</v>
      </c>
      <c r="U1100" s="35" t="str">
        <f>MID(Tabla1[[#This Row],[Aplicación]],9,4)</f>
        <v>2311</v>
      </c>
      <c r="V1100" s="35" t="str">
        <f>VLOOKUP(Tabla1[[#This Row],[PROGRAMA]],Hoja1!A:B,2,FALSE)</f>
        <v>2311. Intervención social</v>
      </c>
      <c r="W1100" s="35" t="str">
        <f>MID(Tabla1[[#This Row],[Aplicación]],14,2)</f>
        <v>21</v>
      </c>
      <c r="X1100" s="35" t="str">
        <f>MID(Tabla1[[#This Row],[Aplicación]],14,6)</f>
        <v>213</v>
      </c>
    </row>
    <row r="1101" spans="1:24" x14ac:dyDescent="0.25">
      <c r="A1101" s="49">
        <v>220220000354</v>
      </c>
      <c r="B1101" s="50" t="s">
        <v>9</v>
      </c>
      <c r="C1101" s="57">
        <v>44585</v>
      </c>
      <c r="D1101" s="49">
        <v>22022001445</v>
      </c>
      <c r="E1101" s="50" t="s">
        <v>2534</v>
      </c>
      <c r="F1101" s="58">
        <v>170.4</v>
      </c>
      <c r="G1101" s="50" t="s">
        <v>247</v>
      </c>
      <c r="H1101" s="50" t="s">
        <v>2535</v>
      </c>
      <c r="I1101" s="49" t="s">
        <v>107</v>
      </c>
      <c r="J1101" s="50" t="s">
        <v>109</v>
      </c>
      <c r="K1101" s="50" t="s">
        <v>109</v>
      </c>
      <c r="L1101" s="50" t="s">
        <v>15</v>
      </c>
      <c r="M1101" s="50" t="s">
        <v>10</v>
      </c>
      <c r="N1101" s="50" t="s">
        <v>11</v>
      </c>
      <c r="O1101" s="48" t="s">
        <v>632</v>
      </c>
      <c r="P1101" s="45" t="s">
        <v>453</v>
      </c>
      <c r="Q1101" s="35" t="str">
        <f>MID(Tabla1[[#This Row],[Aplicación]],14,1)</f>
        <v>2</v>
      </c>
      <c r="R1101" s="35" t="s">
        <v>441</v>
      </c>
      <c r="S1101" s="35" t="str">
        <f>MID(Tabla1[[#This Row],[Aplicación]],6,2)</f>
        <v>10</v>
      </c>
      <c r="T1101" s="35" t="str">
        <f>VLOOKUP(Tabla1[[#This Row],[AREA]],Hoja1!A:B,2,FALSE)</f>
        <v>10. Servicios sociales y mediación comunitaria</v>
      </c>
      <c r="U1101" s="35" t="str">
        <f>MID(Tabla1[[#This Row],[Aplicación]],9,4)</f>
        <v>2311</v>
      </c>
      <c r="V1101" s="35" t="str">
        <f>VLOOKUP(Tabla1[[#This Row],[PROGRAMA]],Hoja1!A:B,2,FALSE)</f>
        <v>2311. Intervención social</v>
      </c>
      <c r="W1101" s="35" t="str">
        <f>MID(Tabla1[[#This Row],[Aplicación]],14,2)</f>
        <v>22</v>
      </c>
      <c r="X1101" s="35" t="str">
        <f>MID(Tabla1[[#This Row],[Aplicación]],14,6)</f>
        <v>22199</v>
      </c>
    </row>
    <row r="1102" spans="1:24" x14ac:dyDescent="0.25">
      <c r="A1102" s="49">
        <v>220209000670</v>
      </c>
      <c r="B1102" s="50" t="s">
        <v>9</v>
      </c>
      <c r="C1102" s="57">
        <v>44631</v>
      </c>
      <c r="D1102" s="49">
        <v>22021000527</v>
      </c>
      <c r="E1102" s="50" t="s">
        <v>1593</v>
      </c>
      <c r="F1102" s="58">
        <v>0.05</v>
      </c>
      <c r="G1102" s="50" t="s">
        <v>778</v>
      </c>
      <c r="H1102" s="50" t="s">
        <v>779</v>
      </c>
      <c r="I1102" s="49" t="s">
        <v>107</v>
      </c>
      <c r="J1102" s="50" t="s">
        <v>157</v>
      </c>
      <c r="K1102" s="50" t="s">
        <v>157</v>
      </c>
      <c r="L1102" s="50" t="s">
        <v>25</v>
      </c>
      <c r="M1102" s="50" t="s">
        <v>13</v>
      </c>
      <c r="N1102" s="50" t="s">
        <v>14</v>
      </c>
      <c r="O1102" s="48" t="s">
        <v>620</v>
      </c>
      <c r="P1102" s="45" t="s">
        <v>453</v>
      </c>
      <c r="Q1102" s="35" t="str">
        <f>MID(Tabla1[[#This Row],[Aplicación]],14,1)</f>
        <v>6</v>
      </c>
      <c r="R1102" s="35" t="s">
        <v>442</v>
      </c>
      <c r="S1102" s="35" t="str">
        <f>MID(Tabla1[[#This Row],[Aplicación]],6,2)</f>
        <v>07</v>
      </c>
      <c r="T1102" s="35" t="str">
        <f>VLOOKUP(Tabla1[[#This Row],[AREA]],Hoja1!A:B,2,FALSE)</f>
        <v>07. Medio ambiente y desarrollo sostenible</v>
      </c>
      <c r="U1102" s="35" t="str">
        <f>MID(Tabla1[[#This Row],[Aplicación]],9,4)</f>
        <v>1711</v>
      </c>
      <c r="V1102" s="35" t="str">
        <f>VLOOKUP(Tabla1[[#This Row],[PROGRAMA]],Hoja1!A:B,2,FALSE)</f>
        <v>1711. Parques y jardines</v>
      </c>
      <c r="W1102" s="35" t="str">
        <f>MID(Tabla1[[#This Row],[Aplicación]],14,2)</f>
        <v>61</v>
      </c>
      <c r="X1102" s="35" t="str">
        <f>MID(Tabla1[[#This Row],[Aplicación]],14,6)</f>
        <v>619</v>
      </c>
    </row>
    <row r="1103" spans="1:24" x14ac:dyDescent="0.25">
      <c r="A1103" s="49">
        <v>220209000669</v>
      </c>
      <c r="B1103" s="50" t="s">
        <v>9</v>
      </c>
      <c r="C1103" s="57">
        <v>44562</v>
      </c>
      <c r="D1103" s="49">
        <v>22022000230</v>
      </c>
      <c r="E1103" s="50" t="s">
        <v>2536</v>
      </c>
      <c r="F1103" s="58">
        <v>62149.84</v>
      </c>
      <c r="G1103" s="50" t="s">
        <v>782</v>
      </c>
      <c r="H1103" s="50" t="s">
        <v>783</v>
      </c>
      <c r="I1103" s="49" t="s">
        <v>107</v>
      </c>
      <c r="J1103" s="50" t="s">
        <v>109</v>
      </c>
      <c r="K1103" s="50" t="s">
        <v>109</v>
      </c>
      <c r="L1103" s="50" t="s">
        <v>12</v>
      </c>
      <c r="M1103" s="50" t="s">
        <v>13</v>
      </c>
      <c r="N1103" s="50" t="s">
        <v>14</v>
      </c>
      <c r="O1103" s="48" t="s">
        <v>620</v>
      </c>
      <c r="P1103" s="45" t="s">
        <v>453</v>
      </c>
      <c r="Q1103" s="35" t="str">
        <f>MID(Tabla1[[#This Row],[Aplicación]],14,1)</f>
        <v>2</v>
      </c>
      <c r="R1103" s="35" t="s">
        <v>441</v>
      </c>
      <c r="S1103" s="35" t="str">
        <f>MID(Tabla1[[#This Row],[Aplicación]],6,2)</f>
        <v>11</v>
      </c>
      <c r="T1103" s="35" t="str">
        <f>VLOOKUP(Tabla1[[#This Row],[AREA]],Hoja1!A:B,2,FALSE)</f>
        <v>11. Salud pública y seguridad ciudadana</v>
      </c>
      <c r="U1103" s="35" t="str">
        <f>MID(Tabla1[[#This Row],[Aplicación]],9,4)</f>
        <v>1361</v>
      </c>
      <c r="V1103" s="35" t="str">
        <f>VLOOKUP(Tabla1[[#This Row],[PROGRAMA]],Hoja1!A:B,2,FALSE)</f>
        <v>1361. Prevención y extinción de incencios</v>
      </c>
      <c r="W1103" s="35" t="str">
        <f>MID(Tabla1[[#This Row],[Aplicación]],14,2)</f>
        <v>22</v>
      </c>
      <c r="X1103" s="35" t="str">
        <f>MID(Tabla1[[#This Row],[Aplicación]],14,6)</f>
        <v>22700</v>
      </c>
    </row>
    <row r="1104" spans="1:24" x14ac:dyDescent="0.25">
      <c r="A1104" s="49">
        <v>220209000696</v>
      </c>
      <c r="B1104" s="50" t="s">
        <v>9</v>
      </c>
      <c r="C1104" s="57">
        <v>44562</v>
      </c>
      <c r="D1104" s="49">
        <v>22022000247</v>
      </c>
      <c r="E1104" s="50" t="s">
        <v>2537</v>
      </c>
      <c r="F1104" s="58">
        <v>7510.47</v>
      </c>
      <c r="G1104" s="50" t="s">
        <v>782</v>
      </c>
      <c r="H1104" s="50" t="s">
        <v>898</v>
      </c>
      <c r="I1104" s="49" t="s">
        <v>107</v>
      </c>
      <c r="J1104" s="50" t="s">
        <v>109</v>
      </c>
      <c r="K1104" s="50" t="s">
        <v>109</v>
      </c>
      <c r="L1104" s="50" t="s">
        <v>12</v>
      </c>
      <c r="M1104" s="50" t="s">
        <v>13</v>
      </c>
      <c r="N1104" s="50" t="s">
        <v>14</v>
      </c>
      <c r="O1104" s="48" t="s">
        <v>620</v>
      </c>
      <c r="P1104" s="45" t="s">
        <v>453</v>
      </c>
      <c r="Q1104" s="35" t="str">
        <f>MID(Tabla1[[#This Row],[Aplicación]],14,1)</f>
        <v>2</v>
      </c>
      <c r="R1104" s="35" t="s">
        <v>441</v>
      </c>
      <c r="S1104" s="35" t="str">
        <f>MID(Tabla1[[#This Row],[Aplicación]],6,2)</f>
        <v>04</v>
      </c>
      <c r="T1104" s="35" t="str">
        <f>VLOOKUP(Tabla1[[#This Row],[AREA]],Hoja1!A:B,2,FALSE)</f>
        <v>04. Planificación y recursos</v>
      </c>
      <c r="U1104" s="35" t="str">
        <f>MID(Tabla1[[#This Row],[Aplicación]],9,4)</f>
        <v>9204</v>
      </c>
      <c r="V1104" s="35" t="str">
        <f>VLOOKUP(Tabla1[[#This Row],[PROGRAMA]],Hoja1!A:B,2,FALSE)</f>
        <v>9204. Tecnologías de la información y comunicación</v>
      </c>
      <c r="W1104" s="35" t="str">
        <f>MID(Tabla1[[#This Row],[Aplicación]],14,2)</f>
        <v>22</v>
      </c>
      <c r="X1104" s="35" t="str">
        <f>MID(Tabla1[[#This Row],[Aplicación]],14,6)</f>
        <v>22700</v>
      </c>
    </row>
    <row r="1105" spans="1:24" x14ac:dyDescent="0.25">
      <c r="A1105" s="49">
        <v>220220005802</v>
      </c>
      <c r="B1105" s="50" t="s">
        <v>9</v>
      </c>
      <c r="C1105" s="57">
        <v>44615</v>
      </c>
      <c r="D1105" s="49">
        <v>22022002393</v>
      </c>
      <c r="E1105" s="50" t="s">
        <v>2530</v>
      </c>
      <c r="F1105" s="58">
        <v>7260</v>
      </c>
      <c r="G1105" s="50" t="s">
        <v>257</v>
      </c>
      <c r="H1105" s="50" t="s">
        <v>2538</v>
      </c>
      <c r="I1105" s="49" t="s">
        <v>107</v>
      </c>
      <c r="J1105" s="50" t="s">
        <v>108</v>
      </c>
      <c r="K1105" s="50" t="s">
        <v>108</v>
      </c>
      <c r="L1105" s="50" t="s">
        <v>12</v>
      </c>
      <c r="M1105" s="50" t="s">
        <v>10</v>
      </c>
      <c r="N1105" s="50" t="s">
        <v>11</v>
      </c>
      <c r="O1105" s="48" t="s">
        <v>632</v>
      </c>
      <c r="P1105" s="45" t="s">
        <v>453</v>
      </c>
      <c r="Q1105" s="35" t="str">
        <f>MID(Tabla1[[#This Row],[Aplicación]],14,1)</f>
        <v>2</v>
      </c>
      <c r="R1105" s="35" t="s">
        <v>441</v>
      </c>
      <c r="S1105" s="35" t="str">
        <f>MID(Tabla1[[#This Row],[Aplicación]],6,2)</f>
        <v>07</v>
      </c>
      <c r="T1105" s="35" t="str">
        <f>VLOOKUP(Tabla1[[#This Row],[AREA]],Hoja1!A:B,2,FALSE)</f>
        <v>07. Medio ambiente y desarrollo sostenible</v>
      </c>
      <c r="U1105" s="35" t="str">
        <f>MID(Tabla1[[#This Row],[Aplicación]],9,4)</f>
        <v>1721</v>
      </c>
      <c r="V1105" s="35" t="str">
        <f>VLOOKUP(Tabla1[[#This Row],[PROGRAMA]],Hoja1!A:B,2,FALSE)</f>
        <v>1721. Protección del medio ambiente</v>
      </c>
      <c r="W1105" s="35" t="str">
        <f>MID(Tabla1[[#This Row],[Aplicación]],14,2)</f>
        <v>22</v>
      </c>
      <c r="X1105" s="35" t="str">
        <f>MID(Tabla1[[#This Row],[Aplicación]],14,6)</f>
        <v>22706</v>
      </c>
    </row>
    <row r="1106" spans="1:24" x14ac:dyDescent="0.25">
      <c r="A1106" s="49">
        <v>220220003495</v>
      </c>
      <c r="B1106" s="50" t="s">
        <v>9</v>
      </c>
      <c r="C1106" s="57">
        <v>44606</v>
      </c>
      <c r="D1106" s="49">
        <v>22022002137</v>
      </c>
      <c r="E1106" s="50" t="s">
        <v>2194</v>
      </c>
      <c r="F1106" s="58">
        <v>300</v>
      </c>
      <c r="G1106" s="50" t="s">
        <v>1333</v>
      </c>
      <c r="H1106" s="50" t="s">
        <v>2539</v>
      </c>
      <c r="I1106" s="49" t="s">
        <v>107</v>
      </c>
      <c r="J1106" s="50" t="s">
        <v>109</v>
      </c>
      <c r="K1106" s="50" t="s">
        <v>109</v>
      </c>
      <c r="L1106" s="50" t="s">
        <v>12</v>
      </c>
      <c r="M1106" s="50" t="s">
        <v>10</v>
      </c>
      <c r="N1106" s="50" t="s">
        <v>11</v>
      </c>
      <c r="O1106" s="48" t="s">
        <v>632</v>
      </c>
      <c r="P1106" s="45" t="s">
        <v>453</v>
      </c>
      <c r="Q1106" s="35" t="str">
        <f>MID(Tabla1[[#This Row],[Aplicación]],14,1)</f>
        <v>2</v>
      </c>
      <c r="R1106" s="35" t="s">
        <v>441</v>
      </c>
      <c r="S1106" s="35" t="str">
        <f>MID(Tabla1[[#This Row],[Aplicación]],6,2)</f>
        <v>10</v>
      </c>
      <c r="T1106" s="35" t="str">
        <f>VLOOKUP(Tabla1[[#This Row],[AREA]],Hoja1!A:B,2,FALSE)</f>
        <v>10. Servicios sociales y mediación comunitaria</v>
      </c>
      <c r="U1106" s="35" t="str">
        <f>MID(Tabla1[[#This Row],[Aplicación]],9,4)</f>
        <v>2312</v>
      </c>
      <c r="V1106" s="35" t="str">
        <f>VLOOKUP(Tabla1[[#This Row],[PROGRAMA]],Hoja1!A:B,2,FALSE)</f>
        <v>2312. Iniciativas sociales</v>
      </c>
      <c r="W1106" s="35" t="str">
        <f>MID(Tabla1[[#This Row],[Aplicación]],14,2)</f>
        <v>22</v>
      </c>
      <c r="X1106" s="35" t="str">
        <f>MID(Tabla1[[#This Row],[Aplicación]],14,6)</f>
        <v>22617</v>
      </c>
    </row>
    <row r="1107" spans="1:24" x14ac:dyDescent="0.25">
      <c r="A1107" s="49">
        <v>220219000593</v>
      </c>
      <c r="B1107" s="50" t="s">
        <v>9</v>
      </c>
      <c r="C1107" s="57">
        <v>44562</v>
      </c>
      <c r="D1107" s="49">
        <v>22022002001</v>
      </c>
      <c r="E1107" s="50" t="s">
        <v>1374</v>
      </c>
      <c r="F1107" s="58">
        <v>57596</v>
      </c>
      <c r="G1107" s="50" t="s">
        <v>193</v>
      </c>
      <c r="H1107" s="50" t="s">
        <v>2540</v>
      </c>
      <c r="I1107" s="49" t="s">
        <v>107</v>
      </c>
      <c r="J1107" s="50" t="s">
        <v>109</v>
      </c>
      <c r="K1107" s="50" t="s">
        <v>109</v>
      </c>
      <c r="L1107" s="50" t="s">
        <v>12</v>
      </c>
      <c r="M1107" s="50" t="s">
        <v>13</v>
      </c>
      <c r="N1107" s="50" t="s">
        <v>14</v>
      </c>
      <c r="O1107" s="48" t="s">
        <v>620</v>
      </c>
      <c r="P1107" s="45" t="s">
        <v>453</v>
      </c>
      <c r="Q1107" s="35" t="str">
        <f>MID(Tabla1[[#This Row],[Aplicación]],14,1)</f>
        <v>6</v>
      </c>
      <c r="R1107" s="35" t="s">
        <v>442</v>
      </c>
      <c r="S1107" s="35" t="str">
        <f>MID(Tabla1[[#This Row],[Aplicación]],6,2)</f>
        <v>08</v>
      </c>
      <c r="T1107" s="35" t="str">
        <f>VLOOKUP(Tabla1[[#This Row],[AREA]],Hoja1!A:B,2,FALSE)</f>
        <v>08. Movilidad y espacio urbano</v>
      </c>
      <c r="U1107" s="35" t="str">
        <f>MID(Tabla1[[#This Row],[Aplicación]],9,4)</f>
        <v>1651</v>
      </c>
      <c r="V1107" s="35" t="str">
        <f>VLOOKUP(Tabla1[[#This Row],[PROGRAMA]],Hoja1!A:B,2,FALSE)</f>
        <v>1651. Alumbrado público</v>
      </c>
      <c r="W1107" s="35" t="str">
        <f>MID(Tabla1[[#This Row],[Aplicación]],14,2)</f>
        <v>61</v>
      </c>
      <c r="X1107" s="35" t="str">
        <f>MID(Tabla1[[#This Row],[Aplicación]],14,6)</f>
        <v>619</v>
      </c>
    </row>
    <row r="1108" spans="1:24" x14ac:dyDescent="0.25">
      <c r="A1108" s="49">
        <v>220220010680</v>
      </c>
      <c r="B1108" s="50" t="s">
        <v>172</v>
      </c>
      <c r="C1108" s="57">
        <v>44642</v>
      </c>
      <c r="D1108" s="49">
        <v>22021003437</v>
      </c>
      <c r="E1108" s="50" t="s">
        <v>1374</v>
      </c>
      <c r="F1108" s="58">
        <v>30554.92</v>
      </c>
      <c r="G1108" s="50" t="s">
        <v>193</v>
      </c>
      <c r="H1108" s="50" t="s">
        <v>2541</v>
      </c>
      <c r="I1108" s="49" t="s">
        <v>173</v>
      </c>
      <c r="J1108" s="50" t="s">
        <v>109</v>
      </c>
      <c r="K1108" s="50" t="s">
        <v>109</v>
      </c>
      <c r="L1108" s="50" t="s">
        <v>25</v>
      </c>
      <c r="M1108" s="50" t="s">
        <v>13</v>
      </c>
      <c r="N1108" s="50" t="s">
        <v>14</v>
      </c>
      <c r="O1108" s="48" t="s">
        <v>620</v>
      </c>
      <c r="P1108" s="45" t="s">
        <v>453</v>
      </c>
      <c r="Q1108" s="35" t="str">
        <f>MID(Tabla1[[#This Row],[Aplicación]],14,1)</f>
        <v>6</v>
      </c>
      <c r="R1108" s="35" t="s">
        <v>442</v>
      </c>
      <c r="S1108" s="35" t="str">
        <f>MID(Tabla1[[#This Row],[Aplicación]],6,2)</f>
        <v>08</v>
      </c>
      <c r="T1108" s="35" t="str">
        <f>VLOOKUP(Tabla1[[#This Row],[AREA]],Hoja1!A:B,2,FALSE)</f>
        <v>08. Movilidad y espacio urbano</v>
      </c>
      <c r="U1108" s="35" t="str">
        <f>MID(Tabla1[[#This Row],[Aplicación]],9,4)</f>
        <v>1651</v>
      </c>
      <c r="V1108" s="35" t="str">
        <f>VLOOKUP(Tabla1[[#This Row],[PROGRAMA]],Hoja1!A:B,2,FALSE)</f>
        <v>1651. Alumbrado público</v>
      </c>
      <c r="W1108" s="35" t="str">
        <f>MID(Tabla1[[#This Row],[Aplicación]],14,2)</f>
        <v>61</v>
      </c>
      <c r="X1108" s="35" t="str">
        <f>MID(Tabla1[[#This Row],[Aplicación]],14,6)</f>
        <v>619</v>
      </c>
    </row>
    <row r="1109" spans="1:24" x14ac:dyDescent="0.25">
      <c r="A1109" s="49">
        <v>220210048393</v>
      </c>
      <c r="B1109" s="50" t="s">
        <v>9</v>
      </c>
      <c r="C1109" s="57">
        <v>44620</v>
      </c>
      <c r="D1109" s="49">
        <v>22021003195</v>
      </c>
      <c r="E1109" s="50" t="s">
        <v>1374</v>
      </c>
      <c r="F1109" s="58">
        <v>64.09</v>
      </c>
      <c r="G1109" s="50" t="s">
        <v>193</v>
      </c>
      <c r="H1109" s="50" t="s">
        <v>1046</v>
      </c>
      <c r="I1109" s="49" t="s">
        <v>107</v>
      </c>
      <c r="J1109" s="50" t="s">
        <v>109</v>
      </c>
      <c r="K1109" s="50" t="s">
        <v>109</v>
      </c>
      <c r="L1109" s="50" t="s">
        <v>12</v>
      </c>
      <c r="M1109" s="50" t="s">
        <v>13</v>
      </c>
      <c r="N1109" s="50" t="s">
        <v>14</v>
      </c>
      <c r="O1109" s="48" t="s">
        <v>620</v>
      </c>
      <c r="P1109" s="45" t="s">
        <v>453</v>
      </c>
      <c r="Q1109" s="35" t="str">
        <f>MID(Tabla1[[#This Row],[Aplicación]],14,1)</f>
        <v>6</v>
      </c>
      <c r="R1109" s="35" t="s">
        <v>442</v>
      </c>
      <c r="S1109" s="35" t="str">
        <f>MID(Tabla1[[#This Row],[Aplicación]],6,2)</f>
        <v>08</v>
      </c>
      <c r="T1109" s="35" t="str">
        <f>VLOOKUP(Tabla1[[#This Row],[AREA]],Hoja1!A:B,2,FALSE)</f>
        <v>08. Movilidad y espacio urbano</v>
      </c>
      <c r="U1109" s="35" t="str">
        <f>MID(Tabla1[[#This Row],[Aplicación]],9,4)</f>
        <v>1651</v>
      </c>
      <c r="V1109" s="35" t="str">
        <f>VLOOKUP(Tabla1[[#This Row],[PROGRAMA]],Hoja1!A:B,2,FALSE)</f>
        <v>1651. Alumbrado público</v>
      </c>
      <c r="W1109" s="35" t="str">
        <f>MID(Tabla1[[#This Row],[Aplicación]],14,2)</f>
        <v>61</v>
      </c>
      <c r="X1109" s="35" t="str">
        <f>MID(Tabla1[[#This Row],[Aplicación]],14,6)</f>
        <v>619</v>
      </c>
    </row>
    <row r="1110" spans="1:24" x14ac:dyDescent="0.25">
      <c r="A1110" s="49">
        <v>220220013428</v>
      </c>
      <c r="B1110" s="50" t="s">
        <v>9</v>
      </c>
      <c r="C1110" s="57">
        <v>44651</v>
      </c>
      <c r="D1110" s="49">
        <v>22022003065</v>
      </c>
      <c r="E1110" s="50" t="s">
        <v>1765</v>
      </c>
      <c r="F1110" s="58">
        <v>1161.5999999999999</v>
      </c>
      <c r="G1110" s="50" t="s">
        <v>740</v>
      </c>
      <c r="H1110" s="50" t="s">
        <v>2542</v>
      </c>
      <c r="I1110" s="49" t="s">
        <v>107</v>
      </c>
      <c r="J1110" s="50" t="s">
        <v>534</v>
      </c>
      <c r="K1110" s="50" t="s">
        <v>136</v>
      </c>
      <c r="L1110" s="50" t="s">
        <v>12</v>
      </c>
      <c r="M1110" s="50" t="s">
        <v>10</v>
      </c>
      <c r="N1110" s="50" t="s">
        <v>11</v>
      </c>
      <c r="O1110" s="48" t="s">
        <v>632</v>
      </c>
      <c r="P1110" s="45" t="s">
        <v>453</v>
      </c>
      <c r="Q1110" s="35" t="str">
        <f>MID(Tabla1[[#This Row],[Aplicación]],14,1)</f>
        <v>2</v>
      </c>
      <c r="R1110" s="35" t="s">
        <v>441</v>
      </c>
      <c r="S1110" s="35" t="str">
        <f>MID(Tabla1[[#This Row],[Aplicación]],6,2)</f>
        <v>11</v>
      </c>
      <c r="T1110" s="35" t="str">
        <f>VLOOKUP(Tabla1[[#This Row],[AREA]],Hoja1!A:B,2,FALSE)</f>
        <v>11. Salud pública y seguridad ciudadana</v>
      </c>
      <c r="U1110" s="35" t="str">
        <f>MID(Tabla1[[#This Row],[Aplicación]],9,4)</f>
        <v>1321</v>
      </c>
      <c r="V1110" s="35" t="str">
        <f>VLOOKUP(Tabla1[[#This Row],[PROGRAMA]],Hoja1!A:B,2,FALSE)</f>
        <v>1321. Policía municipal</v>
      </c>
      <c r="W1110" s="35" t="str">
        <f>MID(Tabla1[[#This Row],[Aplicación]],14,2)</f>
        <v>22</v>
      </c>
      <c r="X1110" s="35" t="str">
        <f>MID(Tabla1[[#This Row],[Aplicación]],14,6)</f>
        <v>22699</v>
      </c>
    </row>
    <row r="1111" spans="1:24" x14ac:dyDescent="0.25">
      <c r="A1111" s="49">
        <v>220220009360</v>
      </c>
      <c r="B1111" s="50" t="s">
        <v>9</v>
      </c>
      <c r="C1111" s="57">
        <v>44636</v>
      </c>
      <c r="D1111" s="49">
        <v>22022002797</v>
      </c>
      <c r="E1111" s="50" t="s">
        <v>1606</v>
      </c>
      <c r="F1111" s="58">
        <v>3623.95</v>
      </c>
      <c r="G1111" s="50" t="s">
        <v>2543</v>
      </c>
      <c r="H1111" s="50" t="s">
        <v>2544</v>
      </c>
      <c r="I1111" s="49" t="s">
        <v>107</v>
      </c>
      <c r="J1111" s="50" t="s">
        <v>118</v>
      </c>
      <c r="K1111" s="50" t="s">
        <v>118</v>
      </c>
      <c r="L1111" s="50" t="s">
        <v>15</v>
      </c>
      <c r="M1111" s="50" t="s">
        <v>10</v>
      </c>
      <c r="N1111" s="50" t="s">
        <v>11</v>
      </c>
      <c r="O1111" s="48" t="s">
        <v>632</v>
      </c>
      <c r="P1111" s="45" t="s">
        <v>453</v>
      </c>
      <c r="Q1111" s="35" t="str">
        <f>MID(Tabla1[[#This Row],[Aplicación]],14,1)</f>
        <v>2</v>
      </c>
      <c r="R1111" s="35" t="s">
        <v>441</v>
      </c>
      <c r="S1111" s="35" t="str">
        <f>MID(Tabla1[[#This Row],[Aplicación]],6,2)</f>
        <v>11</v>
      </c>
      <c r="T1111" s="35" t="str">
        <f>VLOOKUP(Tabla1[[#This Row],[AREA]],Hoja1!A:B,2,FALSE)</f>
        <v>11. Salud pública y seguridad ciudadana</v>
      </c>
      <c r="U1111" s="35" t="str">
        <f>MID(Tabla1[[#This Row],[Aplicación]],9,4)</f>
        <v>1361</v>
      </c>
      <c r="V1111" s="35" t="str">
        <f>VLOOKUP(Tabla1[[#This Row],[PROGRAMA]],Hoja1!A:B,2,FALSE)</f>
        <v>1361. Prevención y extinción de incencios</v>
      </c>
      <c r="W1111" s="35" t="str">
        <f>MID(Tabla1[[#This Row],[Aplicación]],14,2)</f>
        <v>22</v>
      </c>
      <c r="X1111" s="35" t="str">
        <f>MID(Tabla1[[#This Row],[Aplicación]],14,6)</f>
        <v>22199</v>
      </c>
    </row>
    <row r="1112" spans="1:24" x14ac:dyDescent="0.25">
      <c r="A1112" s="49">
        <v>220219000957</v>
      </c>
      <c r="B1112" s="50" t="s">
        <v>9</v>
      </c>
      <c r="C1112" s="57">
        <v>44562</v>
      </c>
      <c r="D1112" s="49">
        <v>22022000618</v>
      </c>
      <c r="E1112" s="50" t="s">
        <v>2545</v>
      </c>
      <c r="F1112" s="58">
        <v>9545</v>
      </c>
      <c r="G1112" s="50" t="s">
        <v>951</v>
      </c>
      <c r="H1112" s="50" t="s">
        <v>1234</v>
      </c>
      <c r="I1112" s="49" t="s">
        <v>107</v>
      </c>
      <c r="J1112" s="50" t="s">
        <v>109</v>
      </c>
      <c r="K1112" s="50" t="s">
        <v>109</v>
      </c>
      <c r="L1112" s="50" t="s">
        <v>12</v>
      </c>
      <c r="M1112" s="50" t="s">
        <v>10</v>
      </c>
      <c r="N1112" s="50" t="s">
        <v>11</v>
      </c>
      <c r="O1112" s="48" t="s">
        <v>632</v>
      </c>
      <c r="P1112" s="45" t="s">
        <v>453</v>
      </c>
      <c r="Q1112" s="35" t="str">
        <f>MID(Tabla1[[#This Row],[Aplicación]],14,1)</f>
        <v>2</v>
      </c>
      <c r="R1112" s="35" t="s">
        <v>441</v>
      </c>
      <c r="S1112" s="35" t="str">
        <f>MID(Tabla1[[#This Row],[Aplicación]],6,2)</f>
        <v>06</v>
      </c>
      <c r="T1112" s="35" t="str">
        <f>VLOOKUP(Tabla1[[#This Row],[AREA]],Hoja1!A:B,2,FALSE)</f>
        <v>06. Educación, infancia, juventud e igualdad</v>
      </c>
      <c r="U1112" s="35" t="str">
        <f>MID(Tabla1[[#This Row],[Aplicación]],9,4)</f>
        <v>2315</v>
      </c>
      <c r="V1112" s="35" t="str">
        <f>VLOOKUP(Tabla1[[#This Row],[PROGRAMA]],Hoja1!A:B,2,FALSE)</f>
        <v>2315. Políticas de Igualdad e infancia</v>
      </c>
      <c r="W1112" s="35" t="str">
        <f>MID(Tabla1[[#This Row],[Aplicación]],14,2)</f>
        <v>22</v>
      </c>
      <c r="X1112" s="35" t="str">
        <f>MID(Tabla1[[#This Row],[Aplicación]],14,6)</f>
        <v>22706</v>
      </c>
    </row>
    <row r="1113" spans="1:24" x14ac:dyDescent="0.25">
      <c r="A1113" s="49">
        <v>220220008285</v>
      </c>
      <c r="B1113" s="50" t="s">
        <v>9</v>
      </c>
      <c r="C1113" s="57">
        <v>44630</v>
      </c>
      <c r="D1113" s="49">
        <v>22022002719</v>
      </c>
      <c r="E1113" s="50" t="s">
        <v>1659</v>
      </c>
      <c r="F1113" s="58">
        <v>7199.5</v>
      </c>
      <c r="G1113" s="50" t="s">
        <v>951</v>
      </c>
      <c r="H1113" s="50" t="s">
        <v>2546</v>
      </c>
      <c r="I1113" s="49" t="s">
        <v>107</v>
      </c>
      <c r="J1113" s="50" t="s">
        <v>109</v>
      </c>
      <c r="K1113" s="50" t="s">
        <v>109</v>
      </c>
      <c r="L1113" s="50" t="s">
        <v>12</v>
      </c>
      <c r="M1113" s="50" t="s">
        <v>10</v>
      </c>
      <c r="N1113" s="50" t="s">
        <v>11</v>
      </c>
      <c r="O1113" s="48" t="s">
        <v>632</v>
      </c>
      <c r="P1113" s="45" t="s">
        <v>453</v>
      </c>
      <c r="Q1113" s="35" t="str">
        <f>MID(Tabla1[[#This Row],[Aplicación]],14,1)</f>
        <v>2</v>
      </c>
      <c r="R1113" s="35" t="s">
        <v>441</v>
      </c>
      <c r="S1113" s="35" t="str">
        <f>MID(Tabla1[[#This Row],[Aplicación]],6,2)</f>
        <v>05</v>
      </c>
      <c r="T1113" s="35" t="str">
        <f>VLOOKUP(Tabla1[[#This Row],[AREA]],Hoja1!A:B,2,FALSE)</f>
        <v>05. Innovación, desarrollo económico, empleo y comercio</v>
      </c>
      <c r="U1113" s="35" t="str">
        <f>MID(Tabla1[[#This Row],[Aplicación]],9,4)</f>
        <v>4331</v>
      </c>
      <c r="V1113" s="35" t="str">
        <f>VLOOKUP(Tabla1[[#This Row],[PROGRAMA]],Hoja1!A:B,2,FALSE)</f>
        <v>4331. Desarrollo empresarial</v>
      </c>
      <c r="W1113" s="35" t="str">
        <f>MID(Tabla1[[#This Row],[Aplicación]],14,2)</f>
        <v>22</v>
      </c>
      <c r="X1113" s="35" t="str">
        <f>MID(Tabla1[[#This Row],[Aplicación]],14,6)</f>
        <v>22799</v>
      </c>
    </row>
    <row r="1114" spans="1:24" x14ac:dyDescent="0.25">
      <c r="A1114" s="49">
        <v>220210084916</v>
      </c>
      <c r="B1114" s="50" t="s">
        <v>9</v>
      </c>
      <c r="C1114" s="57">
        <v>44631</v>
      </c>
      <c r="D1114" s="49">
        <v>22021008486</v>
      </c>
      <c r="E1114" s="50" t="s">
        <v>2238</v>
      </c>
      <c r="F1114" s="58">
        <v>0.01</v>
      </c>
      <c r="G1114" s="50" t="s">
        <v>844</v>
      </c>
      <c r="H1114" s="50" t="s">
        <v>1322</v>
      </c>
      <c r="I1114" s="49" t="s">
        <v>107</v>
      </c>
      <c r="J1114" s="50" t="s">
        <v>845</v>
      </c>
      <c r="K1114" s="50" t="s">
        <v>846</v>
      </c>
      <c r="L1114" s="50" t="s">
        <v>15</v>
      </c>
      <c r="M1114" s="50" t="s">
        <v>10</v>
      </c>
      <c r="N1114" s="50" t="s">
        <v>11</v>
      </c>
      <c r="O1114" s="48" t="s">
        <v>632</v>
      </c>
      <c r="P1114" s="45" t="s">
        <v>453</v>
      </c>
      <c r="Q1114" s="35" t="str">
        <f>MID(Tabla1[[#This Row],[Aplicación]],14,1)</f>
        <v>6</v>
      </c>
      <c r="R1114" s="35" t="s">
        <v>442</v>
      </c>
      <c r="S1114" s="35" t="str">
        <f>MID(Tabla1[[#This Row],[Aplicación]],6,2)</f>
        <v>11</v>
      </c>
      <c r="T1114" s="35" t="str">
        <f>VLOOKUP(Tabla1[[#This Row],[AREA]],Hoja1!A:B,2,FALSE)</f>
        <v>11. Salud pública y seguridad ciudadana</v>
      </c>
      <c r="U1114" s="35" t="str">
        <f>MID(Tabla1[[#This Row],[Aplicación]],9,4)</f>
        <v>1361</v>
      </c>
      <c r="V1114" s="35" t="str">
        <f>VLOOKUP(Tabla1[[#This Row],[PROGRAMA]],Hoja1!A:B,2,FALSE)</f>
        <v>1361. Prevención y extinción de incencios</v>
      </c>
      <c r="W1114" s="35" t="str">
        <f>MID(Tabla1[[#This Row],[Aplicación]],14,2)</f>
        <v>62</v>
      </c>
      <c r="X1114" s="35" t="str">
        <f>MID(Tabla1[[#This Row],[Aplicación]],14,6)</f>
        <v>623</v>
      </c>
    </row>
    <row r="1115" spans="1:24" x14ac:dyDescent="0.25">
      <c r="A1115" s="49">
        <v>220210082254</v>
      </c>
      <c r="B1115" s="50" t="s">
        <v>9</v>
      </c>
      <c r="C1115" s="57">
        <v>44620</v>
      </c>
      <c r="D1115" s="49">
        <v>22021006199</v>
      </c>
      <c r="E1115" s="50" t="s">
        <v>2547</v>
      </c>
      <c r="F1115" s="58">
        <v>73047.72</v>
      </c>
      <c r="G1115" s="50" t="s">
        <v>145</v>
      </c>
      <c r="H1115" s="50" t="s">
        <v>1302</v>
      </c>
      <c r="I1115" s="49" t="s">
        <v>107</v>
      </c>
      <c r="J1115" s="50" t="s">
        <v>547</v>
      </c>
      <c r="K1115" s="50" t="s">
        <v>109</v>
      </c>
      <c r="L1115" s="50" t="s">
        <v>12</v>
      </c>
      <c r="M1115" s="50" t="s">
        <v>13</v>
      </c>
      <c r="N1115" s="50" t="s">
        <v>14</v>
      </c>
      <c r="O1115" s="48" t="s">
        <v>620</v>
      </c>
      <c r="P1115" s="45" t="s">
        <v>453</v>
      </c>
      <c r="Q1115" s="35" t="str">
        <f>MID(Tabla1[[#This Row],[Aplicación]],14,1)</f>
        <v>6</v>
      </c>
      <c r="R1115" s="35" t="s">
        <v>442</v>
      </c>
      <c r="S1115" s="35" t="str">
        <f>MID(Tabla1[[#This Row],[Aplicación]],6,2)</f>
        <v>05</v>
      </c>
      <c r="T1115" s="35" t="str">
        <f>VLOOKUP(Tabla1[[#This Row],[AREA]],Hoja1!A:B,2,FALSE)</f>
        <v>05. Innovación, desarrollo económico, empleo y comercio</v>
      </c>
      <c r="U1115" s="35" t="str">
        <f>MID(Tabla1[[#This Row],[Aplicación]],9,4)</f>
        <v>4331</v>
      </c>
      <c r="V1115" s="35" t="str">
        <f>VLOOKUP(Tabla1[[#This Row],[PROGRAMA]],Hoja1!A:B,2,FALSE)</f>
        <v>4331. Desarrollo empresarial</v>
      </c>
      <c r="W1115" s="35" t="str">
        <f>MID(Tabla1[[#This Row],[Aplicación]],14,2)</f>
        <v>62</v>
      </c>
      <c r="X1115" s="35" t="str">
        <f>MID(Tabla1[[#This Row],[Aplicación]],14,6)</f>
        <v>629</v>
      </c>
    </row>
    <row r="1116" spans="1:24" x14ac:dyDescent="0.25">
      <c r="A1116" s="49">
        <v>220220006330</v>
      </c>
      <c r="B1116" s="50" t="s">
        <v>26</v>
      </c>
      <c r="C1116" s="57">
        <v>44617</v>
      </c>
      <c r="D1116" s="49">
        <v>22022002381</v>
      </c>
      <c r="E1116" s="50" t="s">
        <v>1864</v>
      </c>
      <c r="F1116" s="58">
        <v>1568</v>
      </c>
      <c r="G1116" s="50" t="s">
        <v>821</v>
      </c>
      <c r="H1116" s="50" t="s">
        <v>2548</v>
      </c>
      <c r="I1116" s="49" t="s">
        <v>197</v>
      </c>
      <c r="J1116" s="50" t="s">
        <v>109</v>
      </c>
      <c r="K1116" s="50" t="s">
        <v>109</v>
      </c>
      <c r="L1116" s="50" t="s">
        <v>12</v>
      </c>
      <c r="M1116" s="50" t="s">
        <v>10</v>
      </c>
      <c r="N1116" s="50" t="s">
        <v>11</v>
      </c>
      <c r="O1116" s="48" t="s">
        <v>632</v>
      </c>
      <c r="P1116" s="45" t="s">
        <v>453</v>
      </c>
      <c r="Q1116" s="35" t="str">
        <f>MID(Tabla1[[#This Row],[Aplicación]],14,1)</f>
        <v>2</v>
      </c>
      <c r="R1116" s="35" t="s">
        <v>441</v>
      </c>
      <c r="S1116" s="35" t="str">
        <f>MID(Tabla1[[#This Row],[Aplicación]],6,2)</f>
        <v>04</v>
      </c>
      <c r="T1116" s="35" t="str">
        <f>VLOOKUP(Tabla1[[#This Row],[AREA]],Hoja1!A:B,2,FALSE)</f>
        <v>04. Planificación y recursos</v>
      </c>
      <c r="U1116" s="35" t="str">
        <f>MID(Tabla1[[#This Row],[Aplicación]],9,4)</f>
        <v>9202</v>
      </c>
      <c r="V1116" s="35" t="str">
        <f>VLOOKUP(Tabla1[[#This Row],[PROGRAMA]],Hoja1!A:B,2,FALSE)</f>
        <v>9202. Gestión de recursos humanos</v>
      </c>
      <c r="W1116" s="35" t="str">
        <f>MID(Tabla1[[#This Row],[Aplicación]],14,2)</f>
        <v>22</v>
      </c>
      <c r="X1116" s="35" t="str">
        <f>MID(Tabla1[[#This Row],[Aplicación]],14,6)</f>
        <v>22607</v>
      </c>
    </row>
    <row r="1117" spans="1:24" x14ac:dyDescent="0.25">
      <c r="A1117" s="49">
        <v>220220005931</v>
      </c>
      <c r="B1117" s="50" t="s">
        <v>9</v>
      </c>
      <c r="C1117" s="57">
        <v>44616</v>
      </c>
      <c r="D1117" s="49">
        <v>22022002402</v>
      </c>
      <c r="E1117" s="50" t="s">
        <v>1627</v>
      </c>
      <c r="F1117" s="58">
        <v>242</v>
      </c>
      <c r="G1117" s="50" t="s">
        <v>821</v>
      </c>
      <c r="H1117" s="50" t="s">
        <v>2549</v>
      </c>
      <c r="I1117" s="49" t="s">
        <v>107</v>
      </c>
      <c r="J1117" s="50" t="s">
        <v>109</v>
      </c>
      <c r="K1117" s="50" t="s">
        <v>109</v>
      </c>
      <c r="L1117" s="50" t="s">
        <v>12</v>
      </c>
      <c r="M1117" s="50" t="s">
        <v>10</v>
      </c>
      <c r="N1117" s="50" t="s">
        <v>11</v>
      </c>
      <c r="O1117" s="48" t="s">
        <v>632</v>
      </c>
      <c r="P1117" s="45" t="s">
        <v>453</v>
      </c>
      <c r="Q1117" s="35" t="str">
        <f>MID(Tabla1[[#This Row],[Aplicación]],14,1)</f>
        <v>2</v>
      </c>
      <c r="R1117" s="35" t="s">
        <v>441</v>
      </c>
      <c r="S1117" s="35" t="str">
        <f>MID(Tabla1[[#This Row],[Aplicación]],6,2)</f>
        <v>07</v>
      </c>
      <c r="T1117" s="35" t="str">
        <f>VLOOKUP(Tabla1[[#This Row],[AREA]],Hoja1!A:B,2,FALSE)</f>
        <v>07. Medio ambiente y desarrollo sostenible</v>
      </c>
      <c r="U1117" s="35" t="str">
        <f>MID(Tabla1[[#This Row],[Aplicación]],9,4)</f>
        <v>1721</v>
      </c>
      <c r="V1117" s="35" t="str">
        <f>VLOOKUP(Tabla1[[#This Row],[PROGRAMA]],Hoja1!A:B,2,FALSE)</f>
        <v>1721. Protección del medio ambiente</v>
      </c>
      <c r="W1117" s="35" t="str">
        <f>MID(Tabla1[[#This Row],[Aplicación]],14,2)</f>
        <v>22</v>
      </c>
      <c r="X1117" s="35" t="str">
        <f>MID(Tabla1[[#This Row],[Aplicación]],14,6)</f>
        <v>22799</v>
      </c>
    </row>
    <row r="1118" spans="1:24" x14ac:dyDescent="0.25">
      <c r="A1118" s="49">
        <v>220220006688</v>
      </c>
      <c r="B1118" s="50" t="s">
        <v>9</v>
      </c>
      <c r="C1118" s="57">
        <v>44617</v>
      </c>
      <c r="D1118" s="49">
        <v>22022001546</v>
      </c>
      <c r="E1118" s="50" t="s">
        <v>1627</v>
      </c>
      <c r="F1118" s="58">
        <v>145.19999999999999</v>
      </c>
      <c r="G1118" s="50" t="s">
        <v>821</v>
      </c>
      <c r="H1118" s="50" t="s">
        <v>2550</v>
      </c>
      <c r="I1118" s="49" t="s">
        <v>107</v>
      </c>
      <c r="J1118" s="50" t="s">
        <v>109</v>
      </c>
      <c r="K1118" s="50" t="s">
        <v>109</v>
      </c>
      <c r="L1118" s="50" t="s">
        <v>12</v>
      </c>
      <c r="M1118" s="50" t="s">
        <v>10</v>
      </c>
      <c r="N1118" s="50" t="s">
        <v>11</v>
      </c>
      <c r="O1118" s="48" t="s">
        <v>632</v>
      </c>
      <c r="P1118" s="45" t="s">
        <v>453</v>
      </c>
      <c r="Q1118" s="35" t="str">
        <f>MID(Tabla1[[#This Row],[Aplicación]],14,1)</f>
        <v>2</v>
      </c>
      <c r="R1118" s="35" t="s">
        <v>441</v>
      </c>
      <c r="S1118" s="35" t="str">
        <f>MID(Tabla1[[#This Row],[Aplicación]],6,2)</f>
        <v>07</v>
      </c>
      <c r="T1118" s="35" t="str">
        <f>VLOOKUP(Tabla1[[#This Row],[AREA]],Hoja1!A:B,2,FALSE)</f>
        <v>07. Medio ambiente y desarrollo sostenible</v>
      </c>
      <c r="U1118" s="35" t="str">
        <f>MID(Tabla1[[#This Row],[Aplicación]],9,4)</f>
        <v>1721</v>
      </c>
      <c r="V1118" s="35" t="str">
        <f>VLOOKUP(Tabla1[[#This Row],[PROGRAMA]],Hoja1!A:B,2,FALSE)</f>
        <v>1721. Protección del medio ambiente</v>
      </c>
      <c r="W1118" s="35" t="str">
        <f>MID(Tabla1[[#This Row],[Aplicación]],14,2)</f>
        <v>22</v>
      </c>
      <c r="X1118" s="35" t="str">
        <f>MID(Tabla1[[#This Row],[Aplicación]],14,6)</f>
        <v>22799</v>
      </c>
    </row>
    <row r="1119" spans="1:24" x14ac:dyDescent="0.25">
      <c r="A1119" s="49">
        <v>220220006908</v>
      </c>
      <c r="B1119" s="50" t="s">
        <v>9</v>
      </c>
      <c r="C1119" s="57">
        <v>44622</v>
      </c>
      <c r="D1119" s="49">
        <v>22022002520</v>
      </c>
      <c r="E1119" s="50" t="s">
        <v>1627</v>
      </c>
      <c r="F1119" s="58">
        <v>145.19999999999999</v>
      </c>
      <c r="G1119" s="50" t="s">
        <v>821</v>
      </c>
      <c r="H1119" s="50" t="s">
        <v>2551</v>
      </c>
      <c r="I1119" s="49" t="s">
        <v>107</v>
      </c>
      <c r="J1119" s="50" t="s">
        <v>109</v>
      </c>
      <c r="K1119" s="50" t="s">
        <v>109</v>
      </c>
      <c r="L1119" s="50" t="s">
        <v>12</v>
      </c>
      <c r="M1119" s="50" t="s">
        <v>10</v>
      </c>
      <c r="N1119" s="50" t="s">
        <v>11</v>
      </c>
      <c r="O1119" s="48" t="s">
        <v>632</v>
      </c>
      <c r="P1119" s="45" t="s">
        <v>453</v>
      </c>
      <c r="Q1119" s="35" t="str">
        <f>MID(Tabla1[[#This Row],[Aplicación]],14,1)</f>
        <v>2</v>
      </c>
      <c r="R1119" s="35" t="s">
        <v>441</v>
      </c>
      <c r="S1119" s="35" t="str">
        <f>MID(Tabla1[[#This Row],[Aplicación]],6,2)</f>
        <v>07</v>
      </c>
      <c r="T1119" s="35" t="str">
        <f>VLOOKUP(Tabla1[[#This Row],[AREA]],Hoja1!A:B,2,FALSE)</f>
        <v>07. Medio ambiente y desarrollo sostenible</v>
      </c>
      <c r="U1119" s="35" t="str">
        <f>MID(Tabla1[[#This Row],[Aplicación]],9,4)</f>
        <v>1721</v>
      </c>
      <c r="V1119" s="35" t="str">
        <f>VLOOKUP(Tabla1[[#This Row],[PROGRAMA]],Hoja1!A:B,2,FALSE)</f>
        <v>1721. Protección del medio ambiente</v>
      </c>
      <c r="W1119" s="35" t="str">
        <f>MID(Tabla1[[#This Row],[Aplicación]],14,2)</f>
        <v>22</v>
      </c>
      <c r="X1119" s="35" t="str">
        <f>MID(Tabla1[[#This Row],[Aplicación]],14,6)</f>
        <v>22799</v>
      </c>
    </row>
    <row r="1120" spans="1:24" x14ac:dyDescent="0.25">
      <c r="A1120" s="49">
        <v>220220003491</v>
      </c>
      <c r="B1120" s="50" t="s">
        <v>9</v>
      </c>
      <c r="C1120" s="57">
        <v>44606</v>
      </c>
      <c r="D1120" s="49">
        <v>22022002057</v>
      </c>
      <c r="E1120" s="50" t="s">
        <v>2552</v>
      </c>
      <c r="F1120" s="58">
        <v>1324.95</v>
      </c>
      <c r="G1120" s="50" t="s">
        <v>1006</v>
      </c>
      <c r="H1120" s="50" t="s">
        <v>2553</v>
      </c>
      <c r="I1120" s="49" t="s">
        <v>107</v>
      </c>
      <c r="J1120" s="50" t="s">
        <v>109</v>
      </c>
      <c r="K1120" s="50" t="s">
        <v>109</v>
      </c>
      <c r="L1120" s="50" t="s">
        <v>15</v>
      </c>
      <c r="M1120" s="50" t="s">
        <v>10</v>
      </c>
      <c r="N1120" s="50" t="s">
        <v>11</v>
      </c>
      <c r="O1120" s="48" t="s">
        <v>632</v>
      </c>
      <c r="P1120" s="45" t="s">
        <v>453</v>
      </c>
      <c r="Q1120" s="35" t="str">
        <f>MID(Tabla1[[#This Row],[Aplicación]],14,1)</f>
        <v>2</v>
      </c>
      <c r="R1120" s="35" t="s">
        <v>441</v>
      </c>
      <c r="S1120" s="35" t="str">
        <f>MID(Tabla1[[#This Row],[Aplicación]],6,2)</f>
        <v>06</v>
      </c>
      <c r="T1120" s="35" t="str">
        <f>VLOOKUP(Tabla1[[#This Row],[AREA]],Hoja1!A:B,2,FALSE)</f>
        <v>06. Educación, infancia, juventud e igualdad</v>
      </c>
      <c r="U1120" s="35" t="str">
        <f>MID(Tabla1[[#This Row],[Aplicación]],9,4)</f>
        <v>3261</v>
      </c>
      <c r="V1120" s="35" t="str">
        <f>VLOOKUP(Tabla1[[#This Row],[PROGRAMA]],Hoja1!A:B,2,FALSE)</f>
        <v>3261. Servicios complementarios de educación</v>
      </c>
      <c r="W1120" s="35" t="str">
        <f>MID(Tabla1[[#This Row],[Aplicación]],14,2)</f>
        <v>22</v>
      </c>
      <c r="X1120" s="35" t="str">
        <f>MID(Tabla1[[#This Row],[Aplicación]],14,6)</f>
        <v>22699</v>
      </c>
    </row>
    <row r="1121" spans="1:24" x14ac:dyDescent="0.25">
      <c r="A1121" s="49">
        <v>220220003503</v>
      </c>
      <c r="B1121" s="50" t="s">
        <v>9</v>
      </c>
      <c r="C1121" s="57">
        <v>44606</v>
      </c>
      <c r="D1121" s="49">
        <v>22022002246</v>
      </c>
      <c r="E1121" s="50" t="s">
        <v>2099</v>
      </c>
      <c r="F1121" s="58">
        <v>248.05</v>
      </c>
      <c r="G1121" s="50" t="s">
        <v>2554</v>
      </c>
      <c r="H1121" s="50" t="s">
        <v>2555</v>
      </c>
      <c r="I1121" s="49" t="s">
        <v>107</v>
      </c>
      <c r="J1121" s="50" t="s">
        <v>109</v>
      </c>
      <c r="K1121" s="50" t="s">
        <v>109</v>
      </c>
      <c r="L1121" s="50" t="s">
        <v>15</v>
      </c>
      <c r="M1121" s="50" t="s">
        <v>10</v>
      </c>
      <c r="N1121" s="50" t="s">
        <v>11</v>
      </c>
      <c r="O1121" s="48" t="s">
        <v>632</v>
      </c>
      <c r="P1121" s="45" t="s">
        <v>453</v>
      </c>
      <c r="Q1121" s="35" t="str">
        <f>MID(Tabla1[[#This Row],[Aplicación]],14,1)</f>
        <v>2</v>
      </c>
      <c r="R1121" s="35" t="s">
        <v>441</v>
      </c>
      <c r="S1121" s="35" t="str">
        <f>MID(Tabla1[[#This Row],[Aplicación]],6,2)</f>
        <v>11</v>
      </c>
      <c r="T1121" s="35" t="str">
        <f>VLOOKUP(Tabla1[[#This Row],[AREA]],Hoja1!A:B,2,FALSE)</f>
        <v>11. Salud pública y seguridad ciudadana</v>
      </c>
      <c r="U1121" s="35" t="str">
        <f>MID(Tabla1[[#This Row],[Aplicación]],9,4)</f>
        <v>1621</v>
      </c>
      <c r="V1121" s="35" t="str">
        <f>VLOOKUP(Tabla1[[#This Row],[PROGRAMA]],Hoja1!A:B,2,FALSE)</f>
        <v>1621. Servicio de limpieza</v>
      </c>
      <c r="W1121" s="35" t="str">
        <f>MID(Tabla1[[#This Row],[Aplicación]],14,2)</f>
        <v>22</v>
      </c>
      <c r="X1121" s="35" t="str">
        <f>MID(Tabla1[[#This Row],[Aplicación]],14,6)</f>
        <v>22104</v>
      </c>
    </row>
    <row r="1122" spans="1:24" x14ac:dyDescent="0.25">
      <c r="A1122" s="49">
        <v>220220000314</v>
      </c>
      <c r="B1122" s="50" t="s">
        <v>26</v>
      </c>
      <c r="C1122" s="57">
        <v>44582</v>
      </c>
      <c r="D1122" s="49">
        <v>22022001277</v>
      </c>
      <c r="E1122" s="50" t="s">
        <v>1730</v>
      </c>
      <c r="F1122" s="58">
        <v>22728.86</v>
      </c>
      <c r="G1122" s="50" t="s">
        <v>842</v>
      </c>
      <c r="H1122" s="50" t="s">
        <v>2557</v>
      </c>
      <c r="I1122" s="49" t="s">
        <v>197</v>
      </c>
      <c r="J1122" s="50" t="s">
        <v>109</v>
      </c>
      <c r="K1122" s="50" t="s">
        <v>109</v>
      </c>
      <c r="L1122" s="50" t="s">
        <v>12</v>
      </c>
      <c r="M1122" s="50" t="s">
        <v>13</v>
      </c>
      <c r="N1122" s="50" t="s">
        <v>14</v>
      </c>
      <c r="O1122" s="48" t="s">
        <v>620</v>
      </c>
      <c r="P1122" s="45" t="s">
        <v>453</v>
      </c>
      <c r="Q1122" s="35" t="str">
        <f>MID(Tabla1[[#This Row],[Aplicación]],14,1)</f>
        <v>2</v>
      </c>
      <c r="R1122" s="35" t="s">
        <v>441</v>
      </c>
      <c r="S1122" s="35" t="str">
        <f>MID(Tabla1[[#This Row],[Aplicación]],6,2)</f>
        <v>03</v>
      </c>
      <c r="T1122" s="35" t="str">
        <f>VLOOKUP(Tabla1[[#This Row],[AREA]],Hoja1!A:B,2,FALSE)</f>
        <v>03. Participación ciudadana y deportes</v>
      </c>
      <c r="U1122" s="35" t="str">
        <f>MID(Tabla1[[#This Row],[Aplicación]],9,4)</f>
        <v>9241</v>
      </c>
      <c r="V1122" s="35" t="str">
        <f>VLOOKUP(Tabla1[[#This Row],[PROGRAMA]],Hoja1!A:B,2,FALSE)</f>
        <v>9241. Participación ciudadana</v>
      </c>
      <c r="W1122" s="35" t="str">
        <f>MID(Tabla1[[#This Row],[Aplicación]],14,2)</f>
        <v>22</v>
      </c>
      <c r="X1122" s="35" t="str">
        <f>MID(Tabla1[[#This Row],[Aplicación]],14,6)</f>
        <v>22701</v>
      </c>
    </row>
    <row r="1123" spans="1:24" x14ac:dyDescent="0.25">
      <c r="A1123" s="49">
        <v>220220005733</v>
      </c>
      <c r="B1123" s="50" t="s">
        <v>26</v>
      </c>
      <c r="C1123" s="57">
        <v>44614</v>
      </c>
      <c r="D1123" s="49">
        <v>22022002437</v>
      </c>
      <c r="E1123" s="50" t="s">
        <v>1730</v>
      </c>
      <c r="F1123" s="58">
        <v>19084.009999999998</v>
      </c>
      <c r="G1123" s="50" t="s">
        <v>842</v>
      </c>
      <c r="H1123" s="50" t="s">
        <v>2558</v>
      </c>
      <c r="I1123" s="49" t="s">
        <v>197</v>
      </c>
      <c r="J1123" s="50" t="s">
        <v>109</v>
      </c>
      <c r="K1123" s="50" t="s">
        <v>109</v>
      </c>
      <c r="L1123" s="50" t="s">
        <v>12</v>
      </c>
      <c r="M1123" s="50" t="s">
        <v>13</v>
      </c>
      <c r="N1123" s="50" t="s">
        <v>14</v>
      </c>
      <c r="O1123" s="48" t="s">
        <v>620</v>
      </c>
      <c r="P1123" s="45" t="s">
        <v>453</v>
      </c>
      <c r="Q1123" s="35" t="str">
        <f>MID(Tabla1[[#This Row],[Aplicación]],14,1)</f>
        <v>2</v>
      </c>
      <c r="R1123" s="35" t="s">
        <v>441</v>
      </c>
      <c r="S1123" s="35" t="str">
        <f>MID(Tabla1[[#This Row],[Aplicación]],6,2)</f>
        <v>03</v>
      </c>
      <c r="T1123" s="35" t="str">
        <f>VLOOKUP(Tabla1[[#This Row],[AREA]],Hoja1!A:B,2,FALSE)</f>
        <v>03. Participación ciudadana y deportes</v>
      </c>
      <c r="U1123" s="35" t="str">
        <f>MID(Tabla1[[#This Row],[Aplicación]],9,4)</f>
        <v>9241</v>
      </c>
      <c r="V1123" s="35" t="str">
        <f>VLOOKUP(Tabla1[[#This Row],[PROGRAMA]],Hoja1!A:B,2,FALSE)</f>
        <v>9241. Participación ciudadana</v>
      </c>
      <c r="W1123" s="35" t="str">
        <f>MID(Tabla1[[#This Row],[Aplicación]],14,2)</f>
        <v>22</v>
      </c>
      <c r="X1123" s="35" t="str">
        <f>MID(Tabla1[[#This Row],[Aplicación]],14,6)</f>
        <v>22701</v>
      </c>
    </row>
    <row r="1124" spans="1:24" x14ac:dyDescent="0.25">
      <c r="A1124" s="49">
        <v>220220008399</v>
      </c>
      <c r="B1124" s="50" t="s">
        <v>26</v>
      </c>
      <c r="C1124" s="57">
        <v>44631</v>
      </c>
      <c r="D1124" s="49">
        <v>22022002610</v>
      </c>
      <c r="E1124" s="50" t="s">
        <v>1730</v>
      </c>
      <c r="F1124" s="58">
        <v>51.79</v>
      </c>
      <c r="G1124" s="50" t="s">
        <v>842</v>
      </c>
      <c r="H1124" s="50" t="s">
        <v>2559</v>
      </c>
      <c r="I1124" s="49" t="s">
        <v>197</v>
      </c>
      <c r="J1124" s="50" t="s">
        <v>109</v>
      </c>
      <c r="K1124" s="50" t="s">
        <v>109</v>
      </c>
      <c r="L1124" s="50" t="s">
        <v>12</v>
      </c>
      <c r="M1124" s="50" t="s">
        <v>13</v>
      </c>
      <c r="N1124" s="50" t="s">
        <v>14</v>
      </c>
      <c r="O1124" s="48" t="s">
        <v>620</v>
      </c>
      <c r="P1124" s="45" t="s">
        <v>453</v>
      </c>
      <c r="Q1124" s="35" t="str">
        <f>MID(Tabla1[[#This Row],[Aplicación]],14,1)</f>
        <v>2</v>
      </c>
      <c r="R1124" s="35" t="s">
        <v>441</v>
      </c>
      <c r="S1124" s="35" t="str">
        <f>MID(Tabla1[[#This Row],[Aplicación]],6,2)</f>
        <v>03</v>
      </c>
      <c r="T1124" s="35" t="str">
        <f>VLOOKUP(Tabla1[[#This Row],[AREA]],Hoja1!A:B,2,FALSE)</f>
        <v>03. Participación ciudadana y deportes</v>
      </c>
      <c r="U1124" s="35" t="str">
        <f>MID(Tabla1[[#This Row],[Aplicación]],9,4)</f>
        <v>9241</v>
      </c>
      <c r="V1124" s="35" t="str">
        <f>VLOOKUP(Tabla1[[#This Row],[PROGRAMA]],Hoja1!A:B,2,FALSE)</f>
        <v>9241. Participación ciudadana</v>
      </c>
      <c r="W1124" s="35" t="str">
        <f>MID(Tabla1[[#This Row],[Aplicación]],14,2)</f>
        <v>22</v>
      </c>
      <c r="X1124" s="35" t="str">
        <f>MID(Tabla1[[#This Row],[Aplicación]],14,6)</f>
        <v>22701</v>
      </c>
    </row>
    <row r="1125" spans="1:24" x14ac:dyDescent="0.25">
      <c r="A1125" s="49">
        <v>220219001275</v>
      </c>
      <c r="B1125" s="50" t="s">
        <v>9</v>
      </c>
      <c r="C1125" s="57">
        <v>44562</v>
      </c>
      <c r="D1125" s="49">
        <v>22022001803</v>
      </c>
      <c r="E1125" s="50" t="s">
        <v>2560</v>
      </c>
      <c r="F1125" s="58">
        <v>19965</v>
      </c>
      <c r="G1125" s="50" t="s">
        <v>2561</v>
      </c>
      <c r="H1125" s="50" t="s">
        <v>2562</v>
      </c>
      <c r="I1125" s="49" t="s">
        <v>107</v>
      </c>
      <c r="J1125" s="50" t="s">
        <v>108</v>
      </c>
      <c r="K1125" s="50" t="s">
        <v>108</v>
      </c>
      <c r="L1125" s="50" t="s">
        <v>12</v>
      </c>
      <c r="M1125" s="50" t="s">
        <v>13</v>
      </c>
      <c r="N1125" s="50" t="s">
        <v>14</v>
      </c>
      <c r="O1125" s="48" t="s">
        <v>620</v>
      </c>
      <c r="P1125" s="45" t="s">
        <v>453</v>
      </c>
      <c r="Q1125" s="35" t="str">
        <f>MID(Tabla1[[#This Row],[Aplicación]],14,1)</f>
        <v>2</v>
      </c>
      <c r="R1125" s="35" t="s">
        <v>441</v>
      </c>
      <c r="S1125" s="35" t="str">
        <f>MID(Tabla1[[#This Row],[Aplicación]],6,2)</f>
        <v>04</v>
      </c>
      <c r="T1125" s="35" t="str">
        <f>VLOOKUP(Tabla1[[#This Row],[AREA]],Hoja1!A:B,2,FALSE)</f>
        <v>04. Planificación y recursos</v>
      </c>
      <c r="U1125" s="35" t="str">
        <f>MID(Tabla1[[#This Row],[Aplicación]],9,4)</f>
        <v>9204</v>
      </c>
      <c r="V1125" s="35" t="str">
        <f>VLOOKUP(Tabla1[[#This Row],[PROGRAMA]],Hoja1!A:B,2,FALSE)</f>
        <v>9204. Tecnologías de la información y comunicación</v>
      </c>
      <c r="W1125" s="35" t="str">
        <f>MID(Tabla1[[#This Row],[Aplicación]],14,2)</f>
        <v>22</v>
      </c>
      <c r="X1125" s="35" t="str">
        <f>MID(Tabla1[[#This Row],[Aplicación]],14,6)</f>
        <v>22799</v>
      </c>
    </row>
    <row r="1126" spans="1:24" x14ac:dyDescent="0.25">
      <c r="A1126" s="49">
        <v>220220003851</v>
      </c>
      <c r="B1126" s="50" t="s">
        <v>9</v>
      </c>
      <c r="C1126" s="57">
        <v>44608</v>
      </c>
      <c r="D1126" s="49">
        <v>22022002134</v>
      </c>
      <c r="E1126" s="50" t="s">
        <v>2080</v>
      </c>
      <c r="F1126" s="58">
        <v>1185.5999999999999</v>
      </c>
      <c r="G1126" s="50" t="s">
        <v>2563</v>
      </c>
      <c r="H1126" s="50" t="s">
        <v>2564</v>
      </c>
      <c r="I1126" s="49" t="s">
        <v>107</v>
      </c>
      <c r="J1126" s="50" t="s">
        <v>109</v>
      </c>
      <c r="K1126" s="50" t="s">
        <v>109</v>
      </c>
      <c r="L1126" s="50" t="s">
        <v>12</v>
      </c>
      <c r="M1126" s="50" t="s">
        <v>10</v>
      </c>
      <c r="N1126" s="50" t="s">
        <v>11</v>
      </c>
      <c r="O1126" s="48" t="s">
        <v>632</v>
      </c>
      <c r="P1126" s="45" t="s">
        <v>453</v>
      </c>
      <c r="Q1126" s="35" t="str">
        <f>MID(Tabla1[[#This Row],[Aplicación]],14,1)</f>
        <v>2</v>
      </c>
      <c r="R1126" s="35" t="s">
        <v>441</v>
      </c>
      <c r="S1126" s="35" t="str">
        <f>MID(Tabla1[[#This Row],[Aplicación]],6,2)</f>
        <v>04</v>
      </c>
      <c r="T1126" s="35" t="str">
        <f>VLOOKUP(Tabla1[[#This Row],[AREA]],Hoja1!A:B,2,FALSE)</f>
        <v>04. Planificación y recursos</v>
      </c>
      <c r="U1126" s="35" t="str">
        <f>MID(Tabla1[[#This Row],[Aplicación]],9,4)</f>
        <v>9321</v>
      </c>
      <c r="V1126" s="35" t="str">
        <f>VLOOKUP(Tabla1[[#This Row],[PROGRAMA]],Hoja1!A:B,2,FALSE)</f>
        <v>9321. Gestión de ingresos e inspección</v>
      </c>
      <c r="W1126" s="35" t="str">
        <f>MID(Tabla1[[#This Row],[Aplicación]],14,2)</f>
        <v>22</v>
      </c>
      <c r="X1126" s="35" t="str">
        <f>MID(Tabla1[[#This Row],[Aplicación]],14,6)</f>
        <v>22799</v>
      </c>
    </row>
    <row r="1127" spans="1:24" x14ac:dyDescent="0.25">
      <c r="A1127" s="49">
        <v>220220010178</v>
      </c>
      <c r="B1127" s="50" t="s">
        <v>9</v>
      </c>
      <c r="C1127" s="57">
        <v>44638</v>
      </c>
      <c r="D1127" s="49">
        <v>22022002276</v>
      </c>
      <c r="E1127" s="50" t="s">
        <v>1826</v>
      </c>
      <c r="F1127" s="58">
        <v>74750.55</v>
      </c>
      <c r="G1127" s="50" t="s">
        <v>500</v>
      </c>
      <c r="H1127" s="50" t="s">
        <v>2565</v>
      </c>
      <c r="I1127" s="49" t="s">
        <v>107</v>
      </c>
      <c r="J1127" s="50" t="s">
        <v>128</v>
      </c>
      <c r="K1127" s="50" t="s">
        <v>128</v>
      </c>
      <c r="L1127" s="50" t="s">
        <v>12</v>
      </c>
      <c r="M1127" s="50" t="s">
        <v>13</v>
      </c>
      <c r="N1127" s="50" t="s">
        <v>14</v>
      </c>
      <c r="O1127" s="48" t="s">
        <v>620</v>
      </c>
      <c r="P1127" s="45" t="s">
        <v>453</v>
      </c>
      <c r="Q1127" s="35" t="str">
        <f>MID(Tabla1[[#This Row],[Aplicación]],14,1)</f>
        <v>6</v>
      </c>
      <c r="R1127" s="35" t="s">
        <v>442</v>
      </c>
      <c r="S1127" s="35" t="str">
        <f>MID(Tabla1[[#This Row],[Aplicación]],6,2)</f>
        <v>04</v>
      </c>
      <c r="T1127" s="35" t="str">
        <f>VLOOKUP(Tabla1[[#This Row],[AREA]],Hoja1!A:B,2,FALSE)</f>
        <v>04. Planificación y recursos</v>
      </c>
      <c r="U1127" s="35" t="str">
        <f>MID(Tabla1[[#This Row],[Aplicación]],9,4)</f>
        <v>9321</v>
      </c>
      <c r="V1127" s="35" t="str">
        <f>VLOOKUP(Tabla1[[#This Row],[PROGRAMA]],Hoja1!A:B,2,FALSE)</f>
        <v>9321. Gestión de ingresos e inspección</v>
      </c>
      <c r="W1127" s="35" t="str">
        <f>MID(Tabla1[[#This Row],[Aplicación]],14,2)</f>
        <v>64</v>
      </c>
      <c r="X1127" s="35" t="str">
        <f>MID(Tabla1[[#This Row],[Aplicación]],14,6)</f>
        <v>641</v>
      </c>
    </row>
    <row r="1128" spans="1:24" x14ac:dyDescent="0.25">
      <c r="A1128" s="49">
        <v>220220009693</v>
      </c>
      <c r="B1128" s="50" t="s">
        <v>9</v>
      </c>
      <c r="C1128" s="57">
        <v>44637</v>
      </c>
      <c r="D1128" s="49">
        <v>22022002575</v>
      </c>
      <c r="E1128" s="50" t="s">
        <v>1826</v>
      </c>
      <c r="F1128" s="58">
        <v>13939.2</v>
      </c>
      <c r="G1128" s="50" t="s">
        <v>500</v>
      </c>
      <c r="H1128" s="50" t="s">
        <v>2566</v>
      </c>
      <c r="I1128" s="49" t="s">
        <v>107</v>
      </c>
      <c r="J1128" s="50" t="s">
        <v>128</v>
      </c>
      <c r="K1128" s="50" t="s">
        <v>128</v>
      </c>
      <c r="L1128" s="50" t="s">
        <v>12</v>
      </c>
      <c r="M1128" s="50" t="s">
        <v>10</v>
      </c>
      <c r="N1128" s="50" t="s">
        <v>11</v>
      </c>
      <c r="O1128" s="48" t="s">
        <v>632</v>
      </c>
      <c r="P1128" s="45" t="s">
        <v>453</v>
      </c>
      <c r="Q1128" s="35" t="str">
        <f>MID(Tabla1[[#This Row],[Aplicación]],14,1)</f>
        <v>6</v>
      </c>
      <c r="R1128" s="35" t="s">
        <v>442</v>
      </c>
      <c r="S1128" s="35" t="str">
        <f>MID(Tabla1[[#This Row],[Aplicación]],6,2)</f>
        <v>04</v>
      </c>
      <c r="T1128" s="35" t="str">
        <f>VLOOKUP(Tabla1[[#This Row],[AREA]],Hoja1!A:B,2,FALSE)</f>
        <v>04. Planificación y recursos</v>
      </c>
      <c r="U1128" s="35" t="str">
        <f>MID(Tabla1[[#This Row],[Aplicación]],9,4)</f>
        <v>9321</v>
      </c>
      <c r="V1128" s="35" t="str">
        <f>VLOOKUP(Tabla1[[#This Row],[PROGRAMA]],Hoja1!A:B,2,FALSE)</f>
        <v>9321. Gestión de ingresos e inspección</v>
      </c>
      <c r="W1128" s="35" t="str">
        <f>MID(Tabla1[[#This Row],[Aplicación]],14,2)</f>
        <v>64</v>
      </c>
      <c r="X1128" s="35" t="str">
        <f>MID(Tabla1[[#This Row],[Aplicación]],14,6)</f>
        <v>641</v>
      </c>
    </row>
    <row r="1129" spans="1:24" x14ac:dyDescent="0.25">
      <c r="A1129" s="49">
        <v>220220002536</v>
      </c>
      <c r="B1129" s="50" t="s">
        <v>9</v>
      </c>
      <c r="C1129" s="57">
        <v>44595</v>
      </c>
      <c r="D1129" s="49">
        <v>22022001846</v>
      </c>
      <c r="E1129" s="50" t="s">
        <v>1776</v>
      </c>
      <c r="F1129" s="58">
        <v>580.79999999999995</v>
      </c>
      <c r="G1129" s="50" t="s">
        <v>595</v>
      </c>
      <c r="H1129" s="50" t="s">
        <v>2567</v>
      </c>
      <c r="I1129" s="49" t="s">
        <v>107</v>
      </c>
      <c r="J1129" s="50" t="s">
        <v>109</v>
      </c>
      <c r="K1129" s="50" t="s">
        <v>109</v>
      </c>
      <c r="L1129" s="50" t="s">
        <v>12</v>
      </c>
      <c r="M1129" s="50" t="s">
        <v>10</v>
      </c>
      <c r="N1129" s="50" t="s">
        <v>11</v>
      </c>
      <c r="O1129" s="48" t="s">
        <v>632</v>
      </c>
      <c r="P1129" s="45" t="s">
        <v>453</v>
      </c>
      <c r="Q1129" s="35" t="str">
        <f>MID(Tabla1[[#This Row],[Aplicación]],14,1)</f>
        <v>2</v>
      </c>
      <c r="R1129" s="35" t="s">
        <v>441</v>
      </c>
      <c r="S1129" s="35" t="str">
        <f>MID(Tabla1[[#This Row],[Aplicación]],6,2)</f>
        <v>11</v>
      </c>
      <c r="T1129" s="35" t="str">
        <f>VLOOKUP(Tabla1[[#This Row],[AREA]],Hoja1!A:B,2,FALSE)</f>
        <v>11. Salud pública y seguridad ciudadana</v>
      </c>
      <c r="U1129" s="35" t="str">
        <f>MID(Tabla1[[#This Row],[Aplicación]],9,4)</f>
        <v>1631</v>
      </c>
      <c r="V1129" s="35" t="str">
        <f>VLOOKUP(Tabla1[[#This Row],[PROGRAMA]],Hoja1!A:B,2,FALSE)</f>
        <v>1631. Limpieza viaria</v>
      </c>
      <c r="W1129" s="35" t="str">
        <f>MID(Tabla1[[#This Row],[Aplicación]],14,2)</f>
        <v>22</v>
      </c>
      <c r="X1129" s="35" t="str">
        <f>MID(Tabla1[[#This Row],[Aplicación]],14,6)</f>
        <v>22700</v>
      </c>
    </row>
    <row r="1130" spans="1:24" x14ac:dyDescent="0.25">
      <c r="A1130" s="49">
        <v>220209000719</v>
      </c>
      <c r="B1130" s="50" t="s">
        <v>9</v>
      </c>
      <c r="C1130" s="57">
        <v>44562</v>
      </c>
      <c r="D1130" s="49">
        <v>22022000256</v>
      </c>
      <c r="E1130" s="50" t="s">
        <v>1397</v>
      </c>
      <c r="F1130" s="58">
        <v>117922.75</v>
      </c>
      <c r="G1130" s="50" t="s">
        <v>149</v>
      </c>
      <c r="H1130" s="50" t="s">
        <v>765</v>
      </c>
      <c r="I1130" s="49" t="s">
        <v>107</v>
      </c>
      <c r="J1130" s="50" t="s">
        <v>527</v>
      </c>
      <c r="K1130" s="50" t="s">
        <v>150</v>
      </c>
      <c r="L1130" s="50" t="s">
        <v>12</v>
      </c>
      <c r="M1130" s="50" t="s">
        <v>13</v>
      </c>
      <c r="N1130" s="50" t="s">
        <v>14</v>
      </c>
      <c r="O1130" s="48" t="s">
        <v>620</v>
      </c>
      <c r="P1130" s="45" t="s">
        <v>453</v>
      </c>
      <c r="Q1130" s="35" t="str">
        <f>MID(Tabla1[[#This Row],[Aplicación]],14,1)</f>
        <v>2</v>
      </c>
      <c r="R1130" s="35" t="s">
        <v>441</v>
      </c>
      <c r="S1130" s="35" t="str">
        <f>MID(Tabla1[[#This Row],[Aplicación]],6,2)</f>
        <v>10</v>
      </c>
      <c r="T1130" s="35" t="str">
        <f>VLOOKUP(Tabla1[[#This Row],[AREA]],Hoja1!A:B,2,FALSE)</f>
        <v>10. Servicios sociales y mediación comunitaria</v>
      </c>
      <c r="U1130" s="35" t="str">
        <f>MID(Tabla1[[#This Row],[Aplicación]],9,4)</f>
        <v>2312</v>
      </c>
      <c r="V1130" s="35" t="str">
        <f>VLOOKUP(Tabla1[[#This Row],[PROGRAMA]],Hoja1!A:B,2,FALSE)</f>
        <v>2312. Iniciativas sociales</v>
      </c>
      <c r="W1130" s="35" t="str">
        <f>MID(Tabla1[[#This Row],[Aplicación]],14,2)</f>
        <v>22</v>
      </c>
      <c r="X1130" s="35" t="str">
        <f>MID(Tabla1[[#This Row],[Aplicación]],14,6)</f>
        <v>22799</v>
      </c>
    </row>
    <row r="1131" spans="1:24" x14ac:dyDescent="0.25">
      <c r="A1131" s="49">
        <v>220220010337</v>
      </c>
      <c r="B1131" s="50" t="s">
        <v>9</v>
      </c>
      <c r="C1131" s="57">
        <v>44641</v>
      </c>
      <c r="D1131" s="49">
        <v>22022002915</v>
      </c>
      <c r="E1131" s="50" t="s">
        <v>1436</v>
      </c>
      <c r="F1131" s="58">
        <v>495</v>
      </c>
      <c r="G1131" s="50" t="s">
        <v>1012</v>
      </c>
      <c r="H1131" s="50" t="s">
        <v>2568</v>
      </c>
      <c r="I1131" s="49" t="s">
        <v>107</v>
      </c>
      <c r="J1131" s="50" t="s">
        <v>109</v>
      </c>
      <c r="K1131" s="50" t="s">
        <v>109</v>
      </c>
      <c r="L1131" s="50" t="s">
        <v>12</v>
      </c>
      <c r="M1131" s="50" t="s">
        <v>10</v>
      </c>
      <c r="N1131" s="50" t="s">
        <v>11</v>
      </c>
      <c r="O1131" s="48" t="s">
        <v>632</v>
      </c>
      <c r="P1131" s="45" t="s">
        <v>453</v>
      </c>
      <c r="Q1131" s="35" t="str">
        <f>MID(Tabla1[[#This Row],[Aplicación]],14,1)</f>
        <v>2</v>
      </c>
      <c r="R1131" s="35" t="s">
        <v>441</v>
      </c>
      <c r="S1131" s="35" t="str">
        <f>MID(Tabla1[[#This Row],[Aplicación]],6,2)</f>
        <v>03</v>
      </c>
      <c r="T1131" s="35" t="str">
        <f>VLOOKUP(Tabla1[[#This Row],[AREA]],Hoja1!A:B,2,FALSE)</f>
        <v>03. Participación ciudadana y deportes</v>
      </c>
      <c r="U1131" s="35" t="str">
        <f>MID(Tabla1[[#This Row],[Aplicación]],9,4)</f>
        <v>9241</v>
      </c>
      <c r="V1131" s="35" t="str">
        <f>VLOOKUP(Tabla1[[#This Row],[PROGRAMA]],Hoja1!A:B,2,FALSE)</f>
        <v>9241. Participación ciudadana</v>
      </c>
      <c r="W1131" s="35" t="str">
        <f>MID(Tabla1[[#This Row],[Aplicación]],14,2)</f>
        <v>22</v>
      </c>
      <c r="X1131" s="35" t="str">
        <f>MID(Tabla1[[#This Row],[Aplicación]],14,6)</f>
        <v>22609</v>
      </c>
    </row>
    <row r="1132" spans="1:24" x14ac:dyDescent="0.25">
      <c r="A1132" s="49">
        <v>220220006728</v>
      </c>
      <c r="B1132" s="50" t="s">
        <v>9</v>
      </c>
      <c r="C1132" s="57">
        <v>44621</v>
      </c>
      <c r="D1132" s="49">
        <v>22022001544</v>
      </c>
      <c r="E1132" s="50" t="s">
        <v>2569</v>
      </c>
      <c r="F1132" s="58">
        <v>1000</v>
      </c>
      <c r="G1132" s="50" t="s">
        <v>206</v>
      </c>
      <c r="H1132" s="50" t="s">
        <v>861</v>
      </c>
      <c r="I1132" s="49" t="s">
        <v>107</v>
      </c>
      <c r="J1132" s="50" t="s">
        <v>109</v>
      </c>
      <c r="K1132" s="50" t="s">
        <v>109</v>
      </c>
      <c r="L1132" s="50" t="s">
        <v>12</v>
      </c>
      <c r="M1132" s="50" t="s">
        <v>10</v>
      </c>
      <c r="N1132" s="50" t="s">
        <v>11</v>
      </c>
      <c r="O1132" s="48" t="s">
        <v>632</v>
      </c>
      <c r="P1132" s="45" t="s">
        <v>453</v>
      </c>
      <c r="Q1132" s="35" t="str">
        <f>MID(Tabla1[[#This Row],[Aplicación]],14,1)</f>
        <v>2</v>
      </c>
      <c r="R1132" s="35" t="s">
        <v>441</v>
      </c>
      <c r="S1132" s="35" t="str">
        <f>MID(Tabla1[[#This Row],[Aplicación]],6,2)</f>
        <v>07</v>
      </c>
      <c r="T1132" s="35" t="str">
        <f>VLOOKUP(Tabla1[[#This Row],[AREA]],Hoja1!A:B,2,FALSE)</f>
        <v>07. Medio ambiente y desarrollo sostenible</v>
      </c>
      <c r="U1132" s="35" t="str">
        <f>MID(Tabla1[[#This Row],[Aplicación]],9,4)</f>
        <v>1721</v>
      </c>
      <c r="V1132" s="35" t="str">
        <f>VLOOKUP(Tabla1[[#This Row],[PROGRAMA]],Hoja1!A:B,2,FALSE)</f>
        <v>1721. Protección del medio ambiente</v>
      </c>
      <c r="W1132" s="35" t="str">
        <f>MID(Tabla1[[#This Row],[Aplicación]],14,2)</f>
        <v>22</v>
      </c>
      <c r="X1132" s="35" t="str">
        <f>MID(Tabla1[[#This Row],[Aplicación]],14,6)</f>
        <v>223</v>
      </c>
    </row>
    <row r="1133" spans="1:24" x14ac:dyDescent="0.25">
      <c r="A1133" s="49">
        <v>220209000682</v>
      </c>
      <c r="B1133" s="50" t="s">
        <v>9</v>
      </c>
      <c r="C1133" s="57">
        <v>44562</v>
      </c>
      <c r="D1133" s="49">
        <v>22022000236</v>
      </c>
      <c r="E1133" s="50" t="s">
        <v>1714</v>
      </c>
      <c r="F1133" s="58">
        <v>18344.28</v>
      </c>
      <c r="G1133" s="50" t="s">
        <v>101</v>
      </c>
      <c r="H1133" s="50" t="s">
        <v>713</v>
      </c>
      <c r="I1133" s="49" t="s">
        <v>107</v>
      </c>
      <c r="J1133" s="50" t="s">
        <v>109</v>
      </c>
      <c r="K1133" s="50" t="s">
        <v>109</v>
      </c>
      <c r="L1133" s="50" t="s">
        <v>12</v>
      </c>
      <c r="M1133" s="50" t="s">
        <v>13</v>
      </c>
      <c r="N1133" s="50" t="s">
        <v>14</v>
      </c>
      <c r="O1133" s="48" t="s">
        <v>620</v>
      </c>
      <c r="P1133" s="45" t="s">
        <v>453</v>
      </c>
      <c r="Q1133" s="35" t="str">
        <f>MID(Tabla1[[#This Row],[Aplicación]],14,1)</f>
        <v>2</v>
      </c>
      <c r="R1133" s="35" t="s">
        <v>441</v>
      </c>
      <c r="S1133" s="35" t="str">
        <f>MID(Tabla1[[#This Row],[Aplicación]],6,2)</f>
        <v>06</v>
      </c>
      <c r="T1133" s="35" t="str">
        <f>VLOOKUP(Tabla1[[#This Row],[AREA]],Hoja1!A:B,2,FALSE)</f>
        <v>06. Educación, infancia, juventud e igualdad</v>
      </c>
      <c r="U1133" s="35" t="str">
        <f>MID(Tabla1[[#This Row],[Aplicación]],9,4)</f>
        <v>3231</v>
      </c>
      <c r="V1133" s="35" t="str">
        <f>VLOOKUP(Tabla1[[#This Row],[PROGRAMA]],Hoja1!A:B,2,FALSE)</f>
        <v>3231. Escuelas infantiles</v>
      </c>
      <c r="W1133" s="35" t="str">
        <f>MID(Tabla1[[#This Row],[Aplicación]],14,2)</f>
        <v>21</v>
      </c>
      <c r="X1133" s="35" t="str">
        <f>MID(Tabla1[[#This Row],[Aplicación]],14,6)</f>
        <v>213</v>
      </c>
    </row>
    <row r="1134" spans="1:24" x14ac:dyDescent="0.25">
      <c r="A1134" s="49">
        <v>220220003452</v>
      </c>
      <c r="B1134" s="50" t="s">
        <v>9</v>
      </c>
      <c r="C1134" s="57">
        <v>44603</v>
      </c>
      <c r="D1134" s="49">
        <v>22022002130</v>
      </c>
      <c r="E1134" s="50" t="s">
        <v>2570</v>
      </c>
      <c r="F1134" s="58">
        <v>500</v>
      </c>
      <c r="G1134" s="50" t="s">
        <v>206</v>
      </c>
      <c r="H1134" s="50" t="s">
        <v>2571</v>
      </c>
      <c r="I1134" s="49" t="s">
        <v>107</v>
      </c>
      <c r="J1134" s="50" t="s">
        <v>109</v>
      </c>
      <c r="K1134" s="50" t="s">
        <v>109</v>
      </c>
      <c r="L1134" s="50" t="s">
        <v>12</v>
      </c>
      <c r="M1134" s="50" t="s">
        <v>10</v>
      </c>
      <c r="N1134" s="50" t="s">
        <v>11</v>
      </c>
      <c r="O1134" s="48" t="s">
        <v>632</v>
      </c>
      <c r="P1134" s="45" t="s">
        <v>453</v>
      </c>
      <c r="Q1134" s="35" t="str">
        <f>MID(Tabla1[[#This Row],[Aplicación]],14,1)</f>
        <v>2</v>
      </c>
      <c r="R1134" s="35" t="s">
        <v>441</v>
      </c>
      <c r="S1134" s="35" t="str">
        <f>MID(Tabla1[[#This Row],[Aplicación]],6,2)</f>
        <v>11</v>
      </c>
      <c r="T1134" s="35" t="str">
        <f>VLOOKUP(Tabla1[[#This Row],[AREA]],Hoja1!A:B,2,FALSE)</f>
        <v>11. Salud pública y seguridad ciudadana</v>
      </c>
      <c r="U1134" s="35" t="str">
        <f>MID(Tabla1[[#This Row],[Aplicación]],9,4)</f>
        <v>1321</v>
      </c>
      <c r="V1134" s="35" t="str">
        <f>VLOOKUP(Tabla1[[#This Row],[PROGRAMA]],Hoja1!A:B,2,FALSE)</f>
        <v>1321. Policía municipal</v>
      </c>
      <c r="W1134" s="35" t="str">
        <f>MID(Tabla1[[#This Row],[Aplicación]],14,2)</f>
        <v>22</v>
      </c>
      <c r="X1134" s="35" t="str">
        <f>MID(Tabla1[[#This Row],[Aplicación]],14,6)</f>
        <v>223</v>
      </c>
    </row>
    <row r="1135" spans="1:24" x14ac:dyDescent="0.25">
      <c r="A1135" s="49">
        <v>220209000683</v>
      </c>
      <c r="B1135" s="50" t="s">
        <v>9</v>
      </c>
      <c r="C1135" s="57">
        <v>44562</v>
      </c>
      <c r="D1135" s="49">
        <v>22022000237</v>
      </c>
      <c r="E1135" s="50" t="s">
        <v>1911</v>
      </c>
      <c r="F1135" s="58">
        <v>6171.08</v>
      </c>
      <c r="G1135" s="50" t="s">
        <v>101</v>
      </c>
      <c r="H1135" s="50" t="s">
        <v>714</v>
      </c>
      <c r="I1135" s="49" t="s">
        <v>107</v>
      </c>
      <c r="J1135" s="50" t="s">
        <v>109</v>
      </c>
      <c r="K1135" s="50" t="s">
        <v>109</v>
      </c>
      <c r="L1135" s="50" t="s">
        <v>12</v>
      </c>
      <c r="M1135" s="50" t="s">
        <v>13</v>
      </c>
      <c r="N1135" s="50" t="s">
        <v>14</v>
      </c>
      <c r="O1135" s="48" t="s">
        <v>620</v>
      </c>
      <c r="P1135" s="45" t="s">
        <v>453</v>
      </c>
      <c r="Q1135" s="35" t="str">
        <f>MID(Tabla1[[#This Row],[Aplicación]],14,1)</f>
        <v>2</v>
      </c>
      <c r="R1135" s="35" t="s">
        <v>441</v>
      </c>
      <c r="S1135" s="35" t="str">
        <f>MID(Tabla1[[#This Row],[Aplicación]],6,2)</f>
        <v>06</v>
      </c>
      <c r="T1135" s="35" t="str">
        <f>VLOOKUP(Tabla1[[#This Row],[AREA]],Hoja1!A:B,2,FALSE)</f>
        <v>06. Educación, infancia, juventud e igualdad</v>
      </c>
      <c r="U1135" s="35" t="str">
        <f>MID(Tabla1[[#This Row],[Aplicación]],9,4)</f>
        <v>2314</v>
      </c>
      <c r="V1135" s="35" t="str">
        <f>VLOOKUP(Tabla1[[#This Row],[PROGRAMA]],Hoja1!A:B,2,FALSE)</f>
        <v>2314. Centro de programas juveniles</v>
      </c>
      <c r="W1135" s="35" t="str">
        <f>MID(Tabla1[[#This Row],[Aplicación]],14,2)</f>
        <v>21</v>
      </c>
      <c r="X1135" s="35" t="str">
        <f>MID(Tabla1[[#This Row],[Aplicación]],14,6)</f>
        <v>213</v>
      </c>
    </row>
    <row r="1136" spans="1:24" x14ac:dyDescent="0.25">
      <c r="A1136" s="49">
        <v>220219000217</v>
      </c>
      <c r="B1136" s="50" t="s">
        <v>9</v>
      </c>
      <c r="C1136" s="57">
        <v>44562</v>
      </c>
      <c r="D1136" s="49">
        <v>22022000050</v>
      </c>
      <c r="E1136" s="50" t="s">
        <v>1742</v>
      </c>
      <c r="F1136" s="58">
        <v>5277.54</v>
      </c>
      <c r="G1136" s="50" t="s">
        <v>101</v>
      </c>
      <c r="H1136" s="50" t="s">
        <v>2572</v>
      </c>
      <c r="I1136" s="49" t="s">
        <v>107</v>
      </c>
      <c r="J1136" s="50" t="s">
        <v>109</v>
      </c>
      <c r="K1136" s="50" t="s">
        <v>109</v>
      </c>
      <c r="L1136" s="50" t="s">
        <v>12</v>
      </c>
      <c r="M1136" s="50" t="s">
        <v>13</v>
      </c>
      <c r="N1136" s="50" t="s">
        <v>16</v>
      </c>
      <c r="O1136" s="48" t="s">
        <v>620</v>
      </c>
      <c r="P1136" s="45" t="s">
        <v>453</v>
      </c>
      <c r="Q1136" s="35" t="str">
        <f>MID(Tabla1[[#This Row],[Aplicación]],14,1)</f>
        <v>2</v>
      </c>
      <c r="R1136" s="35" t="s">
        <v>441</v>
      </c>
      <c r="S1136" s="35" t="str">
        <f>MID(Tabla1[[#This Row],[Aplicación]],6,2)</f>
        <v>03</v>
      </c>
      <c r="T1136" s="35" t="str">
        <f>VLOOKUP(Tabla1[[#This Row],[AREA]],Hoja1!A:B,2,FALSE)</f>
        <v>03. Participación ciudadana y deportes</v>
      </c>
      <c r="U1136" s="35" t="str">
        <f>MID(Tabla1[[#This Row],[Aplicación]],9,4)</f>
        <v>9241</v>
      </c>
      <c r="V1136" s="35" t="str">
        <f>VLOOKUP(Tabla1[[#This Row],[PROGRAMA]],Hoja1!A:B,2,FALSE)</f>
        <v>9241. Participación ciudadana</v>
      </c>
      <c r="W1136" s="35" t="str">
        <f>MID(Tabla1[[#This Row],[Aplicación]],14,2)</f>
        <v>21</v>
      </c>
      <c r="X1136" s="35" t="str">
        <f>MID(Tabla1[[#This Row],[Aplicación]],14,6)</f>
        <v>213</v>
      </c>
    </row>
    <row r="1137" spans="1:24" x14ac:dyDescent="0.25">
      <c r="A1137" s="49">
        <v>220209000684</v>
      </c>
      <c r="B1137" s="50" t="s">
        <v>9</v>
      </c>
      <c r="C1137" s="57">
        <v>44562</v>
      </c>
      <c r="D1137" s="49">
        <v>22022000238</v>
      </c>
      <c r="E1137" s="50" t="s">
        <v>1473</v>
      </c>
      <c r="F1137" s="58">
        <v>1542.77</v>
      </c>
      <c r="G1137" s="50" t="s">
        <v>101</v>
      </c>
      <c r="H1137" s="50" t="s">
        <v>715</v>
      </c>
      <c r="I1137" s="49" t="s">
        <v>107</v>
      </c>
      <c r="J1137" s="50" t="s">
        <v>109</v>
      </c>
      <c r="K1137" s="50" t="s">
        <v>109</v>
      </c>
      <c r="L1137" s="50" t="s">
        <v>12</v>
      </c>
      <c r="M1137" s="50" t="s">
        <v>13</v>
      </c>
      <c r="N1137" s="50" t="s">
        <v>14</v>
      </c>
      <c r="O1137" s="48" t="s">
        <v>620</v>
      </c>
      <c r="P1137" s="45" t="s">
        <v>453</v>
      </c>
      <c r="Q1137" s="35" t="str">
        <f>MID(Tabla1[[#This Row],[Aplicación]],14,1)</f>
        <v>2</v>
      </c>
      <c r="R1137" s="35" t="s">
        <v>441</v>
      </c>
      <c r="S1137" s="35" t="str">
        <f>MID(Tabla1[[#This Row],[Aplicación]],6,2)</f>
        <v>06</v>
      </c>
      <c r="T1137" s="35" t="str">
        <f>VLOOKUP(Tabla1[[#This Row],[AREA]],Hoja1!A:B,2,FALSE)</f>
        <v>06. Educación, infancia, juventud e igualdad</v>
      </c>
      <c r="U1137" s="35" t="str">
        <f>MID(Tabla1[[#This Row],[Aplicación]],9,4)</f>
        <v>2315</v>
      </c>
      <c r="V1137" s="35" t="str">
        <f>VLOOKUP(Tabla1[[#This Row],[PROGRAMA]],Hoja1!A:B,2,FALSE)</f>
        <v>2315. Políticas de Igualdad e infancia</v>
      </c>
      <c r="W1137" s="35" t="str">
        <f>MID(Tabla1[[#This Row],[Aplicación]],14,2)</f>
        <v>21</v>
      </c>
      <c r="X1137" s="35" t="str">
        <f>MID(Tabla1[[#This Row],[Aplicación]],14,6)</f>
        <v>213</v>
      </c>
    </row>
    <row r="1138" spans="1:24" x14ac:dyDescent="0.25">
      <c r="A1138" s="49">
        <v>220209000680</v>
      </c>
      <c r="B1138" s="50" t="s">
        <v>9</v>
      </c>
      <c r="C1138" s="57">
        <v>44562</v>
      </c>
      <c r="D1138" s="49">
        <v>22022000234</v>
      </c>
      <c r="E1138" s="50" t="s">
        <v>1910</v>
      </c>
      <c r="F1138" s="58">
        <v>771.38</v>
      </c>
      <c r="G1138" s="50" t="s">
        <v>101</v>
      </c>
      <c r="H1138" s="50" t="s">
        <v>712</v>
      </c>
      <c r="I1138" s="49" t="s">
        <v>107</v>
      </c>
      <c r="J1138" s="50" t="s">
        <v>109</v>
      </c>
      <c r="K1138" s="50" t="s">
        <v>109</v>
      </c>
      <c r="L1138" s="50" t="s">
        <v>12</v>
      </c>
      <c r="M1138" s="50" t="s">
        <v>13</v>
      </c>
      <c r="N1138" s="50" t="s">
        <v>14</v>
      </c>
      <c r="O1138" s="48" t="s">
        <v>620</v>
      </c>
      <c r="P1138" s="45" t="s">
        <v>453</v>
      </c>
      <c r="Q1138" s="35" t="str">
        <f>MID(Tabla1[[#This Row],[Aplicación]],14,1)</f>
        <v>2</v>
      </c>
      <c r="R1138" s="35" t="s">
        <v>441</v>
      </c>
      <c r="S1138" s="35" t="str">
        <f>MID(Tabla1[[#This Row],[Aplicación]],6,2)</f>
        <v>06</v>
      </c>
      <c r="T1138" s="35" t="str">
        <f>VLOOKUP(Tabla1[[#This Row],[AREA]],Hoja1!A:B,2,FALSE)</f>
        <v>06. Educación, infancia, juventud e igualdad</v>
      </c>
      <c r="U1138" s="35" t="str">
        <f>MID(Tabla1[[#This Row],[Aplicación]],9,4)</f>
        <v>3261</v>
      </c>
      <c r="V1138" s="35" t="str">
        <f>VLOOKUP(Tabla1[[#This Row],[PROGRAMA]],Hoja1!A:B,2,FALSE)</f>
        <v>3261. Servicios complementarios de educación</v>
      </c>
      <c r="W1138" s="35" t="str">
        <f>MID(Tabla1[[#This Row],[Aplicación]],14,2)</f>
        <v>21</v>
      </c>
      <c r="X1138" s="35" t="str">
        <f>MID(Tabla1[[#This Row],[Aplicación]],14,6)</f>
        <v>213</v>
      </c>
    </row>
    <row r="1139" spans="1:24" x14ac:dyDescent="0.25">
      <c r="A1139" s="49">
        <v>220220012894</v>
      </c>
      <c r="B1139" s="50" t="s">
        <v>9</v>
      </c>
      <c r="C1139" s="57">
        <v>44648</v>
      </c>
      <c r="D1139" s="49">
        <v>22022002974</v>
      </c>
      <c r="E1139" s="50" t="s">
        <v>1719</v>
      </c>
      <c r="F1139" s="58">
        <v>340.38</v>
      </c>
      <c r="G1139" s="50" t="s">
        <v>481</v>
      </c>
      <c r="H1139" s="50" t="s">
        <v>2573</v>
      </c>
      <c r="I1139" s="49" t="s">
        <v>107</v>
      </c>
      <c r="J1139" s="50" t="s">
        <v>109</v>
      </c>
      <c r="K1139" s="50" t="s">
        <v>109</v>
      </c>
      <c r="L1139" s="50" t="s">
        <v>15</v>
      </c>
      <c r="M1139" s="50" t="s">
        <v>10</v>
      </c>
      <c r="N1139" s="50" t="s">
        <v>11</v>
      </c>
      <c r="O1139" s="48" t="s">
        <v>632</v>
      </c>
      <c r="P1139" s="45" t="s">
        <v>453</v>
      </c>
      <c r="Q1139" s="35" t="str">
        <f>MID(Tabla1[[#This Row],[Aplicación]],14,1)</f>
        <v>2</v>
      </c>
      <c r="R1139" s="35" t="s">
        <v>441</v>
      </c>
      <c r="S1139" s="35" t="str">
        <f>MID(Tabla1[[#This Row],[Aplicación]],6,2)</f>
        <v>06</v>
      </c>
      <c r="T1139" s="35" t="str">
        <f>VLOOKUP(Tabla1[[#This Row],[AREA]],Hoja1!A:B,2,FALSE)</f>
        <v>06. Educación, infancia, juventud e igualdad</v>
      </c>
      <c r="U1139" s="35" t="str">
        <f>MID(Tabla1[[#This Row],[Aplicación]],9,4)</f>
        <v>3231</v>
      </c>
      <c r="V1139" s="35" t="str">
        <f>VLOOKUP(Tabla1[[#This Row],[PROGRAMA]],Hoja1!A:B,2,FALSE)</f>
        <v>3231. Escuelas infantiles</v>
      </c>
      <c r="W1139" s="35" t="str">
        <f>MID(Tabla1[[#This Row],[Aplicación]],14,2)</f>
        <v>21</v>
      </c>
      <c r="X1139" s="35" t="str">
        <f>MID(Tabla1[[#This Row],[Aplicación]],14,6)</f>
        <v>212</v>
      </c>
    </row>
    <row r="1140" spans="1:24" x14ac:dyDescent="0.25">
      <c r="A1140" s="49">
        <v>220220001723</v>
      </c>
      <c r="B1140" s="50" t="s">
        <v>26</v>
      </c>
      <c r="C1140" s="57">
        <v>44588</v>
      </c>
      <c r="D1140" s="49">
        <v>22022001495</v>
      </c>
      <c r="E1140" s="50" t="s">
        <v>1911</v>
      </c>
      <c r="F1140" s="58">
        <v>514.26</v>
      </c>
      <c r="G1140" s="50" t="s">
        <v>101</v>
      </c>
      <c r="H1140" s="50" t="s">
        <v>2574</v>
      </c>
      <c r="I1140" s="49" t="s">
        <v>197</v>
      </c>
      <c r="J1140" s="50" t="s">
        <v>109</v>
      </c>
      <c r="K1140" s="50" t="s">
        <v>109</v>
      </c>
      <c r="L1140" s="50" t="s">
        <v>12</v>
      </c>
      <c r="M1140" s="50" t="s">
        <v>13</v>
      </c>
      <c r="N1140" s="50" t="s">
        <v>14</v>
      </c>
      <c r="O1140" s="48" t="s">
        <v>620</v>
      </c>
      <c r="P1140" s="45" t="s">
        <v>453</v>
      </c>
      <c r="Q1140" s="35" t="str">
        <f>MID(Tabla1[[#This Row],[Aplicación]],14,1)</f>
        <v>2</v>
      </c>
      <c r="R1140" s="35" t="s">
        <v>441</v>
      </c>
      <c r="S1140" s="35" t="str">
        <f>MID(Tabla1[[#This Row],[Aplicación]],6,2)</f>
        <v>06</v>
      </c>
      <c r="T1140" s="35" t="str">
        <f>VLOOKUP(Tabla1[[#This Row],[AREA]],Hoja1!A:B,2,FALSE)</f>
        <v>06. Educación, infancia, juventud e igualdad</v>
      </c>
      <c r="U1140" s="35" t="str">
        <f>MID(Tabla1[[#This Row],[Aplicación]],9,4)</f>
        <v>2314</v>
      </c>
      <c r="V1140" s="35" t="str">
        <f>VLOOKUP(Tabla1[[#This Row],[PROGRAMA]],Hoja1!A:B,2,FALSE)</f>
        <v>2314. Centro de programas juveniles</v>
      </c>
      <c r="W1140" s="35" t="str">
        <f>MID(Tabla1[[#This Row],[Aplicación]],14,2)</f>
        <v>21</v>
      </c>
      <c r="X1140" s="35" t="str">
        <f>MID(Tabla1[[#This Row],[Aplicación]],14,6)</f>
        <v>213</v>
      </c>
    </row>
    <row r="1141" spans="1:24" x14ac:dyDescent="0.25">
      <c r="A1141" s="49">
        <v>220219000204</v>
      </c>
      <c r="B1141" s="50" t="s">
        <v>9</v>
      </c>
      <c r="C1141" s="57">
        <v>44562</v>
      </c>
      <c r="D1141" s="49">
        <v>22022000405</v>
      </c>
      <c r="E1141" s="50" t="s">
        <v>2575</v>
      </c>
      <c r="F1141" s="58">
        <v>1700</v>
      </c>
      <c r="G1141" s="50" t="s">
        <v>35</v>
      </c>
      <c r="H1141" s="50" t="s">
        <v>2576</v>
      </c>
      <c r="I1141" s="49" t="s">
        <v>107</v>
      </c>
      <c r="J1141" s="50" t="s">
        <v>128</v>
      </c>
      <c r="K1141" s="50" t="s">
        <v>128</v>
      </c>
      <c r="L1141" s="50" t="s">
        <v>15</v>
      </c>
      <c r="M1141" s="50" t="s">
        <v>13</v>
      </c>
      <c r="N1141" s="50" t="s">
        <v>14</v>
      </c>
      <c r="O1141" s="48" t="s">
        <v>620</v>
      </c>
      <c r="P1141" s="45" t="s">
        <v>453</v>
      </c>
      <c r="Q1141" s="35" t="str">
        <f>MID(Tabla1[[#This Row],[Aplicación]],14,1)</f>
        <v>2</v>
      </c>
      <c r="R1141" s="35" t="s">
        <v>441</v>
      </c>
      <c r="S1141" s="35" t="str">
        <f>MID(Tabla1[[#This Row],[Aplicación]],6,2)</f>
        <v>05</v>
      </c>
      <c r="T1141" s="35" t="str">
        <f>VLOOKUP(Tabla1[[#This Row],[AREA]],Hoja1!A:B,2,FALSE)</f>
        <v>05. Innovación, desarrollo económico, empleo y comercio</v>
      </c>
      <c r="U1141" s="35" t="str">
        <f>MID(Tabla1[[#This Row],[Aplicación]],9,4)</f>
        <v>4312</v>
      </c>
      <c r="V1141" s="35" t="str">
        <f>VLOOKUP(Tabla1[[#This Row],[PROGRAMA]],Hoja1!A:B,2,FALSE)</f>
        <v>4312. Mercados, abastos y lonjas</v>
      </c>
      <c r="W1141" s="35" t="str">
        <f>MID(Tabla1[[#This Row],[Aplicación]],14,2)</f>
        <v>22</v>
      </c>
      <c r="X1141" s="35" t="str">
        <f>MID(Tabla1[[#This Row],[Aplicación]],14,6)</f>
        <v>22102</v>
      </c>
    </row>
    <row r="1142" spans="1:24" x14ac:dyDescent="0.25">
      <c r="A1142" s="49">
        <v>220220003207</v>
      </c>
      <c r="B1142" s="50" t="s">
        <v>26</v>
      </c>
      <c r="C1142" s="57">
        <v>44601</v>
      </c>
      <c r="D1142" s="49">
        <v>22022001951</v>
      </c>
      <c r="E1142" s="50" t="s">
        <v>1473</v>
      </c>
      <c r="F1142" s="58">
        <v>128.56</v>
      </c>
      <c r="G1142" s="50" t="s">
        <v>101</v>
      </c>
      <c r="H1142" s="50" t="s">
        <v>2577</v>
      </c>
      <c r="I1142" s="49" t="s">
        <v>197</v>
      </c>
      <c r="J1142" s="50" t="s">
        <v>109</v>
      </c>
      <c r="K1142" s="50" t="s">
        <v>109</v>
      </c>
      <c r="L1142" s="50" t="s">
        <v>12</v>
      </c>
      <c r="M1142" s="50" t="s">
        <v>13</v>
      </c>
      <c r="N1142" s="50" t="s">
        <v>14</v>
      </c>
      <c r="O1142" s="48" t="s">
        <v>620</v>
      </c>
      <c r="P1142" s="45" t="s">
        <v>453</v>
      </c>
      <c r="Q1142" s="35" t="str">
        <f>MID(Tabla1[[#This Row],[Aplicación]],14,1)</f>
        <v>2</v>
      </c>
      <c r="R1142" s="35" t="s">
        <v>441</v>
      </c>
      <c r="S1142" s="35" t="str">
        <f>MID(Tabla1[[#This Row],[Aplicación]],6,2)</f>
        <v>06</v>
      </c>
      <c r="T1142" s="35" t="str">
        <f>VLOOKUP(Tabla1[[#This Row],[AREA]],Hoja1!A:B,2,FALSE)</f>
        <v>06. Educación, infancia, juventud e igualdad</v>
      </c>
      <c r="U1142" s="35" t="str">
        <f>MID(Tabla1[[#This Row],[Aplicación]],9,4)</f>
        <v>2315</v>
      </c>
      <c r="V1142" s="35" t="str">
        <f>VLOOKUP(Tabla1[[#This Row],[PROGRAMA]],Hoja1!A:B,2,FALSE)</f>
        <v>2315. Políticas de Igualdad e infancia</v>
      </c>
      <c r="W1142" s="35" t="str">
        <f>MID(Tabla1[[#This Row],[Aplicación]],14,2)</f>
        <v>21</v>
      </c>
      <c r="X1142" s="35" t="str">
        <f>MID(Tabla1[[#This Row],[Aplicación]],14,6)</f>
        <v>213</v>
      </c>
    </row>
    <row r="1143" spans="1:24" x14ac:dyDescent="0.25">
      <c r="A1143" s="49">
        <v>220220005594</v>
      </c>
      <c r="B1143" s="50" t="s">
        <v>172</v>
      </c>
      <c r="C1143" s="57">
        <v>44614</v>
      </c>
      <c r="D1143" s="49">
        <v>22022001552</v>
      </c>
      <c r="E1143" s="50" t="s">
        <v>1975</v>
      </c>
      <c r="F1143" s="58">
        <v>3697.15</v>
      </c>
      <c r="G1143" s="50" t="s">
        <v>481</v>
      </c>
      <c r="H1143" s="50" t="s">
        <v>2578</v>
      </c>
      <c r="I1143" s="49" t="s">
        <v>173</v>
      </c>
      <c r="J1143" s="50" t="s">
        <v>109</v>
      </c>
      <c r="K1143" s="50" t="s">
        <v>109</v>
      </c>
      <c r="L1143" s="50" t="s">
        <v>15</v>
      </c>
      <c r="M1143" s="50" t="s">
        <v>13</v>
      </c>
      <c r="N1143" s="50" t="s">
        <v>14</v>
      </c>
      <c r="O1143" s="48" t="s">
        <v>631</v>
      </c>
      <c r="P1143" s="45" t="s">
        <v>453</v>
      </c>
      <c r="Q1143" s="35" t="str">
        <f>MID(Tabla1[[#This Row],[Aplicación]],14,1)</f>
        <v>2</v>
      </c>
      <c r="R1143" s="35" t="s">
        <v>441</v>
      </c>
      <c r="S1143" s="35" t="str">
        <f>MID(Tabla1[[#This Row],[Aplicación]],6,2)</f>
        <v>08</v>
      </c>
      <c r="T1143" s="35" t="str">
        <f>VLOOKUP(Tabla1[[#This Row],[AREA]],Hoja1!A:B,2,FALSE)</f>
        <v>08. Movilidad y espacio urbano</v>
      </c>
      <c r="U1143" s="35" t="str">
        <f>MID(Tabla1[[#This Row],[Aplicación]],9,4)</f>
        <v>1532</v>
      </c>
      <c r="V1143" s="35" t="str">
        <f>VLOOKUP(Tabla1[[#This Row],[PROGRAMA]],Hoja1!A:B,2,FALSE)</f>
        <v>1532. Pavimentación vias públicas y otros servicios urbanísticos</v>
      </c>
      <c r="W1143" s="35" t="str">
        <f>MID(Tabla1[[#This Row],[Aplicación]],14,2)</f>
        <v>21</v>
      </c>
      <c r="X1143" s="35" t="str">
        <f>MID(Tabla1[[#This Row],[Aplicación]],14,6)</f>
        <v>210</v>
      </c>
    </row>
    <row r="1144" spans="1:24" x14ac:dyDescent="0.25">
      <c r="A1144" s="49">
        <v>220220008637</v>
      </c>
      <c r="B1144" s="50" t="s">
        <v>9</v>
      </c>
      <c r="C1144" s="57">
        <v>44631</v>
      </c>
      <c r="D1144" s="49">
        <v>22022002761</v>
      </c>
      <c r="E1144" s="50" t="s">
        <v>2099</v>
      </c>
      <c r="F1144" s="58">
        <v>3000</v>
      </c>
      <c r="G1144" s="50" t="s">
        <v>119</v>
      </c>
      <c r="H1144" s="50" t="s">
        <v>2579</v>
      </c>
      <c r="I1144" s="49" t="s">
        <v>107</v>
      </c>
      <c r="J1144" s="50" t="s">
        <v>520</v>
      </c>
      <c r="K1144" s="50" t="s">
        <v>109</v>
      </c>
      <c r="L1144" s="50" t="s">
        <v>15</v>
      </c>
      <c r="M1144" s="50" t="s">
        <v>10</v>
      </c>
      <c r="N1144" s="50" t="s">
        <v>11</v>
      </c>
      <c r="O1144" s="48" t="s">
        <v>632</v>
      </c>
      <c r="P1144" s="45" t="s">
        <v>453</v>
      </c>
      <c r="Q1144" s="35" t="str">
        <f>MID(Tabla1[[#This Row],[Aplicación]],14,1)</f>
        <v>2</v>
      </c>
      <c r="R1144" s="35" t="s">
        <v>441</v>
      </c>
      <c r="S1144" s="35" t="str">
        <f>MID(Tabla1[[#This Row],[Aplicación]],6,2)</f>
        <v>11</v>
      </c>
      <c r="T1144" s="35" t="str">
        <f>VLOOKUP(Tabla1[[#This Row],[AREA]],Hoja1!A:B,2,FALSE)</f>
        <v>11. Salud pública y seguridad ciudadana</v>
      </c>
      <c r="U1144" s="35" t="str">
        <f>MID(Tabla1[[#This Row],[Aplicación]],9,4)</f>
        <v>1621</v>
      </c>
      <c r="V1144" s="35" t="str">
        <f>VLOOKUP(Tabla1[[#This Row],[PROGRAMA]],Hoja1!A:B,2,FALSE)</f>
        <v>1621. Servicio de limpieza</v>
      </c>
      <c r="W1144" s="35" t="str">
        <f>MID(Tabla1[[#This Row],[Aplicación]],14,2)</f>
        <v>22</v>
      </c>
      <c r="X1144" s="35" t="str">
        <f>MID(Tabla1[[#This Row],[Aplicación]],14,6)</f>
        <v>22104</v>
      </c>
    </row>
    <row r="1145" spans="1:24" x14ac:dyDescent="0.25">
      <c r="A1145" s="49">
        <v>220219000121</v>
      </c>
      <c r="B1145" s="50" t="s">
        <v>9</v>
      </c>
      <c r="C1145" s="57">
        <v>44562</v>
      </c>
      <c r="D1145" s="49">
        <v>22022000035</v>
      </c>
      <c r="E1145" s="50" t="s">
        <v>1625</v>
      </c>
      <c r="F1145" s="58">
        <v>147609.39000000001</v>
      </c>
      <c r="G1145" s="50" t="s">
        <v>487</v>
      </c>
      <c r="H1145" s="50" t="s">
        <v>2580</v>
      </c>
      <c r="I1145" s="49" t="s">
        <v>107</v>
      </c>
      <c r="J1145" s="50" t="s">
        <v>108</v>
      </c>
      <c r="K1145" s="50" t="s">
        <v>108</v>
      </c>
      <c r="L1145" s="55" t="s">
        <v>12</v>
      </c>
      <c r="M1145" s="55" t="s">
        <v>13</v>
      </c>
      <c r="N1145" s="55" t="s">
        <v>14</v>
      </c>
      <c r="O1145" s="48" t="s">
        <v>631</v>
      </c>
      <c r="P1145" s="45" t="s">
        <v>453</v>
      </c>
      <c r="Q1145" s="35" t="str">
        <f>MID(Tabla1[[#This Row],[Aplicación]],14,1)</f>
        <v>1</v>
      </c>
      <c r="R1145" s="35" t="s">
        <v>450</v>
      </c>
      <c r="S1145" s="35" t="str">
        <f>MID(Tabla1[[#This Row],[Aplicación]],6,2)</f>
        <v>04</v>
      </c>
      <c r="T1145" s="35" t="str">
        <f>VLOOKUP(Tabla1[[#This Row],[AREA]],Hoja1!A:B,2,FALSE)</f>
        <v>04. Planificación y recursos</v>
      </c>
      <c r="U1145" s="35" t="str">
        <f>MID(Tabla1[[#This Row],[Aplicación]],9,4)</f>
        <v>9202</v>
      </c>
      <c r="V1145" s="35" t="str">
        <f>VLOOKUP(Tabla1[[#This Row],[PROGRAMA]],Hoja1!A:B,2,FALSE)</f>
        <v>9202. Gestión de recursos humanos</v>
      </c>
      <c r="W1145" s="35" t="str">
        <f>MID(Tabla1[[#This Row],[Aplicación]],14,2)</f>
        <v>16</v>
      </c>
      <c r="X1145" s="35" t="str">
        <f>MID(Tabla1[[#This Row],[Aplicación]],14,6)</f>
        <v>16205</v>
      </c>
    </row>
    <row r="1146" spans="1:24" x14ac:dyDescent="0.25">
      <c r="A1146" s="49">
        <v>220220000135</v>
      </c>
      <c r="B1146" s="50" t="s">
        <v>9</v>
      </c>
      <c r="C1146" s="57">
        <v>44582</v>
      </c>
      <c r="D1146" s="49">
        <v>22022001499</v>
      </c>
      <c r="E1146" s="50" t="s">
        <v>1644</v>
      </c>
      <c r="F1146" s="58">
        <v>2500</v>
      </c>
      <c r="G1146" s="50" t="s">
        <v>95</v>
      </c>
      <c r="H1146" s="50" t="s">
        <v>2581</v>
      </c>
      <c r="I1146" s="49" t="s">
        <v>107</v>
      </c>
      <c r="J1146" s="50" t="s">
        <v>567</v>
      </c>
      <c r="K1146" s="50" t="s">
        <v>108</v>
      </c>
      <c r="L1146" s="50" t="s">
        <v>15</v>
      </c>
      <c r="M1146" s="50" t="s">
        <v>10</v>
      </c>
      <c r="N1146" s="50" t="s">
        <v>11</v>
      </c>
      <c r="O1146" s="48" t="s">
        <v>632</v>
      </c>
      <c r="P1146" s="45" t="s">
        <v>453</v>
      </c>
      <c r="Q1146" s="35" t="str">
        <f>MID(Tabla1[[#This Row],[Aplicación]],14,1)</f>
        <v>2</v>
      </c>
      <c r="R1146" s="35" t="s">
        <v>441</v>
      </c>
      <c r="S1146" s="35" t="str">
        <f>MID(Tabla1[[#This Row],[Aplicación]],6,2)</f>
        <v>11</v>
      </c>
      <c r="T1146" s="35" t="str">
        <f>VLOOKUP(Tabla1[[#This Row],[AREA]],Hoja1!A:B,2,FALSE)</f>
        <v>11. Salud pública y seguridad ciudadana</v>
      </c>
      <c r="U1146" s="35" t="str">
        <f>MID(Tabla1[[#This Row],[Aplicación]],9,4)</f>
        <v>1621</v>
      </c>
      <c r="V1146" s="35" t="str">
        <f>VLOOKUP(Tabla1[[#This Row],[PROGRAMA]],Hoja1!A:B,2,FALSE)</f>
        <v>1621. Servicio de limpieza</v>
      </c>
      <c r="W1146" s="35" t="str">
        <f>MID(Tabla1[[#This Row],[Aplicación]],14,2)</f>
        <v>21</v>
      </c>
      <c r="X1146" s="35" t="str">
        <f>MID(Tabla1[[#This Row],[Aplicación]],14,6)</f>
        <v>214</v>
      </c>
    </row>
    <row r="1147" spans="1:24" x14ac:dyDescent="0.25">
      <c r="A1147" s="49">
        <v>220220007933</v>
      </c>
      <c r="B1147" s="50" t="s">
        <v>9</v>
      </c>
      <c r="C1147" s="57">
        <v>44627</v>
      </c>
      <c r="D1147" s="49">
        <v>22022002616</v>
      </c>
      <c r="E1147" s="50" t="s">
        <v>1467</v>
      </c>
      <c r="F1147" s="58">
        <v>5311.9</v>
      </c>
      <c r="G1147" s="50" t="s">
        <v>2582</v>
      </c>
      <c r="H1147" s="50" t="s">
        <v>2583</v>
      </c>
      <c r="I1147" s="49" t="s">
        <v>107</v>
      </c>
      <c r="J1147" s="50" t="s">
        <v>109</v>
      </c>
      <c r="K1147" s="50" t="s">
        <v>109</v>
      </c>
      <c r="L1147" s="50" t="s">
        <v>12</v>
      </c>
      <c r="M1147" s="50" t="s">
        <v>10</v>
      </c>
      <c r="N1147" s="50" t="s">
        <v>11</v>
      </c>
      <c r="O1147" s="48" t="s">
        <v>632</v>
      </c>
      <c r="P1147" s="45" t="s">
        <v>453</v>
      </c>
      <c r="Q1147" s="35" t="str">
        <f>MID(Tabla1[[#This Row],[Aplicación]],14,1)</f>
        <v>2</v>
      </c>
      <c r="R1147" s="35" t="s">
        <v>441</v>
      </c>
      <c r="S1147" s="35" t="str">
        <f>MID(Tabla1[[#This Row],[Aplicación]],6,2)</f>
        <v>09</v>
      </c>
      <c r="T1147" s="35" t="str">
        <f>VLOOKUP(Tabla1[[#This Row],[AREA]],Hoja1!A:B,2,FALSE)</f>
        <v>09. Cultura y turismo</v>
      </c>
      <c r="U1147" s="35" t="str">
        <f>MID(Tabla1[[#This Row],[Aplicación]],9,4)</f>
        <v>3341</v>
      </c>
      <c r="V1147" s="35" t="str">
        <f>VLOOKUP(Tabla1[[#This Row],[PROGRAMA]],Hoja1!A:B,2,FALSE)</f>
        <v>3341. Coordinación de políticas culturales</v>
      </c>
      <c r="W1147" s="35" t="str">
        <f>MID(Tabla1[[#This Row],[Aplicación]],14,2)</f>
        <v>22</v>
      </c>
      <c r="X1147" s="35" t="str">
        <f>MID(Tabla1[[#This Row],[Aplicación]],14,6)</f>
        <v>22609</v>
      </c>
    </row>
    <row r="1148" spans="1:24" x14ac:dyDescent="0.25">
      <c r="A1148" s="49">
        <v>220220009690</v>
      </c>
      <c r="B1148" s="50" t="s">
        <v>9</v>
      </c>
      <c r="C1148" s="57">
        <v>44636</v>
      </c>
      <c r="D1148" s="49">
        <v>22022002736</v>
      </c>
      <c r="E1148" s="50" t="s">
        <v>1368</v>
      </c>
      <c r="F1148" s="58">
        <v>109914.98</v>
      </c>
      <c r="G1148" s="50" t="s">
        <v>890</v>
      </c>
      <c r="H1148" s="50" t="s">
        <v>2584</v>
      </c>
      <c r="I1148" s="49" t="s">
        <v>107</v>
      </c>
      <c r="J1148" s="50" t="s">
        <v>109</v>
      </c>
      <c r="K1148" s="50" t="s">
        <v>109</v>
      </c>
      <c r="L1148" s="50" t="s">
        <v>25</v>
      </c>
      <c r="M1148" s="50" t="s">
        <v>13</v>
      </c>
      <c r="N1148" s="50" t="s">
        <v>16</v>
      </c>
      <c r="O1148" s="48" t="s">
        <v>620</v>
      </c>
      <c r="P1148" s="45" t="s">
        <v>453</v>
      </c>
      <c r="Q1148" s="35" t="str">
        <f>MID(Tabla1[[#This Row],[Aplicación]],14,1)</f>
        <v>6</v>
      </c>
      <c r="R1148" s="35" t="s">
        <v>442</v>
      </c>
      <c r="S1148" s="35" t="str">
        <f>MID(Tabla1[[#This Row],[Aplicación]],6,2)</f>
        <v>08</v>
      </c>
      <c r="T1148" s="35" t="str">
        <f>VLOOKUP(Tabla1[[#This Row],[AREA]],Hoja1!A:B,2,FALSE)</f>
        <v>08. Movilidad y espacio urbano</v>
      </c>
      <c r="U1148" s="35" t="str">
        <f>MID(Tabla1[[#This Row],[Aplicación]],9,4)</f>
        <v>1532</v>
      </c>
      <c r="V1148" s="35" t="str">
        <f>VLOOKUP(Tabla1[[#This Row],[PROGRAMA]],Hoja1!A:B,2,FALSE)</f>
        <v>1532. Pavimentación vias públicas y otros servicios urbanísticos</v>
      </c>
      <c r="W1148" s="35" t="str">
        <f>MID(Tabla1[[#This Row],[Aplicación]],14,2)</f>
        <v>61</v>
      </c>
      <c r="X1148" s="35" t="str">
        <f>MID(Tabla1[[#This Row],[Aplicación]],14,6)</f>
        <v>619</v>
      </c>
    </row>
    <row r="1149" spans="1:24" x14ac:dyDescent="0.25">
      <c r="A1149" s="49">
        <v>220209000466</v>
      </c>
      <c r="B1149" s="50" t="s">
        <v>9</v>
      </c>
      <c r="C1149" s="57">
        <v>44562</v>
      </c>
      <c r="D1149" s="49">
        <v>22022000198</v>
      </c>
      <c r="E1149" s="50" t="s">
        <v>1429</v>
      </c>
      <c r="F1149" s="58">
        <v>123080.85</v>
      </c>
      <c r="G1149" s="50" t="s">
        <v>110</v>
      </c>
      <c r="H1149" s="50" t="s">
        <v>717</v>
      </c>
      <c r="I1149" s="49" t="s">
        <v>107</v>
      </c>
      <c r="J1149" s="50" t="s">
        <v>108</v>
      </c>
      <c r="K1149" s="50" t="s">
        <v>108</v>
      </c>
      <c r="L1149" s="50" t="s">
        <v>12</v>
      </c>
      <c r="M1149" s="50" t="s">
        <v>13</v>
      </c>
      <c r="N1149" s="50" t="s">
        <v>14</v>
      </c>
      <c r="O1149" s="48" t="s">
        <v>620</v>
      </c>
      <c r="P1149" s="45" t="s">
        <v>453</v>
      </c>
      <c r="Q1149" s="35" t="str">
        <f>MID(Tabla1[[#This Row],[Aplicación]],14,1)</f>
        <v>2</v>
      </c>
      <c r="R1149" s="35" t="s">
        <v>441</v>
      </c>
      <c r="S1149" s="35" t="str">
        <f>MID(Tabla1[[#This Row],[Aplicación]],6,2)</f>
        <v>06</v>
      </c>
      <c r="T1149" s="35" t="str">
        <f>VLOOKUP(Tabla1[[#This Row],[AREA]],Hoja1!A:B,2,FALSE)</f>
        <v>06. Educación, infancia, juventud e igualdad</v>
      </c>
      <c r="U1149" s="35" t="str">
        <f>MID(Tabla1[[#This Row],[Aplicación]],9,4)</f>
        <v>3231</v>
      </c>
      <c r="V1149" s="35" t="str">
        <f>VLOOKUP(Tabla1[[#This Row],[PROGRAMA]],Hoja1!A:B,2,FALSE)</f>
        <v>3231. Escuelas infantiles</v>
      </c>
      <c r="W1149" s="35" t="str">
        <f>MID(Tabla1[[#This Row],[Aplicación]],14,2)</f>
        <v>22</v>
      </c>
      <c r="X1149" s="35" t="str">
        <f>MID(Tabla1[[#This Row],[Aplicación]],14,6)</f>
        <v>22799</v>
      </c>
    </row>
    <row r="1150" spans="1:24" x14ac:dyDescent="0.25">
      <c r="A1150" s="49">
        <v>220209000467</v>
      </c>
      <c r="B1150" s="50" t="s">
        <v>9</v>
      </c>
      <c r="C1150" s="57">
        <v>44562</v>
      </c>
      <c r="D1150" s="49">
        <v>22022000199</v>
      </c>
      <c r="E1150" s="50" t="s">
        <v>1429</v>
      </c>
      <c r="F1150" s="58">
        <v>116326.2</v>
      </c>
      <c r="G1150" s="50" t="s">
        <v>110</v>
      </c>
      <c r="H1150" s="50" t="s">
        <v>718</v>
      </c>
      <c r="I1150" s="49" t="s">
        <v>107</v>
      </c>
      <c r="J1150" s="50" t="s">
        <v>108</v>
      </c>
      <c r="K1150" s="50" t="s">
        <v>108</v>
      </c>
      <c r="L1150" s="50" t="s">
        <v>12</v>
      </c>
      <c r="M1150" s="50" t="s">
        <v>13</v>
      </c>
      <c r="N1150" s="50" t="s">
        <v>14</v>
      </c>
      <c r="O1150" s="48" t="s">
        <v>620</v>
      </c>
      <c r="P1150" s="45" t="s">
        <v>453</v>
      </c>
      <c r="Q1150" s="35" t="str">
        <f>MID(Tabla1[[#This Row],[Aplicación]],14,1)</f>
        <v>2</v>
      </c>
      <c r="R1150" s="35" t="s">
        <v>441</v>
      </c>
      <c r="S1150" s="35" t="str">
        <f>MID(Tabla1[[#This Row],[Aplicación]],6,2)</f>
        <v>06</v>
      </c>
      <c r="T1150" s="35" t="str">
        <f>VLOOKUP(Tabla1[[#This Row],[AREA]],Hoja1!A:B,2,FALSE)</f>
        <v>06. Educación, infancia, juventud e igualdad</v>
      </c>
      <c r="U1150" s="35" t="str">
        <f>MID(Tabla1[[#This Row],[Aplicación]],9,4)</f>
        <v>3231</v>
      </c>
      <c r="V1150" s="35" t="str">
        <f>VLOOKUP(Tabla1[[#This Row],[PROGRAMA]],Hoja1!A:B,2,FALSE)</f>
        <v>3231. Escuelas infantiles</v>
      </c>
      <c r="W1150" s="35" t="str">
        <f>MID(Tabla1[[#This Row],[Aplicación]],14,2)</f>
        <v>22</v>
      </c>
      <c r="X1150" s="35" t="str">
        <f>MID(Tabla1[[#This Row],[Aplicación]],14,6)</f>
        <v>22799</v>
      </c>
    </row>
    <row r="1151" spans="1:24" x14ac:dyDescent="0.25">
      <c r="A1151" s="49">
        <v>220220006698</v>
      </c>
      <c r="B1151" s="50" t="s">
        <v>9</v>
      </c>
      <c r="C1151" s="57">
        <v>44617</v>
      </c>
      <c r="D1151" s="49">
        <v>22022002528</v>
      </c>
      <c r="E1151" s="50" t="s">
        <v>2585</v>
      </c>
      <c r="F1151" s="58">
        <v>2843.5</v>
      </c>
      <c r="G1151" s="50" t="s">
        <v>803</v>
      </c>
      <c r="H1151" s="50" t="s">
        <v>2586</v>
      </c>
      <c r="I1151" s="49" t="s">
        <v>107</v>
      </c>
      <c r="J1151" s="50" t="s">
        <v>109</v>
      </c>
      <c r="K1151" s="50" t="s">
        <v>109</v>
      </c>
      <c r="L1151" s="50" t="s">
        <v>12</v>
      </c>
      <c r="M1151" s="50" t="s">
        <v>10</v>
      </c>
      <c r="N1151" s="50" t="s">
        <v>11</v>
      </c>
      <c r="O1151" s="48" t="s">
        <v>632</v>
      </c>
      <c r="P1151" s="45" t="s">
        <v>453</v>
      </c>
      <c r="Q1151" s="35" t="str">
        <f>MID(Tabla1[[#This Row],[Aplicación]],14,1)</f>
        <v>2</v>
      </c>
      <c r="R1151" s="35" t="s">
        <v>441</v>
      </c>
      <c r="S1151" s="35" t="str">
        <f>MID(Tabla1[[#This Row],[Aplicación]],6,2)</f>
        <v>11</v>
      </c>
      <c r="T1151" s="35" t="str">
        <f>VLOOKUP(Tabla1[[#This Row],[AREA]],Hoja1!A:B,2,FALSE)</f>
        <v>11. Salud pública y seguridad ciudadana</v>
      </c>
      <c r="U1151" s="35" t="str">
        <f>MID(Tabla1[[#This Row],[Aplicación]],9,4)</f>
        <v>1321</v>
      </c>
      <c r="V1151" s="35" t="str">
        <f>VLOOKUP(Tabla1[[#This Row],[PROGRAMA]],Hoja1!A:B,2,FALSE)</f>
        <v>1321. Policía municipal</v>
      </c>
      <c r="W1151" s="35" t="str">
        <f>MID(Tabla1[[#This Row],[Aplicación]],14,2)</f>
        <v>21</v>
      </c>
      <c r="X1151" s="35" t="str">
        <f>MID(Tabla1[[#This Row],[Aplicación]],14,6)</f>
        <v>212</v>
      </c>
    </row>
    <row r="1152" spans="1:24" x14ac:dyDescent="0.25">
      <c r="A1152" s="49">
        <v>220220000115</v>
      </c>
      <c r="B1152" s="50" t="s">
        <v>9</v>
      </c>
      <c r="C1152" s="57">
        <v>44581</v>
      </c>
      <c r="D1152" s="49">
        <v>22022001075</v>
      </c>
      <c r="E1152" s="50" t="s">
        <v>1611</v>
      </c>
      <c r="F1152" s="58">
        <v>89</v>
      </c>
      <c r="G1152" s="50" t="s">
        <v>773</v>
      </c>
      <c r="H1152" s="50" t="s">
        <v>2587</v>
      </c>
      <c r="I1152" s="49" t="s">
        <v>107</v>
      </c>
      <c r="J1152" s="50" t="s">
        <v>580</v>
      </c>
      <c r="K1152" s="50" t="s">
        <v>108</v>
      </c>
      <c r="L1152" s="50" t="s">
        <v>12</v>
      </c>
      <c r="M1152" s="50" t="s">
        <v>10</v>
      </c>
      <c r="N1152" s="50" t="s">
        <v>11</v>
      </c>
      <c r="O1152" s="48" t="s">
        <v>632</v>
      </c>
      <c r="P1152" s="45" t="s">
        <v>453</v>
      </c>
      <c r="Q1152" s="35" t="str">
        <f>MID(Tabla1[[#This Row],[Aplicación]],14,1)</f>
        <v>2</v>
      </c>
      <c r="R1152" s="35" t="s">
        <v>441</v>
      </c>
      <c r="S1152" s="35" t="str">
        <f>MID(Tabla1[[#This Row],[Aplicación]],6,2)</f>
        <v>01</v>
      </c>
      <c r="T1152" s="35" t="str">
        <f>VLOOKUP(Tabla1[[#This Row],[AREA]],Hoja1!A:B,2,FALSE)</f>
        <v>01. Alcaldía</v>
      </c>
      <c r="U1152" s="35" t="str">
        <f>MID(Tabla1[[#This Row],[Aplicación]],9,4)</f>
        <v>9207</v>
      </c>
      <c r="V1152" s="35" t="str">
        <f>VLOOKUP(Tabla1[[#This Row],[PROGRAMA]],Hoja1!A:B,2,FALSE)</f>
        <v>9207. Gobierno y relaciones</v>
      </c>
      <c r="W1152" s="35" t="str">
        <f>MID(Tabla1[[#This Row],[Aplicación]],14,2)</f>
        <v>22</v>
      </c>
      <c r="X1152" s="35" t="str">
        <f>MID(Tabla1[[#This Row],[Aplicación]],14,6)</f>
        <v>22001</v>
      </c>
    </row>
    <row r="1153" spans="1:24" x14ac:dyDescent="0.25">
      <c r="A1153" s="49">
        <v>220220003527</v>
      </c>
      <c r="B1153" s="50" t="s">
        <v>9</v>
      </c>
      <c r="C1153" s="57">
        <v>44606</v>
      </c>
      <c r="D1153" s="49">
        <v>22022002117</v>
      </c>
      <c r="E1153" s="50" t="s">
        <v>2588</v>
      </c>
      <c r="F1153" s="58">
        <v>3500</v>
      </c>
      <c r="G1153" s="50" t="s">
        <v>99</v>
      </c>
      <c r="H1153" s="50" t="s">
        <v>2589</v>
      </c>
      <c r="I1153" s="49" t="s">
        <v>107</v>
      </c>
      <c r="J1153" s="50" t="s">
        <v>552</v>
      </c>
      <c r="K1153" s="50" t="s">
        <v>109</v>
      </c>
      <c r="L1153" s="50" t="s">
        <v>12</v>
      </c>
      <c r="M1153" s="50" t="s">
        <v>10</v>
      </c>
      <c r="N1153" s="50" t="s">
        <v>11</v>
      </c>
      <c r="O1153" s="48" t="s">
        <v>632</v>
      </c>
      <c r="P1153" s="45" t="s">
        <v>453</v>
      </c>
      <c r="Q1153" s="35" t="str">
        <f>MID(Tabla1[[#This Row],[Aplicación]],14,1)</f>
        <v>2</v>
      </c>
      <c r="R1153" s="35" t="s">
        <v>441</v>
      </c>
      <c r="S1153" s="35" t="str">
        <f>MID(Tabla1[[#This Row],[Aplicación]],6,2)</f>
        <v>04</v>
      </c>
      <c r="T1153" s="35" t="str">
        <f>VLOOKUP(Tabla1[[#This Row],[AREA]],Hoja1!A:B,2,FALSE)</f>
        <v>04. Planificación y recursos</v>
      </c>
      <c r="U1153" s="35" t="str">
        <f>MID(Tabla1[[#This Row],[Aplicación]],9,4)</f>
        <v>3121</v>
      </c>
      <c r="V1153" s="35" t="str">
        <f>VLOOKUP(Tabla1[[#This Row],[PROGRAMA]],Hoja1!A:B,2,FALSE)</f>
        <v>3121. Prevención y salud laboral</v>
      </c>
      <c r="W1153" s="35" t="str">
        <f>MID(Tabla1[[#This Row],[Aplicación]],14,2)</f>
        <v>22</v>
      </c>
      <c r="X1153" s="35" t="str">
        <f>MID(Tabla1[[#This Row],[Aplicación]],14,6)</f>
        <v>22799</v>
      </c>
    </row>
    <row r="1154" spans="1:24" x14ac:dyDescent="0.25">
      <c r="A1154" s="49">
        <v>220220000275</v>
      </c>
      <c r="B1154" s="50" t="s">
        <v>26</v>
      </c>
      <c r="C1154" s="57">
        <v>44582</v>
      </c>
      <c r="D1154" s="49">
        <v>22022000899</v>
      </c>
      <c r="E1154" s="50" t="s">
        <v>2588</v>
      </c>
      <c r="F1154" s="58">
        <v>104.67</v>
      </c>
      <c r="G1154" s="50" t="s">
        <v>99</v>
      </c>
      <c r="H1154" s="50" t="s">
        <v>2590</v>
      </c>
      <c r="I1154" s="49" t="s">
        <v>197</v>
      </c>
      <c r="J1154" s="50" t="s">
        <v>552</v>
      </c>
      <c r="K1154" s="50" t="s">
        <v>109</v>
      </c>
      <c r="L1154" s="50" t="s">
        <v>12</v>
      </c>
      <c r="M1154" s="50" t="s">
        <v>10</v>
      </c>
      <c r="N1154" s="50" t="s">
        <v>11</v>
      </c>
      <c r="O1154" s="48" t="s">
        <v>632</v>
      </c>
      <c r="P1154" s="45" t="s">
        <v>453</v>
      </c>
      <c r="Q1154" s="35" t="str">
        <f>MID(Tabla1[[#This Row],[Aplicación]],14,1)</f>
        <v>2</v>
      </c>
      <c r="R1154" s="35" t="s">
        <v>441</v>
      </c>
      <c r="S1154" s="35" t="str">
        <f>MID(Tabla1[[#This Row],[Aplicación]],6,2)</f>
        <v>04</v>
      </c>
      <c r="T1154" s="35" t="str">
        <f>VLOOKUP(Tabla1[[#This Row],[AREA]],Hoja1!A:B,2,FALSE)</f>
        <v>04. Planificación y recursos</v>
      </c>
      <c r="U1154" s="35" t="str">
        <f>MID(Tabla1[[#This Row],[Aplicación]],9,4)</f>
        <v>3121</v>
      </c>
      <c r="V1154" s="35" t="str">
        <f>VLOOKUP(Tabla1[[#This Row],[PROGRAMA]],Hoja1!A:B,2,FALSE)</f>
        <v>3121. Prevención y salud laboral</v>
      </c>
      <c r="W1154" s="35" t="str">
        <f>MID(Tabla1[[#This Row],[Aplicación]],14,2)</f>
        <v>22</v>
      </c>
      <c r="X1154" s="35" t="str">
        <f>MID(Tabla1[[#This Row],[Aplicación]],14,6)</f>
        <v>22799</v>
      </c>
    </row>
    <row r="1155" spans="1:24" x14ac:dyDescent="0.25">
      <c r="A1155" s="49">
        <v>220220007949</v>
      </c>
      <c r="B1155" s="50" t="s">
        <v>9</v>
      </c>
      <c r="C1155" s="57">
        <v>44628</v>
      </c>
      <c r="D1155" s="49">
        <v>22022002658</v>
      </c>
      <c r="E1155" s="50" t="s">
        <v>1820</v>
      </c>
      <c r="F1155" s="58">
        <v>2000</v>
      </c>
      <c r="G1155" s="50" t="s">
        <v>466</v>
      </c>
      <c r="H1155" s="50" t="s">
        <v>2591</v>
      </c>
      <c r="I1155" s="49" t="s">
        <v>107</v>
      </c>
      <c r="J1155" s="50" t="s">
        <v>520</v>
      </c>
      <c r="K1155" s="50" t="s">
        <v>109</v>
      </c>
      <c r="L1155" s="50" t="s">
        <v>12</v>
      </c>
      <c r="M1155" s="50" t="s">
        <v>10</v>
      </c>
      <c r="N1155" s="50" t="s">
        <v>11</v>
      </c>
      <c r="O1155" s="48" t="s">
        <v>632</v>
      </c>
      <c r="P1155" s="45" t="s">
        <v>453</v>
      </c>
      <c r="Q1155" s="35" t="str">
        <f>MID(Tabla1[[#This Row],[Aplicación]],14,1)</f>
        <v>2</v>
      </c>
      <c r="R1155" s="35" t="s">
        <v>441</v>
      </c>
      <c r="S1155" s="35" t="str">
        <f>MID(Tabla1[[#This Row],[Aplicación]],6,2)</f>
        <v>11</v>
      </c>
      <c r="T1155" s="35" t="str">
        <f>VLOOKUP(Tabla1[[#This Row],[AREA]],Hoja1!A:B,2,FALSE)</f>
        <v>11. Salud pública y seguridad ciudadana</v>
      </c>
      <c r="U1155" s="35" t="str">
        <f>MID(Tabla1[[#This Row],[Aplicación]],9,4)</f>
        <v>1631</v>
      </c>
      <c r="V1155" s="35" t="str">
        <f>VLOOKUP(Tabla1[[#This Row],[PROGRAMA]],Hoja1!A:B,2,FALSE)</f>
        <v>1631. Limpieza viaria</v>
      </c>
      <c r="W1155" s="35" t="str">
        <f>MID(Tabla1[[#This Row],[Aplicación]],14,2)</f>
        <v>20</v>
      </c>
      <c r="X1155" s="35" t="str">
        <f>MID(Tabla1[[#This Row],[Aplicación]],14,6)</f>
        <v>204</v>
      </c>
    </row>
    <row r="1156" spans="1:24" x14ac:dyDescent="0.25">
      <c r="A1156" s="49">
        <v>220220010318</v>
      </c>
      <c r="B1156" s="50" t="s">
        <v>9</v>
      </c>
      <c r="C1156" s="57">
        <v>44641</v>
      </c>
      <c r="D1156" s="49">
        <v>22022002892</v>
      </c>
      <c r="E1156" s="50" t="s">
        <v>1436</v>
      </c>
      <c r="F1156" s="58">
        <v>484</v>
      </c>
      <c r="G1156" s="50" t="s">
        <v>1286</v>
      </c>
      <c r="H1156" s="50" t="s">
        <v>2592</v>
      </c>
      <c r="I1156" s="49" t="s">
        <v>107</v>
      </c>
      <c r="J1156" s="50" t="s">
        <v>539</v>
      </c>
      <c r="K1156" s="50" t="s">
        <v>109</v>
      </c>
      <c r="L1156" s="50" t="s">
        <v>12</v>
      </c>
      <c r="M1156" s="50" t="s">
        <v>10</v>
      </c>
      <c r="N1156" s="50" t="s">
        <v>11</v>
      </c>
      <c r="O1156" s="48" t="s">
        <v>632</v>
      </c>
      <c r="P1156" s="45" t="s">
        <v>453</v>
      </c>
      <c r="Q1156" s="35" t="str">
        <f>MID(Tabla1[[#This Row],[Aplicación]],14,1)</f>
        <v>2</v>
      </c>
      <c r="R1156" s="35" t="s">
        <v>441</v>
      </c>
      <c r="S1156" s="35" t="str">
        <f>MID(Tabla1[[#This Row],[Aplicación]],6,2)</f>
        <v>03</v>
      </c>
      <c r="T1156" s="35" t="str">
        <f>VLOOKUP(Tabla1[[#This Row],[AREA]],Hoja1!A:B,2,FALSE)</f>
        <v>03. Participación ciudadana y deportes</v>
      </c>
      <c r="U1156" s="35" t="str">
        <f>MID(Tabla1[[#This Row],[Aplicación]],9,4)</f>
        <v>9241</v>
      </c>
      <c r="V1156" s="35" t="str">
        <f>VLOOKUP(Tabla1[[#This Row],[PROGRAMA]],Hoja1!A:B,2,FALSE)</f>
        <v>9241. Participación ciudadana</v>
      </c>
      <c r="W1156" s="35" t="str">
        <f>MID(Tabla1[[#This Row],[Aplicación]],14,2)</f>
        <v>22</v>
      </c>
      <c r="X1156" s="35" t="str">
        <f>MID(Tabla1[[#This Row],[Aplicación]],14,6)</f>
        <v>22609</v>
      </c>
    </row>
    <row r="1157" spans="1:24" x14ac:dyDescent="0.25">
      <c r="A1157" s="49">
        <v>220210063807</v>
      </c>
      <c r="B1157" s="50" t="s">
        <v>9</v>
      </c>
      <c r="C1157" s="57">
        <v>44631</v>
      </c>
      <c r="D1157" s="49">
        <v>22021003535</v>
      </c>
      <c r="E1157" s="50" t="s">
        <v>2002</v>
      </c>
      <c r="F1157" s="58">
        <v>0.01</v>
      </c>
      <c r="G1157" s="50" t="s">
        <v>1229</v>
      </c>
      <c r="H1157" s="50" t="s">
        <v>1176</v>
      </c>
      <c r="I1157" s="49" t="s">
        <v>107</v>
      </c>
      <c r="J1157" s="50" t="s">
        <v>1177</v>
      </c>
      <c r="K1157" s="50" t="s">
        <v>141</v>
      </c>
      <c r="L1157" s="50" t="s">
        <v>15</v>
      </c>
      <c r="M1157" s="50" t="s">
        <v>13</v>
      </c>
      <c r="N1157" s="50" t="s">
        <v>16</v>
      </c>
      <c r="O1157" s="48" t="s">
        <v>620</v>
      </c>
      <c r="P1157" s="45" t="s">
        <v>453</v>
      </c>
      <c r="Q1157" s="35" t="str">
        <f>MID(Tabla1[[#This Row],[Aplicación]],14,1)</f>
        <v>6</v>
      </c>
      <c r="R1157" s="35" t="s">
        <v>442</v>
      </c>
      <c r="S1157" s="35" t="str">
        <f>MID(Tabla1[[#This Row],[Aplicación]],6,2)</f>
        <v>07</v>
      </c>
      <c r="T1157" s="35" t="str">
        <f>VLOOKUP(Tabla1[[#This Row],[AREA]],Hoja1!A:B,2,FALSE)</f>
        <v>07. Medio ambiente y desarrollo sostenible</v>
      </c>
      <c r="U1157" s="35" t="str">
        <f>MID(Tabla1[[#This Row],[Aplicación]],9,4)</f>
        <v>1711</v>
      </c>
      <c r="V1157" s="35" t="str">
        <f>VLOOKUP(Tabla1[[#This Row],[PROGRAMA]],Hoja1!A:B,2,FALSE)</f>
        <v>1711. Parques y jardines</v>
      </c>
      <c r="W1157" s="35" t="str">
        <f>MID(Tabla1[[#This Row],[Aplicación]],14,2)</f>
        <v>62</v>
      </c>
      <c r="X1157" s="35" t="str">
        <f>MID(Tabla1[[#This Row],[Aplicación]],14,6)</f>
        <v>623</v>
      </c>
    </row>
    <row r="1158" spans="1:24" x14ac:dyDescent="0.25">
      <c r="A1158" s="49">
        <v>220220003729</v>
      </c>
      <c r="B1158" s="50" t="s">
        <v>26</v>
      </c>
      <c r="C1158" s="57">
        <v>44608</v>
      </c>
      <c r="D1158" s="49">
        <v>22022002025</v>
      </c>
      <c r="E1158" s="50" t="s">
        <v>1616</v>
      </c>
      <c r="F1158" s="58">
        <v>1732.72</v>
      </c>
      <c r="G1158" s="50" t="s">
        <v>973</v>
      </c>
      <c r="H1158" s="50" t="s">
        <v>2593</v>
      </c>
      <c r="I1158" s="49" t="s">
        <v>197</v>
      </c>
      <c r="J1158" s="50" t="s">
        <v>108</v>
      </c>
      <c r="K1158" s="50" t="s">
        <v>108</v>
      </c>
      <c r="L1158" s="50" t="s">
        <v>15</v>
      </c>
      <c r="M1158" s="50" t="s">
        <v>10</v>
      </c>
      <c r="N1158" s="50" t="s">
        <v>11</v>
      </c>
      <c r="O1158" s="48" t="s">
        <v>632</v>
      </c>
      <c r="P1158" s="45" t="s">
        <v>453</v>
      </c>
      <c r="Q1158" s="35" t="str">
        <f>MID(Tabla1[[#This Row],[Aplicación]],14,1)</f>
        <v>6</v>
      </c>
      <c r="R1158" s="35" t="s">
        <v>442</v>
      </c>
      <c r="S1158" s="35" t="str">
        <f>MID(Tabla1[[#This Row],[Aplicación]],6,2)</f>
        <v>04</v>
      </c>
      <c r="T1158" s="35" t="str">
        <f>VLOOKUP(Tabla1[[#This Row],[AREA]],Hoja1!A:B,2,FALSE)</f>
        <v>04. Planificación y recursos</v>
      </c>
      <c r="U1158" s="35" t="str">
        <f>MID(Tabla1[[#This Row],[Aplicación]],9,4)</f>
        <v>9204</v>
      </c>
      <c r="V1158" s="35" t="str">
        <f>VLOOKUP(Tabla1[[#This Row],[PROGRAMA]],Hoja1!A:B,2,FALSE)</f>
        <v>9204. Tecnologías de la información y comunicación</v>
      </c>
      <c r="W1158" s="35" t="str">
        <f>MID(Tabla1[[#This Row],[Aplicación]],14,2)</f>
        <v>62</v>
      </c>
      <c r="X1158" s="35" t="str">
        <f>MID(Tabla1[[#This Row],[Aplicación]],14,6)</f>
        <v>626</v>
      </c>
    </row>
    <row r="1159" spans="1:24" x14ac:dyDescent="0.25">
      <c r="A1159" s="49">
        <v>220219001097</v>
      </c>
      <c r="B1159" s="50" t="s">
        <v>9</v>
      </c>
      <c r="C1159" s="57">
        <v>44562</v>
      </c>
      <c r="D1159" s="49">
        <v>22022000521</v>
      </c>
      <c r="E1159" s="50" t="s">
        <v>1425</v>
      </c>
      <c r="F1159" s="58">
        <v>2055.2600000000002</v>
      </c>
      <c r="G1159" s="50" t="s">
        <v>73</v>
      </c>
      <c r="H1159" s="50" t="s">
        <v>1348</v>
      </c>
      <c r="I1159" s="49" t="s">
        <v>107</v>
      </c>
      <c r="J1159" s="50" t="s">
        <v>156</v>
      </c>
      <c r="K1159" s="50" t="s">
        <v>156</v>
      </c>
      <c r="L1159" s="50" t="s">
        <v>12</v>
      </c>
      <c r="M1159" s="50" t="s">
        <v>10</v>
      </c>
      <c r="N1159" s="50" t="s">
        <v>11</v>
      </c>
      <c r="O1159" s="48" t="s">
        <v>632</v>
      </c>
      <c r="P1159" s="45" t="s">
        <v>453</v>
      </c>
      <c r="Q1159" s="35" t="str">
        <f>MID(Tabla1[[#This Row],[Aplicación]],14,1)</f>
        <v>2</v>
      </c>
      <c r="R1159" s="35" t="s">
        <v>441</v>
      </c>
      <c r="S1159" s="35" t="str">
        <f>MID(Tabla1[[#This Row],[Aplicación]],6,2)</f>
        <v>04</v>
      </c>
      <c r="T1159" s="35" t="str">
        <f>VLOOKUP(Tabla1[[#This Row],[AREA]],Hoja1!A:B,2,FALSE)</f>
        <v>04. Planificación y recursos</v>
      </c>
      <c r="U1159" s="35" t="str">
        <f>MID(Tabla1[[#This Row],[Aplicación]],9,4)</f>
        <v>9204</v>
      </c>
      <c r="V1159" s="35" t="str">
        <f>VLOOKUP(Tabla1[[#This Row],[PROGRAMA]],Hoja1!A:B,2,FALSE)</f>
        <v>9204. Tecnologías de la información y comunicación</v>
      </c>
      <c r="W1159" s="35" t="str">
        <f>MID(Tabla1[[#This Row],[Aplicación]],14,2)</f>
        <v>22</v>
      </c>
      <c r="X1159" s="35" t="str">
        <f>MID(Tabla1[[#This Row],[Aplicación]],14,6)</f>
        <v>22200</v>
      </c>
    </row>
    <row r="1160" spans="1:24" x14ac:dyDescent="0.25">
      <c r="A1160" s="49">
        <v>220220005932</v>
      </c>
      <c r="B1160" s="50" t="s">
        <v>9</v>
      </c>
      <c r="C1160" s="57">
        <v>44616</v>
      </c>
      <c r="D1160" s="49">
        <v>22022002403</v>
      </c>
      <c r="E1160" s="50" t="s">
        <v>1955</v>
      </c>
      <c r="F1160" s="58">
        <v>902</v>
      </c>
      <c r="G1160" s="50" t="s">
        <v>859</v>
      </c>
      <c r="H1160" s="50" t="s">
        <v>2594</v>
      </c>
      <c r="I1160" s="49" t="s">
        <v>107</v>
      </c>
      <c r="J1160" s="50" t="s">
        <v>860</v>
      </c>
      <c r="K1160" s="50" t="s">
        <v>128</v>
      </c>
      <c r="L1160" s="50" t="s">
        <v>15</v>
      </c>
      <c r="M1160" s="50" t="s">
        <v>10</v>
      </c>
      <c r="N1160" s="50" t="s">
        <v>11</v>
      </c>
      <c r="O1160" s="48" t="s">
        <v>632</v>
      </c>
      <c r="P1160" s="45" t="s">
        <v>453</v>
      </c>
      <c r="Q1160" s="35" t="str">
        <f>MID(Tabla1[[#This Row],[Aplicación]],14,1)</f>
        <v>2</v>
      </c>
      <c r="R1160" s="35" t="s">
        <v>441</v>
      </c>
      <c r="S1160" s="35" t="str">
        <f>MID(Tabla1[[#This Row],[Aplicación]],6,2)</f>
        <v>07</v>
      </c>
      <c r="T1160" s="35" t="str">
        <f>VLOOKUP(Tabla1[[#This Row],[AREA]],Hoja1!A:B,2,FALSE)</f>
        <v>07. Medio ambiente y desarrollo sostenible</v>
      </c>
      <c r="U1160" s="35" t="str">
        <f>MID(Tabla1[[#This Row],[Aplicación]],9,4)</f>
        <v>1721</v>
      </c>
      <c r="V1160" s="35" t="str">
        <f>VLOOKUP(Tabla1[[#This Row],[PROGRAMA]],Hoja1!A:B,2,FALSE)</f>
        <v>1721. Protección del medio ambiente</v>
      </c>
      <c r="W1160" s="35" t="str">
        <f>MID(Tabla1[[#This Row],[Aplicación]],14,2)</f>
        <v>22</v>
      </c>
      <c r="X1160" s="35" t="str">
        <f>MID(Tabla1[[#This Row],[Aplicación]],14,6)</f>
        <v>22112</v>
      </c>
    </row>
    <row r="1161" spans="1:24" x14ac:dyDescent="0.25">
      <c r="A1161" s="49">
        <v>220220000077</v>
      </c>
      <c r="B1161" s="50" t="s">
        <v>9</v>
      </c>
      <c r="C1161" s="57">
        <v>44580</v>
      </c>
      <c r="D1161" s="49">
        <v>22022001152</v>
      </c>
      <c r="E1161" s="50" t="s">
        <v>2080</v>
      </c>
      <c r="F1161" s="58">
        <v>1230.93</v>
      </c>
      <c r="G1161" s="50" t="s">
        <v>996</v>
      </c>
      <c r="H1161" s="50" t="s">
        <v>2595</v>
      </c>
      <c r="I1161" s="49" t="s">
        <v>107</v>
      </c>
      <c r="J1161" s="50" t="s">
        <v>108</v>
      </c>
      <c r="K1161" s="50" t="s">
        <v>108</v>
      </c>
      <c r="L1161" s="50" t="s">
        <v>12</v>
      </c>
      <c r="M1161" s="50" t="s">
        <v>10</v>
      </c>
      <c r="N1161" s="50" t="s">
        <v>11</v>
      </c>
      <c r="O1161" s="48" t="s">
        <v>632</v>
      </c>
      <c r="P1161" s="45" t="s">
        <v>453</v>
      </c>
      <c r="Q1161" s="35" t="str">
        <f>MID(Tabla1[[#This Row],[Aplicación]],14,1)</f>
        <v>2</v>
      </c>
      <c r="R1161" s="35" t="s">
        <v>441</v>
      </c>
      <c r="S1161" s="35" t="str">
        <f>MID(Tabla1[[#This Row],[Aplicación]],6,2)</f>
        <v>04</v>
      </c>
      <c r="T1161" s="35" t="str">
        <f>VLOOKUP(Tabla1[[#This Row],[AREA]],Hoja1!A:B,2,FALSE)</f>
        <v>04. Planificación y recursos</v>
      </c>
      <c r="U1161" s="35" t="str">
        <f>MID(Tabla1[[#This Row],[Aplicación]],9,4)</f>
        <v>9321</v>
      </c>
      <c r="V1161" s="35" t="str">
        <f>VLOOKUP(Tabla1[[#This Row],[PROGRAMA]],Hoja1!A:B,2,FALSE)</f>
        <v>9321. Gestión de ingresos e inspección</v>
      </c>
      <c r="W1161" s="35" t="str">
        <f>MID(Tabla1[[#This Row],[Aplicación]],14,2)</f>
        <v>22</v>
      </c>
      <c r="X1161" s="35" t="str">
        <f>MID(Tabla1[[#This Row],[Aplicación]],14,6)</f>
        <v>22799</v>
      </c>
    </row>
    <row r="1162" spans="1:24" x14ac:dyDescent="0.25">
      <c r="A1162" s="49">
        <v>220220006696</v>
      </c>
      <c r="B1162" s="50" t="s">
        <v>9</v>
      </c>
      <c r="C1162" s="57">
        <v>44617</v>
      </c>
      <c r="D1162" s="49">
        <v>22022002455</v>
      </c>
      <c r="E1162" s="50" t="s">
        <v>1571</v>
      </c>
      <c r="F1162" s="58">
        <v>1386</v>
      </c>
      <c r="G1162" s="50" t="s">
        <v>851</v>
      </c>
      <c r="H1162" s="50" t="s">
        <v>2596</v>
      </c>
      <c r="I1162" s="49" t="s">
        <v>107</v>
      </c>
      <c r="J1162" s="50" t="s">
        <v>109</v>
      </c>
      <c r="K1162" s="50" t="s">
        <v>109</v>
      </c>
      <c r="L1162" s="50" t="s">
        <v>12</v>
      </c>
      <c r="M1162" s="50" t="s">
        <v>10</v>
      </c>
      <c r="N1162" s="50" t="s">
        <v>11</v>
      </c>
      <c r="O1162" s="48" t="s">
        <v>632</v>
      </c>
      <c r="P1162" s="45" t="s">
        <v>453</v>
      </c>
      <c r="Q1162" s="35" t="str">
        <f>MID(Tabla1[[#This Row],[Aplicación]],14,1)</f>
        <v>2</v>
      </c>
      <c r="R1162" s="35" t="s">
        <v>441</v>
      </c>
      <c r="S1162" s="35" t="str">
        <f>MID(Tabla1[[#This Row],[Aplicación]],6,2)</f>
        <v>11</v>
      </c>
      <c r="T1162" s="35" t="str">
        <f>VLOOKUP(Tabla1[[#This Row],[AREA]],Hoja1!A:B,2,FALSE)</f>
        <v>11. Salud pública y seguridad ciudadana</v>
      </c>
      <c r="U1162" s="35" t="str">
        <f>MID(Tabla1[[#This Row],[Aplicación]],9,4)</f>
        <v>3111</v>
      </c>
      <c r="V1162" s="35" t="str">
        <f>VLOOKUP(Tabla1[[#This Row],[PROGRAMA]],Hoja1!A:B,2,FALSE)</f>
        <v>3111. Protección de la salubridad pública</v>
      </c>
      <c r="W1162" s="35" t="str">
        <f>MID(Tabla1[[#This Row],[Aplicación]],14,2)</f>
        <v>21</v>
      </c>
      <c r="X1162" s="35" t="str">
        <f>MID(Tabla1[[#This Row],[Aplicación]],14,6)</f>
        <v>213</v>
      </c>
    </row>
    <row r="1163" spans="1:24" x14ac:dyDescent="0.25">
      <c r="A1163" s="49">
        <v>220219000252</v>
      </c>
      <c r="B1163" s="50" t="s">
        <v>9</v>
      </c>
      <c r="C1163" s="57">
        <v>44562</v>
      </c>
      <c r="D1163" s="49">
        <v>22022000055</v>
      </c>
      <c r="E1163" s="50" t="s">
        <v>1397</v>
      </c>
      <c r="F1163" s="58">
        <v>1800</v>
      </c>
      <c r="G1163" s="50" t="s">
        <v>897</v>
      </c>
      <c r="H1163" s="50" t="s">
        <v>2597</v>
      </c>
      <c r="I1163" s="49" t="s">
        <v>107</v>
      </c>
      <c r="J1163" s="50" t="s">
        <v>108</v>
      </c>
      <c r="K1163" s="50" t="s">
        <v>108</v>
      </c>
      <c r="L1163" s="50" t="s">
        <v>12</v>
      </c>
      <c r="M1163" s="50" t="s">
        <v>13</v>
      </c>
      <c r="N1163" s="50" t="s">
        <v>14</v>
      </c>
      <c r="O1163" s="48" t="s">
        <v>620</v>
      </c>
      <c r="P1163" s="45" t="s">
        <v>453</v>
      </c>
      <c r="Q1163" s="35" t="str">
        <f>MID(Tabla1[[#This Row],[Aplicación]],14,1)</f>
        <v>2</v>
      </c>
      <c r="R1163" s="35" t="s">
        <v>441</v>
      </c>
      <c r="S1163" s="35" t="str">
        <f>MID(Tabla1[[#This Row],[Aplicación]],6,2)</f>
        <v>10</v>
      </c>
      <c r="T1163" s="35" t="str">
        <f>VLOOKUP(Tabla1[[#This Row],[AREA]],Hoja1!A:B,2,FALSE)</f>
        <v>10. Servicios sociales y mediación comunitaria</v>
      </c>
      <c r="U1163" s="35" t="str">
        <f>MID(Tabla1[[#This Row],[Aplicación]],9,4)</f>
        <v>2312</v>
      </c>
      <c r="V1163" s="35" t="str">
        <f>VLOOKUP(Tabla1[[#This Row],[PROGRAMA]],Hoja1!A:B,2,FALSE)</f>
        <v>2312. Iniciativas sociales</v>
      </c>
      <c r="W1163" s="35" t="str">
        <f>MID(Tabla1[[#This Row],[Aplicación]],14,2)</f>
        <v>22</v>
      </c>
      <c r="X1163" s="35" t="str">
        <f>MID(Tabla1[[#This Row],[Aplicación]],14,6)</f>
        <v>22799</v>
      </c>
    </row>
    <row r="1164" spans="1:24" x14ac:dyDescent="0.25">
      <c r="A1164" s="49">
        <v>220220002193</v>
      </c>
      <c r="B1164" s="50" t="s">
        <v>9</v>
      </c>
      <c r="C1164" s="57">
        <v>44592</v>
      </c>
      <c r="D1164" s="49">
        <v>22022001718</v>
      </c>
      <c r="E1164" s="50" t="s">
        <v>1471</v>
      </c>
      <c r="F1164" s="58">
        <v>3095.18</v>
      </c>
      <c r="G1164" s="50" t="s">
        <v>506</v>
      </c>
      <c r="H1164" s="50" t="s">
        <v>2598</v>
      </c>
      <c r="I1164" s="49" t="s">
        <v>107</v>
      </c>
      <c r="J1164" s="50" t="s">
        <v>108</v>
      </c>
      <c r="K1164" s="50" t="s">
        <v>108</v>
      </c>
      <c r="L1164" s="50" t="s">
        <v>12</v>
      </c>
      <c r="M1164" s="50" t="s">
        <v>10</v>
      </c>
      <c r="N1164" s="50" t="s">
        <v>11</v>
      </c>
      <c r="O1164" s="48" t="s">
        <v>632</v>
      </c>
      <c r="P1164" s="45" t="s">
        <v>453</v>
      </c>
      <c r="Q1164" s="35" t="str">
        <f>MID(Tabla1[[#This Row],[Aplicación]],14,1)</f>
        <v>2</v>
      </c>
      <c r="R1164" s="35" t="s">
        <v>441</v>
      </c>
      <c r="S1164" s="35" t="str">
        <f>MID(Tabla1[[#This Row],[Aplicación]],6,2)</f>
        <v>11</v>
      </c>
      <c r="T1164" s="35" t="str">
        <f>VLOOKUP(Tabla1[[#This Row],[AREA]],Hoja1!A:B,2,FALSE)</f>
        <v>11. Salud pública y seguridad ciudadana</v>
      </c>
      <c r="U1164" s="35" t="str">
        <f>MID(Tabla1[[#This Row],[Aplicación]],9,4)</f>
        <v>1321</v>
      </c>
      <c r="V1164" s="35" t="str">
        <f>VLOOKUP(Tabla1[[#This Row],[PROGRAMA]],Hoja1!A:B,2,FALSE)</f>
        <v>1321. Policía municipal</v>
      </c>
      <c r="W1164" s="35" t="str">
        <f>MID(Tabla1[[#This Row],[Aplicación]],14,2)</f>
        <v>21</v>
      </c>
      <c r="X1164" s="35" t="str">
        <f>MID(Tabla1[[#This Row],[Aplicación]],14,6)</f>
        <v>213</v>
      </c>
    </row>
    <row r="1165" spans="1:24" x14ac:dyDescent="0.25">
      <c r="A1165" s="49">
        <v>220220012363</v>
      </c>
      <c r="B1165" s="50" t="s">
        <v>9</v>
      </c>
      <c r="C1165" s="57">
        <v>44643</v>
      </c>
      <c r="D1165" s="49">
        <v>22022002899</v>
      </c>
      <c r="E1165" s="50" t="s">
        <v>1436</v>
      </c>
      <c r="F1165" s="58">
        <v>1082.95</v>
      </c>
      <c r="G1165" s="50" t="s">
        <v>2599</v>
      </c>
      <c r="H1165" s="50" t="s">
        <v>2600</v>
      </c>
      <c r="I1165" s="49" t="s">
        <v>107</v>
      </c>
      <c r="J1165" s="50" t="s">
        <v>529</v>
      </c>
      <c r="K1165" s="50" t="s">
        <v>109</v>
      </c>
      <c r="L1165" s="50" t="s">
        <v>12</v>
      </c>
      <c r="M1165" s="50" t="s">
        <v>10</v>
      </c>
      <c r="N1165" s="50" t="s">
        <v>11</v>
      </c>
      <c r="O1165" s="48" t="s">
        <v>632</v>
      </c>
      <c r="P1165" s="45" t="s">
        <v>453</v>
      </c>
      <c r="Q1165" s="35" t="str">
        <f>MID(Tabla1[[#This Row],[Aplicación]],14,1)</f>
        <v>2</v>
      </c>
      <c r="R1165" s="35" t="s">
        <v>441</v>
      </c>
      <c r="S1165" s="35" t="str">
        <f>MID(Tabla1[[#This Row],[Aplicación]],6,2)</f>
        <v>03</v>
      </c>
      <c r="T1165" s="35" t="str">
        <f>VLOOKUP(Tabla1[[#This Row],[AREA]],Hoja1!A:B,2,FALSE)</f>
        <v>03. Participación ciudadana y deportes</v>
      </c>
      <c r="U1165" s="35" t="str">
        <f>MID(Tabla1[[#This Row],[Aplicación]],9,4)</f>
        <v>9241</v>
      </c>
      <c r="V1165" s="35" t="str">
        <f>VLOOKUP(Tabla1[[#This Row],[PROGRAMA]],Hoja1!A:B,2,FALSE)</f>
        <v>9241. Participación ciudadana</v>
      </c>
      <c r="W1165" s="35" t="str">
        <f>MID(Tabla1[[#This Row],[Aplicación]],14,2)</f>
        <v>22</v>
      </c>
      <c r="X1165" s="35" t="str">
        <f>MID(Tabla1[[#This Row],[Aplicación]],14,6)</f>
        <v>22609</v>
      </c>
    </row>
    <row r="1166" spans="1:24" x14ac:dyDescent="0.25">
      <c r="A1166" s="49">
        <v>220220002288</v>
      </c>
      <c r="B1166" s="50" t="s">
        <v>9</v>
      </c>
      <c r="C1166" s="57">
        <v>44593</v>
      </c>
      <c r="D1166" s="49">
        <v>22022001790</v>
      </c>
      <c r="E1166" s="50" t="s">
        <v>1606</v>
      </c>
      <c r="F1166" s="58">
        <v>964.45</v>
      </c>
      <c r="G1166" s="50" t="s">
        <v>1284</v>
      </c>
      <c r="H1166" s="50" t="s">
        <v>2601</v>
      </c>
      <c r="I1166" s="49" t="s">
        <v>107</v>
      </c>
      <c r="J1166" s="50" t="s">
        <v>1285</v>
      </c>
      <c r="K1166" s="50" t="s">
        <v>108</v>
      </c>
      <c r="L1166" s="50" t="s">
        <v>15</v>
      </c>
      <c r="M1166" s="50" t="s">
        <v>10</v>
      </c>
      <c r="N1166" s="50" t="s">
        <v>11</v>
      </c>
      <c r="O1166" s="48" t="s">
        <v>632</v>
      </c>
      <c r="P1166" s="45" t="s">
        <v>453</v>
      </c>
      <c r="Q1166" s="35" t="str">
        <f>MID(Tabla1[[#This Row],[Aplicación]],14,1)</f>
        <v>2</v>
      </c>
      <c r="R1166" s="35" t="s">
        <v>441</v>
      </c>
      <c r="S1166" s="35" t="str">
        <f>MID(Tabla1[[#This Row],[Aplicación]],6,2)</f>
        <v>11</v>
      </c>
      <c r="T1166" s="35" t="str">
        <f>VLOOKUP(Tabla1[[#This Row],[AREA]],Hoja1!A:B,2,FALSE)</f>
        <v>11. Salud pública y seguridad ciudadana</v>
      </c>
      <c r="U1166" s="35" t="str">
        <f>MID(Tabla1[[#This Row],[Aplicación]],9,4)</f>
        <v>1361</v>
      </c>
      <c r="V1166" s="35" t="str">
        <f>VLOOKUP(Tabla1[[#This Row],[PROGRAMA]],Hoja1!A:B,2,FALSE)</f>
        <v>1361. Prevención y extinción de incencios</v>
      </c>
      <c r="W1166" s="35" t="str">
        <f>MID(Tabla1[[#This Row],[Aplicación]],14,2)</f>
        <v>22</v>
      </c>
      <c r="X1166" s="35" t="str">
        <f>MID(Tabla1[[#This Row],[Aplicación]],14,6)</f>
        <v>22199</v>
      </c>
    </row>
    <row r="1167" spans="1:24" x14ac:dyDescent="0.25">
      <c r="A1167" s="49">
        <v>220220000136</v>
      </c>
      <c r="B1167" s="50" t="s">
        <v>9</v>
      </c>
      <c r="C1167" s="57">
        <v>44582</v>
      </c>
      <c r="D1167" s="49">
        <v>22022001515</v>
      </c>
      <c r="E1167" s="50" t="s">
        <v>1644</v>
      </c>
      <c r="F1167" s="58">
        <v>3000</v>
      </c>
      <c r="G1167" s="50" t="s">
        <v>90</v>
      </c>
      <c r="H1167" s="50" t="s">
        <v>2602</v>
      </c>
      <c r="I1167" s="49" t="s">
        <v>107</v>
      </c>
      <c r="J1167" s="50" t="s">
        <v>109</v>
      </c>
      <c r="K1167" s="50" t="s">
        <v>109</v>
      </c>
      <c r="L1167" s="50" t="s">
        <v>12</v>
      </c>
      <c r="M1167" s="50" t="s">
        <v>10</v>
      </c>
      <c r="N1167" s="50" t="s">
        <v>11</v>
      </c>
      <c r="O1167" s="48" t="s">
        <v>632</v>
      </c>
      <c r="P1167" s="45" t="s">
        <v>453</v>
      </c>
      <c r="Q1167" s="35" t="str">
        <f>MID(Tabla1[[#This Row],[Aplicación]],14,1)</f>
        <v>2</v>
      </c>
      <c r="R1167" s="35" t="s">
        <v>441</v>
      </c>
      <c r="S1167" s="35" t="str">
        <f>MID(Tabla1[[#This Row],[Aplicación]],6,2)</f>
        <v>11</v>
      </c>
      <c r="T1167" s="35" t="str">
        <f>VLOOKUP(Tabla1[[#This Row],[AREA]],Hoja1!A:B,2,FALSE)</f>
        <v>11. Salud pública y seguridad ciudadana</v>
      </c>
      <c r="U1167" s="35" t="str">
        <f>MID(Tabla1[[#This Row],[Aplicación]],9,4)</f>
        <v>1621</v>
      </c>
      <c r="V1167" s="35" t="str">
        <f>VLOOKUP(Tabla1[[#This Row],[PROGRAMA]],Hoja1!A:B,2,FALSE)</f>
        <v>1621. Servicio de limpieza</v>
      </c>
      <c r="W1167" s="35" t="str">
        <f>MID(Tabla1[[#This Row],[Aplicación]],14,2)</f>
        <v>21</v>
      </c>
      <c r="X1167" s="35" t="str">
        <f>MID(Tabla1[[#This Row],[Aplicación]],14,6)</f>
        <v>214</v>
      </c>
    </row>
    <row r="1168" spans="1:24" x14ac:dyDescent="0.25">
      <c r="A1168" s="49">
        <v>220219000332</v>
      </c>
      <c r="B1168" s="50" t="s">
        <v>9</v>
      </c>
      <c r="C1168" s="57">
        <v>44562</v>
      </c>
      <c r="D1168" s="49">
        <v>22022000070</v>
      </c>
      <c r="E1168" s="50" t="s">
        <v>2603</v>
      </c>
      <c r="F1168" s="58">
        <v>30000</v>
      </c>
      <c r="G1168" s="50" t="s">
        <v>969</v>
      </c>
      <c r="H1168" s="50" t="s">
        <v>970</v>
      </c>
      <c r="I1168" s="49" t="s">
        <v>107</v>
      </c>
      <c r="J1168" s="50" t="s">
        <v>971</v>
      </c>
      <c r="K1168" s="50" t="s">
        <v>128</v>
      </c>
      <c r="L1168" s="50" t="s">
        <v>12</v>
      </c>
      <c r="M1168" s="50" t="s">
        <v>13</v>
      </c>
      <c r="N1168" s="50" t="s">
        <v>14</v>
      </c>
      <c r="O1168" s="48" t="s">
        <v>620</v>
      </c>
      <c r="P1168" s="45" t="s">
        <v>453</v>
      </c>
      <c r="Q1168" s="35" t="str">
        <f>MID(Tabla1[[#This Row],[Aplicación]],14,1)</f>
        <v>2</v>
      </c>
      <c r="R1168" s="35" t="s">
        <v>441</v>
      </c>
      <c r="S1168" s="35" t="str">
        <f>MID(Tabla1[[#This Row],[Aplicación]],6,2)</f>
        <v>04</v>
      </c>
      <c r="T1168" s="35" t="str">
        <f>VLOOKUP(Tabla1[[#This Row],[AREA]],Hoja1!A:B,2,FALSE)</f>
        <v>04. Planificación y recursos</v>
      </c>
      <c r="U1168" s="35" t="str">
        <f>MID(Tabla1[[#This Row],[Aplicación]],9,4)</f>
        <v>3121</v>
      </c>
      <c r="V1168" s="35" t="str">
        <f>VLOOKUP(Tabla1[[#This Row],[PROGRAMA]],Hoja1!A:B,2,FALSE)</f>
        <v>3121. Prevención y salud laboral</v>
      </c>
      <c r="W1168" s="35" t="str">
        <f>MID(Tabla1[[#This Row],[Aplicación]],14,2)</f>
        <v>22</v>
      </c>
      <c r="X1168" s="35" t="str">
        <f>MID(Tabla1[[#This Row],[Aplicación]],14,6)</f>
        <v>22706</v>
      </c>
    </row>
    <row r="1169" spans="1:24" x14ac:dyDescent="0.25">
      <c r="A1169" s="49">
        <v>220220002197</v>
      </c>
      <c r="B1169" s="50" t="s">
        <v>9</v>
      </c>
      <c r="C1169" s="57">
        <v>44592</v>
      </c>
      <c r="D1169" s="49">
        <v>22022001273</v>
      </c>
      <c r="E1169" s="50" t="s">
        <v>2080</v>
      </c>
      <c r="F1169" s="58">
        <v>11998.36</v>
      </c>
      <c r="G1169" s="50" t="s">
        <v>63</v>
      </c>
      <c r="H1169" s="50" t="s">
        <v>2604</v>
      </c>
      <c r="I1169" s="49" t="s">
        <v>107</v>
      </c>
      <c r="J1169" s="50" t="s">
        <v>109</v>
      </c>
      <c r="K1169" s="50" t="s">
        <v>109</v>
      </c>
      <c r="L1169" s="50" t="s">
        <v>12</v>
      </c>
      <c r="M1169" s="50" t="s">
        <v>10</v>
      </c>
      <c r="N1169" s="50" t="s">
        <v>11</v>
      </c>
      <c r="O1169" s="48" t="s">
        <v>632</v>
      </c>
      <c r="P1169" s="45" t="s">
        <v>453</v>
      </c>
      <c r="Q1169" s="35" t="str">
        <f>MID(Tabla1[[#This Row],[Aplicación]],14,1)</f>
        <v>2</v>
      </c>
      <c r="R1169" s="35" t="s">
        <v>441</v>
      </c>
      <c r="S1169" s="35" t="str">
        <f>MID(Tabla1[[#This Row],[Aplicación]],6,2)</f>
        <v>04</v>
      </c>
      <c r="T1169" s="35" t="str">
        <f>VLOOKUP(Tabla1[[#This Row],[AREA]],Hoja1!A:B,2,FALSE)</f>
        <v>04. Planificación y recursos</v>
      </c>
      <c r="U1169" s="35" t="str">
        <f>MID(Tabla1[[#This Row],[Aplicación]],9,4)</f>
        <v>9321</v>
      </c>
      <c r="V1169" s="35" t="str">
        <f>VLOOKUP(Tabla1[[#This Row],[PROGRAMA]],Hoja1!A:B,2,FALSE)</f>
        <v>9321. Gestión de ingresos e inspección</v>
      </c>
      <c r="W1169" s="35" t="str">
        <f>MID(Tabla1[[#This Row],[Aplicación]],14,2)</f>
        <v>22</v>
      </c>
      <c r="X1169" s="35" t="str">
        <f>MID(Tabla1[[#This Row],[Aplicación]],14,6)</f>
        <v>22799</v>
      </c>
    </row>
    <row r="1170" spans="1:24" x14ac:dyDescent="0.25">
      <c r="A1170" s="49">
        <v>220220000072</v>
      </c>
      <c r="B1170" s="50" t="s">
        <v>9</v>
      </c>
      <c r="C1170" s="57">
        <v>44580</v>
      </c>
      <c r="D1170" s="49">
        <v>22022000893</v>
      </c>
      <c r="E1170" s="50" t="s">
        <v>2605</v>
      </c>
      <c r="F1170" s="58">
        <v>2142.08</v>
      </c>
      <c r="G1170" s="50" t="s">
        <v>63</v>
      </c>
      <c r="H1170" s="50" t="s">
        <v>2606</v>
      </c>
      <c r="I1170" s="49" t="s">
        <v>107</v>
      </c>
      <c r="J1170" s="50" t="s">
        <v>109</v>
      </c>
      <c r="K1170" s="50" t="s">
        <v>109</v>
      </c>
      <c r="L1170" s="50" t="s">
        <v>12</v>
      </c>
      <c r="M1170" s="50" t="s">
        <v>10</v>
      </c>
      <c r="N1170" s="50" t="s">
        <v>11</v>
      </c>
      <c r="O1170" s="48" t="s">
        <v>632</v>
      </c>
      <c r="P1170" s="45" t="s">
        <v>453</v>
      </c>
      <c r="Q1170" s="35" t="str">
        <f>MID(Tabla1[[#This Row],[Aplicación]],14,1)</f>
        <v>2</v>
      </c>
      <c r="R1170" s="35" t="s">
        <v>441</v>
      </c>
      <c r="S1170" s="35" t="str">
        <f>MID(Tabla1[[#This Row],[Aplicación]],6,2)</f>
        <v>04</v>
      </c>
      <c r="T1170" s="35" t="str">
        <f>VLOOKUP(Tabla1[[#This Row],[AREA]],Hoja1!A:B,2,FALSE)</f>
        <v>04. Planificación y recursos</v>
      </c>
      <c r="U1170" s="35" t="str">
        <f>MID(Tabla1[[#This Row],[Aplicación]],9,4)</f>
        <v>9231</v>
      </c>
      <c r="V1170" s="35" t="str">
        <f>VLOOKUP(Tabla1[[#This Row],[PROGRAMA]],Hoja1!A:B,2,FALSE)</f>
        <v>9231. Información, registro y gestión del padrón</v>
      </c>
      <c r="W1170" s="35" t="str">
        <f>MID(Tabla1[[#This Row],[Aplicación]],14,2)</f>
        <v>22</v>
      </c>
      <c r="X1170" s="35" t="str">
        <f>MID(Tabla1[[#This Row],[Aplicación]],14,6)</f>
        <v>22705</v>
      </c>
    </row>
    <row r="1171" spans="1:24" x14ac:dyDescent="0.25">
      <c r="A1171" s="49">
        <v>220220002440</v>
      </c>
      <c r="B1171" s="50" t="s">
        <v>172</v>
      </c>
      <c r="C1171" s="57">
        <v>44594</v>
      </c>
      <c r="D1171" s="49">
        <v>22022001171</v>
      </c>
      <c r="E1171" s="50" t="s">
        <v>2607</v>
      </c>
      <c r="F1171" s="58">
        <v>230.26</v>
      </c>
      <c r="G1171" s="50" t="s">
        <v>204</v>
      </c>
      <c r="H1171" s="50" t="s">
        <v>2608</v>
      </c>
      <c r="I1171" s="49" t="s">
        <v>173</v>
      </c>
      <c r="J1171" s="50" t="s">
        <v>109</v>
      </c>
      <c r="K1171" s="50" t="s">
        <v>109</v>
      </c>
      <c r="L1171" s="50" t="s">
        <v>15</v>
      </c>
      <c r="M1171" s="50" t="s">
        <v>13</v>
      </c>
      <c r="N1171" s="50" t="s">
        <v>14</v>
      </c>
      <c r="O1171" s="48" t="s">
        <v>631</v>
      </c>
      <c r="P1171" s="45" t="s">
        <v>453</v>
      </c>
      <c r="Q1171" s="35" t="str">
        <f>MID(Tabla1[[#This Row],[Aplicación]],14,1)</f>
        <v>2</v>
      </c>
      <c r="R1171" s="35" t="s">
        <v>441</v>
      </c>
      <c r="S1171" s="35" t="str">
        <f>MID(Tabla1[[#This Row],[Aplicación]],6,2)</f>
        <v>10</v>
      </c>
      <c r="T1171" s="35" t="str">
        <f>VLOOKUP(Tabla1[[#This Row],[AREA]],Hoja1!A:B,2,FALSE)</f>
        <v>10. Servicios sociales y mediación comunitaria</v>
      </c>
      <c r="U1171" s="35" t="str">
        <f>MID(Tabla1[[#This Row],[Aplicación]],9,4)</f>
        <v>2412</v>
      </c>
      <c r="V1171" s="35" t="str">
        <f>VLOOKUP(Tabla1[[#This Row],[PROGRAMA]],Hoja1!A:B,2,FALSE)</f>
        <v>2412. Formación para el empleo</v>
      </c>
      <c r="W1171" s="35" t="str">
        <f>MID(Tabla1[[#This Row],[Aplicación]],14,2)</f>
        <v>21</v>
      </c>
      <c r="X1171" s="35" t="str">
        <f>MID(Tabla1[[#This Row],[Aplicación]],14,6)</f>
        <v>214</v>
      </c>
    </row>
    <row r="1172" spans="1:24" x14ac:dyDescent="0.25">
      <c r="A1172" s="49">
        <v>220220004083</v>
      </c>
      <c r="B1172" s="50" t="s">
        <v>172</v>
      </c>
      <c r="C1172" s="57">
        <v>44610</v>
      </c>
      <c r="D1172" s="49">
        <v>22022000901</v>
      </c>
      <c r="E1172" s="50" t="s">
        <v>1644</v>
      </c>
      <c r="F1172" s="58">
        <v>325.57</v>
      </c>
      <c r="G1172" s="50" t="s">
        <v>204</v>
      </c>
      <c r="H1172" s="50" t="s">
        <v>2609</v>
      </c>
      <c r="I1172" s="49" t="s">
        <v>173</v>
      </c>
      <c r="J1172" s="50" t="s">
        <v>109</v>
      </c>
      <c r="K1172" s="50" t="s">
        <v>109</v>
      </c>
      <c r="L1172" s="50" t="s">
        <v>12</v>
      </c>
      <c r="M1172" s="50" t="s">
        <v>13</v>
      </c>
      <c r="N1172" s="50" t="s">
        <v>14</v>
      </c>
      <c r="O1172" s="48" t="s">
        <v>631</v>
      </c>
      <c r="P1172" s="45" t="s">
        <v>453</v>
      </c>
      <c r="Q1172" s="35" t="str">
        <f>MID(Tabla1[[#This Row],[Aplicación]],14,1)</f>
        <v>2</v>
      </c>
      <c r="R1172" s="35" t="s">
        <v>441</v>
      </c>
      <c r="S1172" s="35" t="str">
        <f>MID(Tabla1[[#This Row],[Aplicación]],6,2)</f>
        <v>11</v>
      </c>
      <c r="T1172" s="35" t="str">
        <f>VLOOKUP(Tabla1[[#This Row],[AREA]],Hoja1!A:B,2,FALSE)</f>
        <v>11. Salud pública y seguridad ciudadana</v>
      </c>
      <c r="U1172" s="35" t="str">
        <f>MID(Tabla1[[#This Row],[Aplicación]],9,4)</f>
        <v>1621</v>
      </c>
      <c r="V1172" s="35" t="str">
        <f>VLOOKUP(Tabla1[[#This Row],[PROGRAMA]],Hoja1!A:B,2,FALSE)</f>
        <v>1621. Servicio de limpieza</v>
      </c>
      <c r="W1172" s="35" t="str">
        <f>MID(Tabla1[[#This Row],[Aplicación]],14,2)</f>
        <v>21</v>
      </c>
      <c r="X1172" s="35" t="str">
        <f>MID(Tabla1[[#This Row],[Aplicación]],14,6)</f>
        <v>214</v>
      </c>
    </row>
    <row r="1173" spans="1:24" x14ac:dyDescent="0.25">
      <c r="A1173" s="49">
        <v>220220004145</v>
      </c>
      <c r="B1173" s="50" t="s">
        <v>172</v>
      </c>
      <c r="C1173" s="57">
        <v>44610</v>
      </c>
      <c r="D1173" s="49">
        <v>22022000902</v>
      </c>
      <c r="E1173" s="50" t="s">
        <v>1434</v>
      </c>
      <c r="F1173" s="58">
        <v>1534.87</v>
      </c>
      <c r="G1173" s="50" t="s">
        <v>204</v>
      </c>
      <c r="H1173" s="50" t="s">
        <v>2610</v>
      </c>
      <c r="I1173" s="49" t="s">
        <v>173</v>
      </c>
      <c r="J1173" s="50" t="s">
        <v>109</v>
      </c>
      <c r="K1173" s="50" t="s">
        <v>109</v>
      </c>
      <c r="L1173" s="50" t="s">
        <v>12</v>
      </c>
      <c r="M1173" s="50" t="s">
        <v>13</v>
      </c>
      <c r="N1173" s="50" t="s">
        <v>14</v>
      </c>
      <c r="O1173" s="48" t="s">
        <v>631</v>
      </c>
      <c r="P1173" s="45" t="s">
        <v>453</v>
      </c>
      <c r="Q1173" s="35" t="str">
        <f>MID(Tabla1[[#This Row],[Aplicación]],14,1)</f>
        <v>2</v>
      </c>
      <c r="R1173" s="35" t="s">
        <v>441</v>
      </c>
      <c r="S1173" s="35" t="str">
        <f>MID(Tabla1[[#This Row],[Aplicación]],6,2)</f>
        <v>11</v>
      </c>
      <c r="T1173" s="35" t="str">
        <f>VLOOKUP(Tabla1[[#This Row],[AREA]],Hoja1!A:B,2,FALSE)</f>
        <v>11. Salud pública y seguridad ciudadana</v>
      </c>
      <c r="U1173" s="35" t="str">
        <f>MID(Tabla1[[#This Row],[Aplicación]],9,4)</f>
        <v>1631</v>
      </c>
      <c r="V1173" s="35" t="str">
        <f>VLOOKUP(Tabla1[[#This Row],[PROGRAMA]],Hoja1!A:B,2,FALSE)</f>
        <v>1631. Limpieza viaria</v>
      </c>
      <c r="W1173" s="35" t="str">
        <f>MID(Tabla1[[#This Row],[Aplicación]],14,2)</f>
        <v>21</v>
      </c>
      <c r="X1173" s="35" t="str">
        <f>MID(Tabla1[[#This Row],[Aplicación]],14,6)</f>
        <v>214</v>
      </c>
    </row>
    <row r="1174" spans="1:24" x14ac:dyDescent="0.25">
      <c r="A1174" s="49">
        <v>220220004180</v>
      </c>
      <c r="B1174" s="50" t="s">
        <v>172</v>
      </c>
      <c r="C1174" s="57">
        <v>44610</v>
      </c>
      <c r="D1174" s="49">
        <v>22022000901</v>
      </c>
      <c r="E1174" s="50" t="s">
        <v>1644</v>
      </c>
      <c r="F1174" s="58">
        <v>4674.17</v>
      </c>
      <c r="G1174" s="50" t="s">
        <v>204</v>
      </c>
      <c r="H1174" s="50" t="s">
        <v>2611</v>
      </c>
      <c r="I1174" s="49" t="s">
        <v>173</v>
      </c>
      <c r="J1174" s="50" t="s">
        <v>109</v>
      </c>
      <c r="K1174" s="50" t="s">
        <v>109</v>
      </c>
      <c r="L1174" s="50" t="s">
        <v>12</v>
      </c>
      <c r="M1174" s="50" t="s">
        <v>13</v>
      </c>
      <c r="N1174" s="50" t="s">
        <v>14</v>
      </c>
      <c r="O1174" s="48" t="s">
        <v>631</v>
      </c>
      <c r="P1174" s="45" t="s">
        <v>453</v>
      </c>
      <c r="Q1174" s="35" t="str">
        <f>MID(Tabla1[[#This Row],[Aplicación]],14,1)</f>
        <v>2</v>
      </c>
      <c r="R1174" s="35" t="s">
        <v>441</v>
      </c>
      <c r="S1174" s="35" t="str">
        <f>MID(Tabla1[[#This Row],[Aplicación]],6,2)</f>
        <v>11</v>
      </c>
      <c r="T1174" s="35" t="str">
        <f>VLOOKUP(Tabla1[[#This Row],[AREA]],Hoja1!A:B,2,FALSE)</f>
        <v>11. Salud pública y seguridad ciudadana</v>
      </c>
      <c r="U1174" s="35" t="str">
        <f>MID(Tabla1[[#This Row],[Aplicación]],9,4)</f>
        <v>1621</v>
      </c>
      <c r="V1174" s="35" t="str">
        <f>VLOOKUP(Tabla1[[#This Row],[PROGRAMA]],Hoja1!A:B,2,FALSE)</f>
        <v>1621. Servicio de limpieza</v>
      </c>
      <c r="W1174" s="35" t="str">
        <f>MID(Tabla1[[#This Row],[Aplicación]],14,2)</f>
        <v>21</v>
      </c>
      <c r="X1174" s="35" t="str">
        <f>MID(Tabla1[[#This Row],[Aplicación]],14,6)</f>
        <v>214</v>
      </c>
    </row>
    <row r="1175" spans="1:24" x14ac:dyDescent="0.25">
      <c r="A1175" s="49">
        <v>220220004184</v>
      </c>
      <c r="B1175" s="50" t="s">
        <v>172</v>
      </c>
      <c r="C1175" s="57">
        <v>44610</v>
      </c>
      <c r="D1175" s="49">
        <v>22022000901</v>
      </c>
      <c r="E1175" s="50" t="s">
        <v>1644</v>
      </c>
      <c r="F1175" s="58">
        <v>1137.04</v>
      </c>
      <c r="G1175" s="50" t="s">
        <v>204</v>
      </c>
      <c r="H1175" s="50" t="s">
        <v>2612</v>
      </c>
      <c r="I1175" s="49" t="s">
        <v>173</v>
      </c>
      <c r="J1175" s="50" t="s">
        <v>109</v>
      </c>
      <c r="K1175" s="50" t="s">
        <v>109</v>
      </c>
      <c r="L1175" s="50" t="s">
        <v>12</v>
      </c>
      <c r="M1175" s="50" t="s">
        <v>13</v>
      </c>
      <c r="N1175" s="50" t="s">
        <v>14</v>
      </c>
      <c r="O1175" s="48" t="s">
        <v>631</v>
      </c>
      <c r="P1175" s="45" t="s">
        <v>453</v>
      </c>
      <c r="Q1175" s="35" t="str">
        <f>MID(Tabla1[[#This Row],[Aplicación]],14,1)</f>
        <v>2</v>
      </c>
      <c r="R1175" s="35" t="s">
        <v>441</v>
      </c>
      <c r="S1175" s="35" t="str">
        <f>MID(Tabla1[[#This Row],[Aplicación]],6,2)</f>
        <v>11</v>
      </c>
      <c r="T1175" s="35" t="str">
        <f>VLOOKUP(Tabla1[[#This Row],[AREA]],Hoja1!A:B,2,FALSE)</f>
        <v>11. Salud pública y seguridad ciudadana</v>
      </c>
      <c r="U1175" s="35" t="str">
        <f>MID(Tabla1[[#This Row],[Aplicación]],9,4)</f>
        <v>1621</v>
      </c>
      <c r="V1175" s="35" t="str">
        <f>VLOOKUP(Tabla1[[#This Row],[PROGRAMA]],Hoja1!A:B,2,FALSE)</f>
        <v>1621. Servicio de limpieza</v>
      </c>
      <c r="W1175" s="35" t="str">
        <f>MID(Tabla1[[#This Row],[Aplicación]],14,2)</f>
        <v>21</v>
      </c>
      <c r="X1175" s="35" t="str">
        <f>MID(Tabla1[[#This Row],[Aplicación]],14,6)</f>
        <v>214</v>
      </c>
    </row>
    <row r="1176" spans="1:24" x14ac:dyDescent="0.25">
      <c r="A1176" s="49">
        <v>220220004206</v>
      </c>
      <c r="B1176" s="50" t="s">
        <v>172</v>
      </c>
      <c r="C1176" s="57">
        <v>44610</v>
      </c>
      <c r="D1176" s="49">
        <v>22022000901</v>
      </c>
      <c r="E1176" s="50" t="s">
        <v>1644</v>
      </c>
      <c r="F1176" s="58">
        <v>1229.3699999999999</v>
      </c>
      <c r="G1176" s="50" t="s">
        <v>204</v>
      </c>
      <c r="H1176" s="50" t="s">
        <v>2613</v>
      </c>
      <c r="I1176" s="49" t="s">
        <v>173</v>
      </c>
      <c r="J1176" s="50" t="s">
        <v>109</v>
      </c>
      <c r="K1176" s="50" t="s">
        <v>109</v>
      </c>
      <c r="L1176" s="50" t="s">
        <v>12</v>
      </c>
      <c r="M1176" s="50" t="s">
        <v>13</v>
      </c>
      <c r="N1176" s="50" t="s">
        <v>14</v>
      </c>
      <c r="O1176" s="48" t="s">
        <v>631</v>
      </c>
      <c r="P1176" s="45" t="s">
        <v>453</v>
      </c>
      <c r="Q1176" s="35" t="str">
        <f>MID(Tabla1[[#This Row],[Aplicación]],14,1)</f>
        <v>2</v>
      </c>
      <c r="R1176" s="35" t="s">
        <v>441</v>
      </c>
      <c r="S1176" s="35" t="str">
        <f>MID(Tabla1[[#This Row],[Aplicación]],6,2)</f>
        <v>11</v>
      </c>
      <c r="T1176" s="35" t="str">
        <f>VLOOKUP(Tabla1[[#This Row],[AREA]],Hoja1!A:B,2,FALSE)</f>
        <v>11. Salud pública y seguridad ciudadana</v>
      </c>
      <c r="U1176" s="35" t="str">
        <f>MID(Tabla1[[#This Row],[Aplicación]],9,4)</f>
        <v>1621</v>
      </c>
      <c r="V1176" s="35" t="str">
        <f>VLOOKUP(Tabla1[[#This Row],[PROGRAMA]],Hoja1!A:B,2,FALSE)</f>
        <v>1621. Servicio de limpieza</v>
      </c>
      <c r="W1176" s="35" t="str">
        <f>MID(Tabla1[[#This Row],[Aplicación]],14,2)</f>
        <v>21</v>
      </c>
      <c r="X1176" s="35" t="str">
        <f>MID(Tabla1[[#This Row],[Aplicación]],14,6)</f>
        <v>214</v>
      </c>
    </row>
    <row r="1177" spans="1:24" x14ac:dyDescent="0.25">
      <c r="A1177" s="49">
        <v>220220008700</v>
      </c>
      <c r="B1177" s="50" t="s">
        <v>172</v>
      </c>
      <c r="C1177" s="57">
        <v>44634</v>
      </c>
      <c r="D1177" s="49">
        <v>22022000902</v>
      </c>
      <c r="E1177" s="50" t="s">
        <v>1434</v>
      </c>
      <c r="F1177" s="58">
        <v>1588.11</v>
      </c>
      <c r="G1177" s="50" t="s">
        <v>204</v>
      </c>
      <c r="H1177" s="50" t="s">
        <v>2614</v>
      </c>
      <c r="I1177" s="49" t="s">
        <v>173</v>
      </c>
      <c r="J1177" s="50" t="s">
        <v>109</v>
      </c>
      <c r="K1177" s="50" t="s">
        <v>109</v>
      </c>
      <c r="L1177" s="50" t="s">
        <v>15</v>
      </c>
      <c r="M1177" s="50" t="s">
        <v>13</v>
      </c>
      <c r="N1177" s="50" t="s">
        <v>14</v>
      </c>
      <c r="O1177" s="48" t="s">
        <v>631</v>
      </c>
      <c r="P1177" s="45" t="s">
        <v>453</v>
      </c>
      <c r="Q1177" s="35" t="str">
        <f>MID(Tabla1[[#This Row],[Aplicación]],14,1)</f>
        <v>2</v>
      </c>
      <c r="R1177" s="35" t="s">
        <v>441</v>
      </c>
      <c r="S1177" s="35" t="str">
        <f>MID(Tabla1[[#This Row],[Aplicación]],6,2)</f>
        <v>11</v>
      </c>
      <c r="T1177" s="35" t="str">
        <f>VLOOKUP(Tabla1[[#This Row],[AREA]],Hoja1!A:B,2,FALSE)</f>
        <v>11. Salud pública y seguridad ciudadana</v>
      </c>
      <c r="U1177" s="35" t="str">
        <f>MID(Tabla1[[#This Row],[Aplicación]],9,4)</f>
        <v>1631</v>
      </c>
      <c r="V1177" s="35" t="str">
        <f>VLOOKUP(Tabla1[[#This Row],[PROGRAMA]],Hoja1!A:B,2,FALSE)</f>
        <v>1631. Limpieza viaria</v>
      </c>
      <c r="W1177" s="35" t="str">
        <f>MID(Tabla1[[#This Row],[Aplicación]],14,2)</f>
        <v>21</v>
      </c>
      <c r="X1177" s="35" t="str">
        <f>MID(Tabla1[[#This Row],[Aplicación]],14,6)</f>
        <v>214</v>
      </c>
    </row>
    <row r="1178" spans="1:24" x14ac:dyDescent="0.25">
      <c r="A1178" s="49">
        <v>220220009599</v>
      </c>
      <c r="B1178" s="50" t="s">
        <v>172</v>
      </c>
      <c r="C1178" s="57">
        <v>44636</v>
      </c>
      <c r="D1178" s="49">
        <v>22022000902</v>
      </c>
      <c r="E1178" s="50" t="s">
        <v>1434</v>
      </c>
      <c r="F1178" s="58">
        <v>2676.28</v>
      </c>
      <c r="G1178" s="50" t="s">
        <v>204</v>
      </c>
      <c r="H1178" s="50" t="s">
        <v>2615</v>
      </c>
      <c r="I1178" s="49" t="s">
        <v>173</v>
      </c>
      <c r="J1178" s="50" t="s">
        <v>109</v>
      </c>
      <c r="K1178" s="50" t="s">
        <v>109</v>
      </c>
      <c r="L1178" s="50" t="s">
        <v>15</v>
      </c>
      <c r="M1178" s="50" t="s">
        <v>13</v>
      </c>
      <c r="N1178" s="50" t="s">
        <v>14</v>
      </c>
      <c r="O1178" s="48" t="s">
        <v>631</v>
      </c>
      <c r="P1178" s="45" t="s">
        <v>453</v>
      </c>
      <c r="Q1178" s="35" t="str">
        <f>MID(Tabla1[[#This Row],[Aplicación]],14,1)</f>
        <v>2</v>
      </c>
      <c r="R1178" s="35" t="s">
        <v>441</v>
      </c>
      <c r="S1178" s="35" t="str">
        <f>MID(Tabla1[[#This Row],[Aplicación]],6,2)</f>
        <v>11</v>
      </c>
      <c r="T1178" s="35" t="str">
        <f>VLOOKUP(Tabla1[[#This Row],[AREA]],Hoja1!A:B,2,FALSE)</f>
        <v>11. Salud pública y seguridad ciudadana</v>
      </c>
      <c r="U1178" s="35" t="str">
        <f>MID(Tabla1[[#This Row],[Aplicación]],9,4)</f>
        <v>1631</v>
      </c>
      <c r="V1178" s="35" t="str">
        <f>VLOOKUP(Tabla1[[#This Row],[PROGRAMA]],Hoja1!A:B,2,FALSE)</f>
        <v>1631. Limpieza viaria</v>
      </c>
      <c r="W1178" s="35" t="str">
        <f>MID(Tabla1[[#This Row],[Aplicación]],14,2)</f>
        <v>21</v>
      </c>
      <c r="X1178" s="35" t="str">
        <f>MID(Tabla1[[#This Row],[Aplicación]],14,6)</f>
        <v>214</v>
      </c>
    </row>
    <row r="1179" spans="1:24" x14ac:dyDescent="0.25">
      <c r="A1179" s="49">
        <v>220219000254</v>
      </c>
      <c r="B1179" s="50" t="s">
        <v>9</v>
      </c>
      <c r="C1179" s="57">
        <v>44562</v>
      </c>
      <c r="D1179" s="49">
        <v>22022000058</v>
      </c>
      <c r="E1179" s="50" t="s">
        <v>1397</v>
      </c>
      <c r="F1179" s="58">
        <v>3511</v>
      </c>
      <c r="G1179" s="50" t="s">
        <v>80</v>
      </c>
      <c r="H1179" s="50" t="s">
        <v>2616</v>
      </c>
      <c r="I1179" s="49" t="s">
        <v>107</v>
      </c>
      <c r="J1179" s="50" t="s">
        <v>109</v>
      </c>
      <c r="K1179" s="50" t="s">
        <v>109</v>
      </c>
      <c r="L1179" s="50" t="s">
        <v>12</v>
      </c>
      <c r="M1179" s="50" t="s">
        <v>13</v>
      </c>
      <c r="N1179" s="50" t="s">
        <v>14</v>
      </c>
      <c r="O1179" s="48" t="s">
        <v>620</v>
      </c>
      <c r="P1179" s="45" t="s">
        <v>453</v>
      </c>
      <c r="Q1179" s="35" t="str">
        <f>MID(Tabla1[[#This Row],[Aplicación]],14,1)</f>
        <v>2</v>
      </c>
      <c r="R1179" s="35" t="s">
        <v>441</v>
      </c>
      <c r="S1179" s="35" t="str">
        <f>MID(Tabla1[[#This Row],[Aplicación]],6,2)</f>
        <v>10</v>
      </c>
      <c r="T1179" s="35" t="str">
        <f>VLOOKUP(Tabla1[[#This Row],[AREA]],Hoja1!A:B,2,FALSE)</f>
        <v>10. Servicios sociales y mediación comunitaria</v>
      </c>
      <c r="U1179" s="35" t="str">
        <f>MID(Tabla1[[#This Row],[Aplicación]],9,4)</f>
        <v>2312</v>
      </c>
      <c r="V1179" s="35" t="str">
        <f>VLOOKUP(Tabla1[[#This Row],[PROGRAMA]],Hoja1!A:B,2,FALSE)</f>
        <v>2312. Iniciativas sociales</v>
      </c>
      <c r="W1179" s="35" t="str">
        <f>MID(Tabla1[[#This Row],[Aplicación]],14,2)</f>
        <v>22</v>
      </c>
      <c r="X1179" s="35" t="str">
        <f>MID(Tabla1[[#This Row],[Aplicación]],14,6)</f>
        <v>22799</v>
      </c>
    </row>
    <row r="1180" spans="1:24" x14ac:dyDescent="0.25">
      <c r="A1180" s="49">
        <v>220219000253</v>
      </c>
      <c r="B1180" s="50" t="s">
        <v>9</v>
      </c>
      <c r="C1180" s="57">
        <v>44562</v>
      </c>
      <c r="D1180" s="49">
        <v>22022000056</v>
      </c>
      <c r="E1180" s="50" t="s">
        <v>1397</v>
      </c>
      <c r="F1180" s="58">
        <v>1947</v>
      </c>
      <c r="G1180" s="50" t="s">
        <v>80</v>
      </c>
      <c r="H1180" s="50" t="s">
        <v>2617</v>
      </c>
      <c r="I1180" s="49" t="s">
        <v>107</v>
      </c>
      <c r="J1180" s="50" t="s">
        <v>109</v>
      </c>
      <c r="K1180" s="50" t="s">
        <v>109</v>
      </c>
      <c r="L1180" s="50" t="s">
        <v>12</v>
      </c>
      <c r="M1180" s="50" t="s">
        <v>13</v>
      </c>
      <c r="N1180" s="50" t="s">
        <v>14</v>
      </c>
      <c r="O1180" s="48" t="s">
        <v>620</v>
      </c>
      <c r="P1180" s="45" t="s">
        <v>453</v>
      </c>
      <c r="Q1180" s="35" t="str">
        <f>MID(Tabla1[[#This Row],[Aplicación]],14,1)</f>
        <v>2</v>
      </c>
      <c r="R1180" s="35" t="s">
        <v>441</v>
      </c>
      <c r="S1180" s="35" t="str">
        <f>MID(Tabla1[[#This Row],[Aplicación]],6,2)</f>
        <v>10</v>
      </c>
      <c r="T1180" s="35" t="str">
        <f>VLOOKUP(Tabla1[[#This Row],[AREA]],Hoja1!A:B,2,FALSE)</f>
        <v>10. Servicios sociales y mediación comunitaria</v>
      </c>
      <c r="U1180" s="35" t="str">
        <f>MID(Tabla1[[#This Row],[Aplicación]],9,4)</f>
        <v>2312</v>
      </c>
      <c r="V1180" s="35" t="str">
        <f>VLOOKUP(Tabla1[[#This Row],[PROGRAMA]],Hoja1!A:B,2,FALSE)</f>
        <v>2312. Iniciativas sociales</v>
      </c>
      <c r="W1180" s="35" t="str">
        <f>MID(Tabla1[[#This Row],[Aplicación]],14,2)</f>
        <v>22</v>
      </c>
      <c r="X1180" s="35" t="str">
        <f>MID(Tabla1[[#This Row],[Aplicación]],14,6)</f>
        <v>22799</v>
      </c>
    </row>
    <row r="1181" spans="1:24" x14ac:dyDescent="0.25">
      <c r="A1181" s="49">
        <v>220220000131</v>
      </c>
      <c r="B1181" s="50" t="s">
        <v>9</v>
      </c>
      <c r="C1181" s="57">
        <v>44582</v>
      </c>
      <c r="D1181" s="49">
        <v>22022001360</v>
      </c>
      <c r="E1181" s="50" t="s">
        <v>1434</v>
      </c>
      <c r="F1181" s="58">
        <v>7000</v>
      </c>
      <c r="G1181" s="50" t="s">
        <v>235</v>
      </c>
      <c r="H1181" s="50" t="s">
        <v>2618</v>
      </c>
      <c r="I1181" s="49" t="s">
        <v>107</v>
      </c>
      <c r="J1181" s="50" t="s">
        <v>109</v>
      </c>
      <c r="K1181" s="50" t="s">
        <v>109</v>
      </c>
      <c r="L1181" s="50" t="s">
        <v>15</v>
      </c>
      <c r="M1181" s="50" t="s">
        <v>10</v>
      </c>
      <c r="N1181" s="50" t="s">
        <v>11</v>
      </c>
      <c r="O1181" s="48" t="s">
        <v>632</v>
      </c>
      <c r="P1181" s="45" t="s">
        <v>453</v>
      </c>
      <c r="Q1181" s="35" t="str">
        <f>MID(Tabla1[[#This Row],[Aplicación]],14,1)</f>
        <v>2</v>
      </c>
      <c r="R1181" s="35" t="s">
        <v>441</v>
      </c>
      <c r="S1181" s="35" t="str">
        <f>MID(Tabla1[[#This Row],[Aplicación]],6,2)</f>
        <v>11</v>
      </c>
      <c r="T1181" s="35" t="str">
        <f>VLOOKUP(Tabla1[[#This Row],[AREA]],Hoja1!A:B,2,FALSE)</f>
        <v>11. Salud pública y seguridad ciudadana</v>
      </c>
      <c r="U1181" s="35" t="str">
        <f>MID(Tabla1[[#This Row],[Aplicación]],9,4)</f>
        <v>1631</v>
      </c>
      <c r="V1181" s="35" t="str">
        <f>VLOOKUP(Tabla1[[#This Row],[PROGRAMA]],Hoja1!A:B,2,FALSE)</f>
        <v>1631. Limpieza viaria</v>
      </c>
      <c r="W1181" s="35" t="str">
        <f>MID(Tabla1[[#This Row],[Aplicación]],14,2)</f>
        <v>21</v>
      </c>
      <c r="X1181" s="35" t="str">
        <f>MID(Tabla1[[#This Row],[Aplicación]],14,6)</f>
        <v>214</v>
      </c>
    </row>
    <row r="1182" spans="1:24" x14ac:dyDescent="0.25">
      <c r="A1182" s="49">
        <v>220220006697</v>
      </c>
      <c r="B1182" s="50" t="s">
        <v>9</v>
      </c>
      <c r="C1182" s="57">
        <v>44617</v>
      </c>
      <c r="D1182" s="49">
        <v>22022002504</v>
      </c>
      <c r="E1182" s="50" t="s">
        <v>1606</v>
      </c>
      <c r="F1182" s="58">
        <v>1321.11</v>
      </c>
      <c r="G1182" s="50" t="s">
        <v>2619</v>
      </c>
      <c r="H1182" s="50" t="s">
        <v>2620</v>
      </c>
      <c r="I1182" s="49" t="s">
        <v>107</v>
      </c>
      <c r="J1182" s="50" t="s">
        <v>109</v>
      </c>
      <c r="K1182" s="50" t="s">
        <v>109</v>
      </c>
      <c r="L1182" s="50" t="s">
        <v>15</v>
      </c>
      <c r="M1182" s="50" t="s">
        <v>10</v>
      </c>
      <c r="N1182" s="50" t="s">
        <v>11</v>
      </c>
      <c r="O1182" s="48" t="s">
        <v>632</v>
      </c>
      <c r="P1182" s="45" t="s">
        <v>453</v>
      </c>
      <c r="Q1182" s="35" t="str">
        <f>MID(Tabla1[[#This Row],[Aplicación]],14,1)</f>
        <v>2</v>
      </c>
      <c r="R1182" s="35" t="s">
        <v>441</v>
      </c>
      <c r="S1182" s="35" t="str">
        <f>MID(Tabla1[[#This Row],[Aplicación]],6,2)</f>
        <v>11</v>
      </c>
      <c r="T1182" s="35" t="str">
        <f>VLOOKUP(Tabla1[[#This Row],[AREA]],Hoja1!A:B,2,FALSE)</f>
        <v>11. Salud pública y seguridad ciudadana</v>
      </c>
      <c r="U1182" s="35" t="str">
        <f>MID(Tabla1[[#This Row],[Aplicación]],9,4)</f>
        <v>1361</v>
      </c>
      <c r="V1182" s="35" t="str">
        <f>VLOOKUP(Tabla1[[#This Row],[PROGRAMA]],Hoja1!A:B,2,FALSE)</f>
        <v>1361. Prevención y extinción de incencios</v>
      </c>
      <c r="W1182" s="35" t="str">
        <f>MID(Tabla1[[#This Row],[Aplicación]],14,2)</f>
        <v>22</v>
      </c>
      <c r="X1182" s="35" t="str">
        <f>MID(Tabla1[[#This Row],[Aplicación]],14,6)</f>
        <v>22199</v>
      </c>
    </row>
    <row r="1183" spans="1:24" x14ac:dyDescent="0.25">
      <c r="A1183" s="49">
        <v>220220006692</v>
      </c>
      <c r="B1183" s="50" t="s">
        <v>9</v>
      </c>
      <c r="C1183" s="57">
        <v>44617</v>
      </c>
      <c r="D1183" s="49">
        <v>22022002351</v>
      </c>
      <c r="E1183" s="50" t="s">
        <v>1606</v>
      </c>
      <c r="F1183" s="58">
        <v>469.2</v>
      </c>
      <c r="G1183" s="50" t="s">
        <v>2619</v>
      </c>
      <c r="H1183" s="50" t="s">
        <v>2621</v>
      </c>
      <c r="I1183" s="49" t="s">
        <v>107</v>
      </c>
      <c r="J1183" s="50" t="s">
        <v>109</v>
      </c>
      <c r="K1183" s="50" t="s">
        <v>109</v>
      </c>
      <c r="L1183" s="50" t="s">
        <v>15</v>
      </c>
      <c r="M1183" s="50" t="s">
        <v>10</v>
      </c>
      <c r="N1183" s="50" t="s">
        <v>11</v>
      </c>
      <c r="O1183" s="48" t="s">
        <v>632</v>
      </c>
      <c r="P1183" s="45" t="s">
        <v>453</v>
      </c>
      <c r="Q1183" s="35" t="str">
        <f>MID(Tabla1[[#This Row],[Aplicación]],14,1)</f>
        <v>2</v>
      </c>
      <c r="R1183" s="35" t="s">
        <v>441</v>
      </c>
      <c r="S1183" s="35" t="str">
        <f>MID(Tabla1[[#This Row],[Aplicación]],6,2)</f>
        <v>11</v>
      </c>
      <c r="T1183" s="35" t="str">
        <f>VLOOKUP(Tabla1[[#This Row],[AREA]],Hoja1!A:B,2,FALSE)</f>
        <v>11. Salud pública y seguridad ciudadana</v>
      </c>
      <c r="U1183" s="35" t="str">
        <f>MID(Tabla1[[#This Row],[Aplicación]],9,4)</f>
        <v>1361</v>
      </c>
      <c r="V1183" s="35" t="str">
        <f>VLOOKUP(Tabla1[[#This Row],[PROGRAMA]],Hoja1!A:B,2,FALSE)</f>
        <v>1361. Prevención y extinción de incencios</v>
      </c>
      <c r="W1183" s="35" t="str">
        <f>MID(Tabla1[[#This Row],[Aplicación]],14,2)</f>
        <v>22</v>
      </c>
      <c r="X1183" s="35" t="str">
        <f>MID(Tabla1[[#This Row],[Aplicación]],14,6)</f>
        <v>22199</v>
      </c>
    </row>
    <row r="1184" spans="1:24" x14ac:dyDescent="0.25">
      <c r="A1184" s="49">
        <v>220209000480</v>
      </c>
      <c r="B1184" s="50" t="s">
        <v>9</v>
      </c>
      <c r="C1184" s="57">
        <v>44562</v>
      </c>
      <c r="D1184" s="49">
        <v>22022000203</v>
      </c>
      <c r="E1184" s="50" t="s">
        <v>2428</v>
      </c>
      <c r="F1184" s="58">
        <v>7285</v>
      </c>
      <c r="G1184" s="50" t="s">
        <v>726</v>
      </c>
      <c r="H1184" s="50" t="s">
        <v>2622</v>
      </c>
      <c r="I1184" s="49" t="s">
        <v>107</v>
      </c>
      <c r="J1184" s="50" t="s">
        <v>109</v>
      </c>
      <c r="K1184" s="50" t="s">
        <v>109</v>
      </c>
      <c r="L1184" s="50" t="s">
        <v>12</v>
      </c>
      <c r="M1184" s="50" t="s">
        <v>13</v>
      </c>
      <c r="N1184" s="50" t="s">
        <v>14</v>
      </c>
      <c r="O1184" s="48" t="s">
        <v>620</v>
      </c>
      <c r="P1184" s="45" t="s">
        <v>453</v>
      </c>
      <c r="Q1184" s="35" t="str">
        <f>MID(Tabla1[[#This Row],[Aplicación]],14,1)</f>
        <v>2</v>
      </c>
      <c r="R1184" s="35" t="s">
        <v>441</v>
      </c>
      <c r="S1184" s="35" t="str">
        <f>MID(Tabla1[[#This Row],[Aplicación]],6,2)</f>
        <v>07</v>
      </c>
      <c r="T1184" s="35" t="str">
        <f>VLOOKUP(Tabla1[[#This Row],[AREA]],Hoja1!A:B,2,FALSE)</f>
        <v>07. Medio ambiente y desarrollo sostenible</v>
      </c>
      <c r="U1184" s="35" t="str">
        <f>MID(Tabla1[[#This Row],[Aplicación]],9,4)</f>
        <v>1701</v>
      </c>
      <c r="V1184" s="35" t="str">
        <f>VLOOKUP(Tabla1[[#This Row],[PROGRAMA]],Hoja1!A:B,2,FALSE)</f>
        <v>1701. Dirección del área de medio ambiente</v>
      </c>
      <c r="W1184" s="35" t="str">
        <f>MID(Tabla1[[#This Row],[Aplicación]],14,2)</f>
        <v>22</v>
      </c>
      <c r="X1184" s="35" t="str">
        <f>MID(Tabla1[[#This Row],[Aplicación]],14,6)</f>
        <v>22799</v>
      </c>
    </row>
    <row r="1185" spans="1:24" x14ac:dyDescent="0.25">
      <c r="A1185" s="49">
        <v>220220000106</v>
      </c>
      <c r="B1185" s="50" t="s">
        <v>9</v>
      </c>
      <c r="C1185" s="57">
        <v>44581</v>
      </c>
      <c r="D1185" s="49">
        <v>22022001194</v>
      </c>
      <c r="E1185" s="50" t="s">
        <v>1684</v>
      </c>
      <c r="F1185" s="58">
        <v>6322.25</v>
      </c>
      <c r="G1185" s="50" t="s">
        <v>477</v>
      </c>
      <c r="H1185" s="50" t="s">
        <v>2623</v>
      </c>
      <c r="I1185" s="49" t="s">
        <v>107</v>
      </c>
      <c r="J1185" s="50" t="s">
        <v>109</v>
      </c>
      <c r="K1185" s="50" t="s">
        <v>109</v>
      </c>
      <c r="L1185" s="50" t="s">
        <v>15</v>
      </c>
      <c r="M1185" s="50" t="s">
        <v>10</v>
      </c>
      <c r="N1185" s="50" t="s">
        <v>11</v>
      </c>
      <c r="O1185" s="48" t="s">
        <v>632</v>
      </c>
      <c r="P1185" s="45" t="s">
        <v>453</v>
      </c>
      <c r="Q1185" s="35" t="str">
        <f>MID(Tabla1[[#This Row],[Aplicación]],14,1)</f>
        <v>2</v>
      </c>
      <c r="R1185" s="35" t="s">
        <v>441</v>
      </c>
      <c r="S1185" s="35" t="str">
        <f>MID(Tabla1[[#This Row],[Aplicación]],6,2)</f>
        <v>01</v>
      </c>
      <c r="T1185" s="35" t="str">
        <f>VLOOKUP(Tabla1[[#This Row],[AREA]],Hoja1!A:B,2,FALSE)</f>
        <v>01. Alcaldía</v>
      </c>
      <c r="U1185" s="35" t="str">
        <f>MID(Tabla1[[#This Row],[Aplicación]],9,4)</f>
        <v>9205</v>
      </c>
      <c r="V1185" s="35" t="str">
        <f>VLOOKUP(Tabla1[[#This Row],[PROGRAMA]],Hoja1!A:B,2,FALSE)</f>
        <v>9205. Imprenta municipal</v>
      </c>
      <c r="W1185" s="35" t="str">
        <f>MID(Tabla1[[#This Row],[Aplicación]],14,2)</f>
        <v>22</v>
      </c>
      <c r="X1185" s="35" t="str">
        <f>MID(Tabla1[[#This Row],[Aplicación]],14,6)</f>
        <v>22199</v>
      </c>
    </row>
    <row r="1186" spans="1:24" x14ac:dyDescent="0.25">
      <c r="A1186" s="49">
        <v>220220010192</v>
      </c>
      <c r="B1186" s="50" t="s">
        <v>9</v>
      </c>
      <c r="C1186" s="57">
        <v>44638</v>
      </c>
      <c r="D1186" s="49">
        <v>22022002943</v>
      </c>
      <c r="E1186" s="50" t="s">
        <v>2007</v>
      </c>
      <c r="F1186" s="58">
        <v>2090.88</v>
      </c>
      <c r="G1186" s="50" t="s">
        <v>469</v>
      </c>
      <c r="H1186" s="50" t="s">
        <v>2624</v>
      </c>
      <c r="I1186" s="49" t="s">
        <v>107</v>
      </c>
      <c r="J1186" s="50" t="s">
        <v>596</v>
      </c>
      <c r="K1186" s="50" t="s">
        <v>109</v>
      </c>
      <c r="L1186" s="50" t="s">
        <v>15</v>
      </c>
      <c r="M1186" s="50" t="s">
        <v>10</v>
      </c>
      <c r="N1186" s="50" t="s">
        <v>11</v>
      </c>
      <c r="O1186" s="48" t="s">
        <v>632</v>
      </c>
      <c r="P1186" s="45" t="s">
        <v>453</v>
      </c>
      <c r="Q1186" s="35" t="str">
        <f>MID(Tabla1[[#This Row],[Aplicación]],14,1)</f>
        <v>2</v>
      </c>
      <c r="R1186" s="35" t="s">
        <v>441</v>
      </c>
      <c r="S1186" s="35" t="str">
        <f>MID(Tabla1[[#This Row],[Aplicación]],6,2)</f>
        <v>11</v>
      </c>
      <c r="T1186" s="35" t="str">
        <f>VLOOKUP(Tabla1[[#This Row],[AREA]],Hoja1!A:B,2,FALSE)</f>
        <v>11. Salud pública y seguridad ciudadana</v>
      </c>
      <c r="U1186" s="35" t="str">
        <f>MID(Tabla1[[#This Row],[Aplicación]],9,4)</f>
        <v>1621</v>
      </c>
      <c r="V1186" s="35" t="str">
        <f>VLOOKUP(Tabla1[[#This Row],[PROGRAMA]],Hoja1!A:B,2,FALSE)</f>
        <v>1621. Servicio de limpieza</v>
      </c>
      <c r="W1186" s="35" t="str">
        <f>MID(Tabla1[[#This Row],[Aplicación]],14,2)</f>
        <v>22</v>
      </c>
      <c r="X1186" s="35" t="str">
        <f>MID(Tabla1[[#This Row],[Aplicación]],14,6)</f>
        <v>22199</v>
      </c>
    </row>
    <row r="1187" spans="1:24" x14ac:dyDescent="0.25">
      <c r="A1187" s="49">
        <v>220220003281</v>
      </c>
      <c r="B1187" s="50" t="s">
        <v>9</v>
      </c>
      <c r="C1187" s="57">
        <v>44602</v>
      </c>
      <c r="D1187" s="49">
        <v>22022002114</v>
      </c>
      <c r="E1187" s="50" t="s">
        <v>2625</v>
      </c>
      <c r="F1187" s="58">
        <v>1425</v>
      </c>
      <c r="G1187" s="50" t="s">
        <v>469</v>
      </c>
      <c r="H1187" s="50" t="s">
        <v>2626</v>
      </c>
      <c r="I1187" s="49" t="s">
        <v>107</v>
      </c>
      <c r="J1187" s="50" t="s">
        <v>596</v>
      </c>
      <c r="K1187" s="50" t="s">
        <v>109</v>
      </c>
      <c r="L1187" s="50" t="s">
        <v>12</v>
      </c>
      <c r="M1187" s="50" t="s">
        <v>10</v>
      </c>
      <c r="N1187" s="50" t="s">
        <v>11</v>
      </c>
      <c r="O1187" s="48" t="s">
        <v>632</v>
      </c>
      <c r="P1187" s="45" t="s">
        <v>453</v>
      </c>
      <c r="Q1187" s="35" t="str">
        <f>MID(Tabla1[[#This Row],[Aplicación]],14,1)</f>
        <v>2</v>
      </c>
      <c r="R1187" s="35" t="s">
        <v>441</v>
      </c>
      <c r="S1187" s="35" t="str">
        <f>MID(Tabla1[[#This Row],[Aplicación]],6,2)</f>
        <v>04</v>
      </c>
      <c r="T1187" s="35" t="str">
        <f>VLOOKUP(Tabla1[[#This Row],[AREA]],Hoja1!A:B,2,FALSE)</f>
        <v>04. Planificación y recursos</v>
      </c>
      <c r="U1187" s="35" t="str">
        <f>MID(Tabla1[[#This Row],[Aplicación]],9,4)</f>
        <v>3121</v>
      </c>
      <c r="V1187" s="35" t="str">
        <f>VLOOKUP(Tabla1[[#This Row],[PROGRAMA]],Hoja1!A:B,2,FALSE)</f>
        <v>3121. Prevención y salud laboral</v>
      </c>
      <c r="W1187" s="35" t="str">
        <f>MID(Tabla1[[#This Row],[Aplicación]],14,2)</f>
        <v>22</v>
      </c>
      <c r="X1187" s="35" t="str">
        <f>MID(Tabla1[[#This Row],[Aplicación]],14,6)</f>
        <v>22199</v>
      </c>
    </row>
    <row r="1188" spans="1:24" x14ac:dyDescent="0.25">
      <c r="A1188" s="49">
        <v>220219000205</v>
      </c>
      <c r="B1188" s="50" t="s">
        <v>9</v>
      </c>
      <c r="C1188" s="57">
        <v>44562</v>
      </c>
      <c r="D1188" s="49">
        <v>22022000406</v>
      </c>
      <c r="E1188" s="50" t="s">
        <v>2627</v>
      </c>
      <c r="F1188" s="58">
        <v>75000</v>
      </c>
      <c r="G1188" s="50" t="s">
        <v>35</v>
      </c>
      <c r="H1188" s="50" t="s">
        <v>2628</v>
      </c>
      <c r="I1188" s="49" t="s">
        <v>107</v>
      </c>
      <c r="J1188" s="50" t="s">
        <v>128</v>
      </c>
      <c r="K1188" s="50" t="s">
        <v>128</v>
      </c>
      <c r="L1188" s="50" t="s">
        <v>15</v>
      </c>
      <c r="M1188" s="50" t="s">
        <v>13</v>
      </c>
      <c r="N1188" s="50" t="s">
        <v>14</v>
      </c>
      <c r="O1188" s="48" t="s">
        <v>620</v>
      </c>
      <c r="P1188" s="45" t="s">
        <v>453</v>
      </c>
      <c r="Q1188" s="35" t="str">
        <f>MID(Tabla1[[#This Row],[Aplicación]],14,1)</f>
        <v>2</v>
      </c>
      <c r="R1188" s="35" t="s">
        <v>441</v>
      </c>
      <c r="S1188" s="35" t="str">
        <f>MID(Tabla1[[#This Row],[Aplicación]],6,2)</f>
        <v>02</v>
      </c>
      <c r="T1188" s="35" t="str">
        <f>VLOOKUP(Tabla1[[#This Row],[AREA]],Hoja1!A:B,2,FALSE)</f>
        <v>02. Planeamiento urbanístico y vivienda</v>
      </c>
      <c r="U1188" s="35" t="str">
        <f>MID(Tabla1[[#This Row],[Aplicación]],9,4)</f>
        <v>9332</v>
      </c>
      <c r="V1188" s="35" t="str">
        <f>VLOOKUP(Tabla1[[#This Row],[PROGRAMA]],Hoja1!A:B,2,FALSE)</f>
        <v>9332. Mantenimiento de edificios e instalaciones municipales</v>
      </c>
      <c r="W1188" s="35" t="str">
        <f>MID(Tabla1[[#This Row],[Aplicación]],14,2)</f>
        <v>22</v>
      </c>
      <c r="X1188" s="35" t="str">
        <f>MID(Tabla1[[#This Row],[Aplicación]],14,6)</f>
        <v>22102</v>
      </c>
    </row>
    <row r="1189" spans="1:24" x14ac:dyDescent="0.25">
      <c r="A1189" s="49">
        <v>220219000202</v>
      </c>
      <c r="B1189" s="50" t="s">
        <v>9</v>
      </c>
      <c r="C1189" s="57">
        <v>44562</v>
      </c>
      <c r="D1189" s="49">
        <v>22022000403</v>
      </c>
      <c r="E1189" s="50" t="s">
        <v>2629</v>
      </c>
      <c r="F1189" s="58">
        <v>55000</v>
      </c>
      <c r="G1189" s="50" t="s">
        <v>35</v>
      </c>
      <c r="H1189" s="50" t="s">
        <v>2630</v>
      </c>
      <c r="I1189" s="49" t="s">
        <v>107</v>
      </c>
      <c r="J1189" s="50" t="s">
        <v>128</v>
      </c>
      <c r="K1189" s="50" t="s">
        <v>128</v>
      </c>
      <c r="L1189" s="50" t="s">
        <v>15</v>
      </c>
      <c r="M1189" s="50" t="s">
        <v>13</v>
      </c>
      <c r="N1189" s="50" t="s">
        <v>14</v>
      </c>
      <c r="O1189" s="48" t="s">
        <v>620</v>
      </c>
      <c r="P1189" s="45" t="s">
        <v>453</v>
      </c>
      <c r="Q1189" s="35" t="str">
        <f>MID(Tabla1[[#This Row],[Aplicación]],14,1)</f>
        <v>2</v>
      </c>
      <c r="R1189" s="35" t="s">
        <v>441</v>
      </c>
      <c r="S1189" s="35" t="str">
        <f>MID(Tabla1[[#This Row],[Aplicación]],6,2)</f>
        <v>11</v>
      </c>
      <c r="T1189" s="35" t="str">
        <f>VLOOKUP(Tabla1[[#This Row],[AREA]],Hoja1!A:B,2,FALSE)</f>
        <v>11. Salud pública y seguridad ciudadana</v>
      </c>
      <c r="U1189" s="35" t="str">
        <f>MID(Tabla1[[#This Row],[Aplicación]],9,4)</f>
        <v>1321</v>
      </c>
      <c r="V1189" s="35" t="str">
        <f>VLOOKUP(Tabla1[[#This Row],[PROGRAMA]],Hoja1!A:B,2,FALSE)</f>
        <v>1321. Policía municipal</v>
      </c>
      <c r="W1189" s="35" t="str">
        <f>MID(Tabla1[[#This Row],[Aplicación]],14,2)</f>
        <v>22</v>
      </c>
      <c r="X1189" s="35" t="str">
        <f>MID(Tabla1[[#This Row],[Aplicación]],14,6)</f>
        <v>22102</v>
      </c>
    </row>
    <row r="1190" spans="1:24" x14ac:dyDescent="0.25">
      <c r="A1190" s="49">
        <v>220219000200</v>
      </c>
      <c r="B1190" s="50" t="s">
        <v>9</v>
      </c>
      <c r="C1190" s="57">
        <v>44562</v>
      </c>
      <c r="D1190" s="49">
        <v>22022000401</v>
      </c>
      <c r="E1190" s="50" t="s">
        <v>2631</v>
      </c>
      <c r="F1190" s="58">
        <v>53680</v>
      </c>
      <c r="G1190" s="50" t="s">
        <v>35</v>
      </c>
      <c r="H1190" s="50" t="s">
        <v>2632</v>
      </c>
      <c r="I1190" s="49" t="s">
        <v>107</v>
      </c>
      <c r="J1190" s="50" t="s">
        <v>128</v>
      </c>
      <c r="K1190" s="50" t="s">
        <v>128</v>
      </c>
      <c r="L1190" s="50" t="s">
        <v>15</v>
      </c>
      <c r="M1190" s="50" t="s">
        <v>13</v>
      </c>
      <c r="N1190" s="50" t="s">
        <v>16</v>
      </c>
      <c r="O1190" s="48" t="s">
        <v>620</v>
      </c>
      <c r="P1190" s="45" t="s">
        <v>453</v>
      </c>
      <c r="Q1190" s="35" t="str">
        <f>MID(Tabla1[[#This Row],[Aplicación]],14,1)</f>
        <v>2</v>
      </c>
      <c r="R1190" s="35" t="s">
        <v>441</v>
      </c>
      <c r="S1190" s="35" t="str">
        <f>MID(Tabla1[[#This Row],[Aplicación]],6,2)</f>
        <v>06</v>
      </c>
      <c r="T1190" s="35" t="str">
        <f>VLOOKUP(Tabla1[[#This Row],[AREA]],Hoja1!A:B,2,FALSE)</f>
        <v>06. Educación, infancia, juventud e igualdad</v>
      </c>
      <c r="U1190" s="35" t="str">
        <f>MID(Tabla1[[#This Row],[Aplicación]],9,4)</f>
        <v>3231</v>
      </c>
      <c r="V1190" s="35" t="str">
        <f>VLOOKUP(Tabla1[[#This Row],[PROGRAMA]],Hoja1!A:B,2,FALSE)</f>
        <v>3231. Escuelas infantiles</v>
      </c>
      <c r="W1190" s="35" t="str">
        <f>MID(Tabla1[[#This Row],[Aplicación]],14,2)</f>
        <v>22</v>
      </c>
      <c r="X1190" s="35" t="str">
        <f>MID(Tabla1[[#This Row],[Aplicación]],14,6)</f>
        <v>22102</v>
      </c>
    </row>
    <row r="1191" spans="1:24" x14ac:dyDescent="0.25">
      <c r="A1191" s="49">
        <v>220219000197</v>
      </c>
      <c r="B1191" s="50" t="s">
        <v>9</v>
      </c>
      <c r="C1191" s="57">
        <v>44562</v>
      </c>
      <c r="D1191" s="49">
        <v>22022000398</v>
      </c>
      <c r="E1191" s="50" t="s">
        <v>2633</v>
      </c>
      <c r="F1191" s="58">
        <v>42000</v>
      </c>
      <c r="G1191" s="50" t="s">
        <v>35</v>
      </c>
      <c r="H1191" s="50" t="s">
        <v>2634</v>
      </c>
      <c r="I1191" s="49" t="s">
        <v>107</v>
      </c>
      <c r="J1191" s="50" t="s">
        <v>128</v>
      </c>
      <c r="K1191" s="50" t="s">
        <v>128</v>
      </c>
      <c r="L1191" s="50" t="s">
        <v>15</v>
      </c>
      <c r="M1191" s="50" t="s">
        <v>13</v>
      </c>
      <c r="N1191" s="50" t="s">
        <v>16</v>
      </c>
      <c r="O1191" s="48" t="s">
        <v>620</v>
      </c>
      <c r="P1191" s="45" t="s">
        <v>453</v>
      </c>
      <c r="Q1191" s="35" t="str">
        <f>MID(Tabla1[[#This Row],[Aplicación]],14,1)</f>
        <v>2</v>
      </c>
      <c r="R1191" s="35" t="s">
        <v>441</v>
      </c>
      <c r="S1191" s="35" t="str">
        <f>MID(Tabla1[[#This Row],[Aplicación]],6,2)</f>
        <v>10</v>
      </c>
      <c r="T1191" s="35" t="str">
        <f>VLOOKUP(Tabla1[[#This Row],[AREA]],Hoja1!A:B,2,FALSE)</f>
        <v>10. Servicios sociales y mediación comunitaria</v>
      </c>
      <c r="U1191" s="35" t="str">
        <f>MID(Tabla1[[#This Row],[Aplicación]],9,4)</f>
        <v>2312</v>
      </c>
      <c r="V1191" s="35" t="str">
        <f>VLOOKUP(Tabla1[[#This Row],[PROGRAMA]],Hoja1!A:B,2,FALSE)</f>
        <v>2312. Iniciativas sociales</v>
      </c>
      <c r="W1191" s="35" t="str">
        <f>MID(Tabla1[[#This Row],[Aplicación]],14,2)</f>
        <v>22</v>
      </c>
      <c r="X1191" s="35" t="str">
        <f>MID(Tabla1[[#This Row],[Aplicación]],14,6)</f>
        <v>22102</v>
      </c>
    </row>
    <row r="1192" spans="1:24" x14ac:dyDescent="0.25">
      <c r="A1192" s="49">
        <v>220219000196</v>
      </c>
      <c r="B1192" s="50" t="s">
        <v>9</v>
      </c>
      <c r="C1192" s="57">
        <v>44562</v>
      </c>
      <c r="D1192" s="49">
        <v>22022000397</v>
      </c>
      <c r="E1192" s="50" t="s">
        <v>2633</v>
      </c>
      <c r="F1192" s="58">
        <v>32000</v>
      </c>
      <c r="G1192" s="50" t="s">
        <v>35</v>
      </c>
      <c r="H1192" s="50" t="s">
        <v>2635</v>
      </c>
      <c r="I1192" s="49" t="s">
        <v>107</v>
      </c>
      <c r="J1192" s="50" t="s">
        <v>128</v>
      </c>
      <c r="K1192" s="50" t="s">
        <v>128</v>
      </c>
      <c r="L1192" s="50" t="s">
        <v>15</v>
      </c>
      <c r="M1192" s="50" t="s">
        <v>13</v>
      </c>
      <c r="N1192" s="50" t="s">
        <v>16</v>
      </c>
      <c r="O1192" s="48" t="s">
        <v>620</v>
      </c>
      <c r="P1192" s="45" t="s">
        <v>453</v>
      </c>
      <c r="Q1192" s="35" t="str">
        <f>MID(Tabla1[[#This Row],[Aplicación]],14,1)</f>
        <v>2</v>
      </c>
      <c r="R1192" s="35" t="s">
        <v>441</v>
      </c>
      <c r="S1192" s="35" t="str">
        <f>MID(Tabla1[[#This Row],[Aplicación]],6,2)</f>
        <v>10</v>
      </c>
      <c r="T1192" s="35" t="str">
        <f>VLOOKUP(Tabla1[[#This Row],[AREA]],Hoja1!A:B,2,FALSE)</f>
        <v>10. Servicios sociales y mediación comunitaria</v>
      </c>
      <c r="U1192" s="35" t="str">
        <f>MID(Tabla1[[#This Row],[Aplicación]],9,4)</f>
        <v>2312</v>
      </c>
      <c r="V1192" s="35" t="str">
        <f>VLOOKUP(Tabla1[[#This Row],[PROGRAMA]],Hoja1!A:B,2,FALSE)</f>
        <v>2312. Iniciativas sociales</v>
      </c>
      <c r="W1192" s="35" t="str">
        <f>MID(Tabla1[[#This Row],[Aplicación]],14,2)</f>
        <v>22</v>
      </c>
      <c r="X1192" s="35" t="str">
        <f>MID(Tabla1[[#This Row],[Aplicación]],14,6)</f>
        <v>22102</v>
      </c>
    </row>
    <row r="1193" spans="1:24" x14ac:dyDescent="0.25">
      <c r="A1193" s="49">
        <v>220219000203</v>
      </c>
      <c r="B1193" s="50" t="s">
        <v>9</v>
      </c>
      <c r="C1193" s="57">
        <v>44562</v>
      </c>
      <c r="D1193" s="49">
        <v>22022000404</v>
      </c>
      <c r="E1193" s="50" t="s">
        <v>2636</v>
      </c>
      <c r="F1193" s="58">
        <v>30000</v>
      </c>
      <c r="G1193" s="50" t="s">
        <v>35</v>
      </c>
      <c r="H1193" s="50" t="s">
        <v>2637</v>
      </c>
      <c r="I1193" s="49" t="s">
        <v>107</v>
      </c>
      <c r="J1193" s="50" t="s">
        <v>128</v>
      </c>
      <c r="K1193" s="50" t="s">
        <v>128</v>
      </c>
      <c r="L1193" s="50" t="s">
        <v>15</v>
      </c>
      <c r="M1193" s="50" t="s">
        <v>13</v>
      </c>
      <c r="N1193" s="50" t="s">
        <v>14</v>
      </c>
      <c r="O1193" s="48" t="s">
        <v>620</v>
      </c>
      <c r="P1193" s="45" t="s">
        <v>453</v>
      </c>
      <c r="Q1193" s="35" t="str">
        <f>MID(Tabla1[[#This Row],[Aplicación]],14,1)</f>
        <v>2</v>
      </c>
      <c r="R1193" s="35" t="s">
        <v>441</v>
      </c>
      <c r="S1193" s="35" t="str">
        <f>MID(Tabla1[[#This Row],[Aplicación]],6,2)</f>
        <v>11</v>
      </c>
      <c r="T1193" s="35" t="str">
        <f>VLOOKUP(Tabla1[[#This Row],[AREA]],Hoja1!A:B,2,FALSE)</f>
        <v>11. Salud pública y seguridad ciudadana</v>
      </c>
      <c r="U1193" s="35" t="str">
        <f>MID(Tabla1[[#This Row],[Aplicación]],9,4)</f>
        <v>1361</v>
      </c>
      <c r="V1193" s="35" t="str">
        <f>VLOOKUP(Tabla1[[#This Row],[PROGRAMA]],Hoja1!A:B,2,FALSE)</f>
        <v>1361. Prevención y extinción de incencios</v>
      </c>
      <c r="W1193" s="35" t="str">
        <f>MID(Tabla1[[#This Row],[Aplicación]],14,2)</f>
        <v>22</v>
      </c>
      <c r="X1193" s="35" t="str">
        <f>MID(Tabla1[[#This Row],[Aplicación]],14,6)</f>
        <v>22102</v>
      </c>
    </row>
    <row r="1194" spans="1:24" x14ac:dyDescent="0.25">
      <c r="A1194" s="49">
        <v>220219000192</v>
      </c>
      <c r="B1194" s="50" t="s">
        <v>9</v>
      </c>
      <c r="C1194" s="57">
        <v>44562</v>
      </c>
      <c r="D1194" s="49">
        <v>22022000393</v>
      </c>
      <c r="E1194" s="50" t="s">
        <v>2638</v>
      </c>
      <c r="F1194" s="58">
        <v>23000</v>
      </c>
      <c r="G1194" s="50" t="s">
        <v>35</v>
      </c>
      <c r="H1194" s="50" t="s">
        <v>2639</v>
      </c>
      <c r="I1194" s="49" t="s">
        <v>107</v>
      </c>
      <c r="J1194" s="50" t="s">
        <v>128</v>
      </c>
      <c r="K1194" s="50" t="s">
        <v>128</v>
      </c>
      <c r="L1194" s="50" t="s">
        <v>15</v>
      </c>
      <c r="M1194" s="50" t="s">
        <v>13</v>
      </c>
      <c r="N1194" s="50" t="s">
        <v>14</v>
      </c>
      <c r="O1194" s="48" t="s">
        <v>620</v>
      </c>
      <c r="P1194" s="45" t="s">
        <v>453</v>
      </c>
      <c r="Q1194" s="35" t="str">
        <f>MID(Tabla1[[#This Row],[Aplicación]],14,1)</f>
        <v>2</v>
      </c>
      <c r="R1194" s="35" t="s">
        <v>441</v>
      </c>
      <c r="S1194" s="35" t="str">
        <f>MID(Tabla1[[#This Row],[Aplicación]],6,2)</f>
        <v>11</v>
      </c>
      <c r="T1194" s="35" t="str">
        <f>VLOOKUP(Tabla1[[#This Row],[AREA]],Hoja1!A:B,2,FALSE)</f>
        <v>11. Salud pública y seguridad ciudadana</v>
      </c>
      <c r="U1194" s="35" t="str">
        <f>MID(Tabla1[[#This Row],[Aplicación]],9,4)</f>
        <v>1621</v>
      </c>
      <c r="V1194" s="35" t="str">
        <f>VLOOKUP(Tabla1[[#This Row],[PROGRAMA]],Hoja1!A:B,2,FALSE)</f>
        <v>1621. Servicio de limpieza</v>
      </c>
      <c r="W1194" s="35" t="str">
        <f>MID(Tabla1[[#This Row],[Aplicación]],14,2)</f>
        <v>22</v>
      </c>
      <c r="X1194" s="35" t="str">
        <f>MID(Tabla1[[#This Row],[Aplicación]],14,6)</f>
        <v>22102</v>
      </c>
    </row>
    <row r="1195" spans="1:24" x14ac:dyDescent="0.25">
      <c r="A1195" s="49">
        <v>220219000195</v>
      </c>
      <c r="B1195" s="50" t="s">
        <v>9</v>
      </c>
      <c r="C1195" s="57">
        <v>44562</v>
      </c>
      <c r="D1195" s="49">
        <v>22022000396</v>
      </c>
      <c r="E1195" s="50" t="s">
        <v>2640</v>
      </c>
      <c r="F1195" s="58">
        <v>13000</v>
      </c>
      <c r="G1195" s="50" t="s">
        <v>35</v>
      </c>
      <c r="H1195" s="50" t="s">
        <v>2641</v>
      </c>
      <c r="I1195" s="49" t="s">
        <v>107</v>
      </c>
      <c r="J1195" s="50" t="s">
        <v>128</v>
      </c>
      <c r="K1195" s="50" t="s">
        <v>128</v>
      </c>
      <c r="L1195" s="50" t="s">
        <v>15</v>
      </c>
      <c r="M1195" s="50" t="s">
        <v>13</v>
      </c>
      <c r="N1195" s="50" t="s">
        <v>14</v>
      </c>
      <c r="O1195" s="48" t="s">
        <v>620</v>
      </c>
      <c r="P1195" s="45" t="s">
        <v>453</v>
      </c>
      <c r="Q1195" s="35" t="str">
        <f>MID(Tabla1[[#This Row],[Aplicación]],14,1)</f>
        <v>2</v>
      </c>
      <c r="R1195" s="35" t="s">
        <v>441</v>
      </c>
      <c r="S1195" s="35" t="str">
        <f>MID(Tabla1[[#This Row],[Aplicación]],6,2)</f>
        <v>10</v>
      </c>
      <c r="T1195" s="35" t="str">
        <f>VLOOKUP(Tabla1[[#This Row],[AREA]],Hoja1!A:B,2,FALSE)</f>
        <v>10. Servicios sociales y mediación comunitaria</v>
      </c>
      <c r="U1195" s="35" t="str">
        <f>MID(Tabla1[[#This Row],[Aplicación]],9,4)</f>
        <v>2311</v>
      </c>
      <c r="V1195" s="35" t="str">
        <f>VLOOKUP(Tabla1[[#This Row],[PROGRAMA]],Hoja1!A:B,2,FALSE)</f>
        <v>2311. Intervención social</v>
      </c>
      <c r="W1195" s="35" t="str">
        <f>MID(Tabla1[[#This Row],[Aplicación]],14,2)</f>
        <v>22</v>
      </c>
      <c r="X1195" s="35" t="str">
        <f>MID(Tabla1[[#This Row],[Aplicación]],14,6)</f>
        <v>22102</v>
      </c>
    </row>
    <row r="1196" spans="1:24" x14ac:dyDescent="0.25">
      <c r="A1196" s="49">
        <v>220219000198</v>
      </c>
      <c r="B1196" s="50" t="s">
        <v>9</v>
      </c>
      <c r="C1196" s="57">
        <v>44562</v>
      </c>
      <c r="D1196" s="49">
        <v>22022000399</v>
      </c>
      <c r="E1196" s="50" t="s">
        <v>2642</v>
      </c>
      <c r="F1196" s="58">
        <v>10000</v>
      </c>
      <c r="G1196" s="50" t="s">
        <v>35</v>
      </c>
      <c r="H1196" s="50" t="s">
        <v>2643</v>
      </c>
      <c r="I1196" s="49" t="s">
        <v>107</v>
      </c>
      <c r="J1196" s="50" t="s">
        <v>128</v>
      </c>
      <c r="K1196" s="50" t="s">
        <v>128</v>
      </c>
      <c r="L1196" s="50" t="s">
        <v>15</v>
      </c>
      <c r="M1196" s="50" t="s">
        <v>13</v>
      </c>
      <c r="N1196" s="50" t="s">
        <v>16</v>
      </c>
      <c r="O1196" s="48" t="s">
        <v>620</v>
      </c>
      <c r="P1196" s="45" t="s">
        <v>453</v>
      </c>
      <c r="Q1196" s="35" t="str">
        <f>MID(Tabla1[[#This Row],[Aplicación]],14,1)</f>
        <v>2</v>
      </c>
      <c r="R1196" s="35" t="s">
        <v>441</v>
      </c>
      <c r="S1196" s="35" t="str">
        <f>MID(Tabla1[[#This Row],[Aplicación]],6,2)</f>
        <v>10</v>
      </c>
      <c r="T1196" s="35" t="str">
        <f>VLOOKUP(Tabla1[[#This Row],[AREA]],Hoja1!A:B,2,FALSE)</f>
        <v>10. Servicios sociales y mediación comunitaria</v>
      </c>
      <c r="U1196" s="35" t="str">
        <f>MID(Tabla1[[#This Row],[Aplicación]],9,4)</f>
        <v>2412</v>
      </c>
      <c r="V1196" s="35" t="str">
        <f>VLOOKUP(Tabla1[[#This Row],[PROGRAMA]],Hoja1!A:B,2,FALSE)</f>
        <v>2412. Formación para el empleo</v>
      </c>
      <c r="W1196" s="35" t="str">
        <f>MID(Tabla1[[#This Row],[Aplicación]],14,2)</f>
        <v>22</v>
      </c>
      <c r="X1196" s="35" t="str">
        <f>MID(Tabla1[[#This Row],[Aplicación]],14,6)</f>
        <v>22102</v>
      </c>
    </row>
    <row r="1197" spans="1:24" x14ac:dyDescent="0.25">
      <c r="A1197" s="49">
        <v>220219000193</v>
      </c>
      <c r="B1197" s="50" t="s">
        <v>9</v>
      </c>
      <c r="C1197" s="57">
        <v>44562</v>
      </c>
      <c r="D1197" s="49">
        <v>22022000394</v>
      </c>
      <c r="E1197" s="50" t="s">
        <v>2640</v>
      </c>
      <c r="F1197" s="58">
        <v>8000</v>
      </c>
      <c r="G1197" s="50" t="s">
        <v>35</v>
      </c>
      <c r="H1197" s="50" t="s">
        <v>2644</v>
      </c>
      <c r="I1197" s="49" t="s">
        <v>107</v>
      </c>
      <c r="J1197" s="50" t="s">
        <v>128</v>
      </c>
      <c r="K1197" s="50" t="s">
        <v>128</v>
      </c>
      <c r="L1197" s="50" t="s">
        <v>15</v>
      </c>
      <c r="M1197" s="50" t="s">
        <v>13</v>
      </c>
      <c r="N1197" s="50" t="s">
        <v>14</v>
      </c>
      <c r="O1197" s="48" t="s">
        <v>620</v>
      </c>
      <c r="P1197" s="45" t="s">
        <v>453</v>
      </c>
      <c r="Q1197" s="35" t="str">
        <f>MID(Tabla1[[#This Row],[Aplicación]],14,1)</f>
        <v>2</v>
      </c>
      <c r="R1197" s="35" t="s">
        <v>441</v>
      </c>
      <c r="S1197" s="35" t="str">
        <f>MID(Tabla1[[#This Row],[Aplicación]],6,2)</f>
        <v>10</v>
      </c>
      <c r="T1197" s="35" t="str">
        <f>VLOOKUP(Tabla1[[#This Row],[AREA]],Hoja1!A:B,2,FALSE)</f>
        <v>10. Servicios sociales y mediación comunitaria</v>
      </c>
      <c r="U1197" s="35" t="str">
        <f>MID(Tabla1[[#This Row],[Aplicación]],9,4)</f>
        <v>2311</v>
      </c>
      <c r="V1197" s="35" t="str">
        <f>VLOOKUP(Tabla1[[#This Row],[PROGRAMA]],Hoja1!A:B,2,FALSE)</f>
        <v>2311. Intervención social</v>
      </c>
      <c r="W1197" s="35" t="str">
        <f>MID(Tabla1[[#This Row],[Aplicación]],14,2)</f>
        <v>22</v>
      </c>
      <c r="X1197" s="35" t="str">
        <f>MID(Tabla1[[#This Row],[Aplicación]],14,6)</f>
        <v>22102</v>
      </c>
    </row>
    <row r="1198" spans="1:24" x14ac:dyDescent="0.25">
      <c r="A1198" s="49">
        <v>220219000201</v>
      </c>
      <c r="B1198" s="50" t="s">
        <v>9</v>
      </c>
      <c r="C1198" s="57">
        <v>44562</v>
      </c>
      <c r="D1198" s="49">
        <v>22022000402</v>
      </c>
      <c r="E1198" s="50" t="s">
        <v>2645</v>
      </c>
      <c r="F1198" s="58">
        <v>7225</v>
      </c>
      <c r="G1198" s="50" t="s">
        <v>35</v>
      </c>
      <c r="H1198" s="50" t="s">
        <v>2646</v>
      </c>
      <c r="I1198" s="49" t="s">
        <v>107</v>
      </c>
      <c r="J1198" s="50" t="s">
        <v>128</v>
      </c>
      <c r="K1198" s="50" t="s">
        <v>128</v>
      </c>
      <c r="L1198" s="50" t="s">
        <v>15</v>
      </c>
      <c r="M1198" s="50" t="s">
        <v>13</v>
      </c>
      <c r="N1198" s="50" t="s">
        <v>16</v>
      </c>
      <c r="O1198" s="48" t="s">
        <v>620</v>
      </c>
      <c r="P1198" s="45" t="s">
        <v>453</v>
      </c>
      <c r="Q1198" s="35" t="str">
        <f>MID(Tabla1[[#This Row],[Aplicación]],14,1)</f>
        <v>2</v>
      </c>
      <c r="R1198" s="35" t="s">
        <v>441</v>
      </c>
      <c r="S1198" s="35" t="str">
        <f>MID(Tabla1[[#This Row],[Aplicación]],6,2)</f>
        <v>06</v>
      </c>
      <c r="T1198" s="35" t="str">
        <f>VLOOKUP(Tabla1[[#This Row],[AREA]],Hoja1!A:B,2,FALSE)</f>
        <v>06. Educación, infancia, juventud e igualdad</v>
      </c>
      <c r="U1198" s="35" t="str">
        <f>MID(Tabla1[[#This Row],[Aplicación]],9,4)</f>
        <v>3321</v>
      </c>
      <c r="V1198" s="35" t="str">
        <f>VLOOKUP(Tabla1[[#This Row],[PROGRAMA]],Hoja1!A:B,2,FALSE)</f>
        <v>3321. Bibliotecas públicas</v>
      </c>
      <c r="W1198" s="35" t="str">
        <f>MID(Tabla1[[#This Row],[Aplicación]],14,2)</f>
        <v>22</v>
      </c>
      <c r="X1198" s="35" t="str">
        <f>MID(Tabla1[[#This Row],[Aplicación]],14,6)</f>
        <v>22102</v>
      </c>
    </row>
    <row r="1199" spans="1:24" x14ac:dyDescent="0.25">
      <c r="A1199" s="49">
        <v>220219000194</v>
      </c>
      <c r="B1199" s="50" t="s">
        <v>9</v>
      </c>
      <c r="C1199" s="57">
        <v>44562</v>
      </c>
      <c r="D1199" s="49">
        <v>22022000395</v>
      </c>
      <c r="E1199" s="50" t="s">
        <v>2640</v>
      </c>
      <c r="F1199" s="58">
        <v>5000</v>
      </c>
      <c r="G1199" s="50" t="s">
        <v>35</v>
      </c>
      <c r="H1199" s="50" t="s">
        <v>2647</v>
      </c>
      <c r="I1199" s="49" t="s">
        <v>107</v>
      </c>
      <c r="J1199" s="50" t="s">
        <v>128</v>
      </c>
      <c r="K1199" s="50" t="s">
        <v>128</v>
      </c>
      <c r="L1199" s="50" t="s">
        <v>15</v>
      </c>
      <c r="M1199" s="50" t="s">
        <v>13</v>
      </c>
      <c r="N1199" s="50" t="s">
        <v>14</v>
      </c>
      <c r="O1199" s="48" t="s">
        <v>620</v>
      </c>
      <c r="P1199" s="45" t="s">
        <v>453</v>
      </c>
      <c r="Q1199" s="35" t="str">
        <f>MID(Tabla1[[#This Row],[Aplicación]],14,1)</f>
        <v>2</v>
      </c>
      <c r="R1199" s="35" t="s">
        <v>441</v>
      </c>
      <c r="S1199" s="35" t="str">
        <f>MID(Tabla1[[#This Row],[Aplicación]],6,2)</f>
        <v>10</v>
      </c>
      <c r="T1199" s="35" t="str">
        <f>VLOOKUP(Tabla1[[#This Row],[AREA]],Hoja1!A:B,2,FALSE)</f>
        <v>10. Servicios sociales y mediación comunitaria</v>
      </c>
      <c r="U1199" s="35" t="str">
        <f>MID(Tabla1[[#This Row],[Aplicación]],9,4)</f>
        <v>2311</v>
      </c>
      <c r="V1199" s="35" t="str">
        <f>VLOOKUP(Tabla1[[#This Row],[PROGRAMA]],Hoja1!A:B,2,FALSE)</f>
        <v>2311. Intervención social</v>
      </c>
      <c r="W1199" s="35" t="str">
        <f>MID(Tabla1[[#This Row],[Aplicación]],14,2)</f>
        <v>22</v>
      </c>
      <c r="X1199" s="35" t="str">
        <f>MID(Tabla1[[#This Row],[Aplicación]],14,6)</f>
        <v>22102</v>
      </c>
    </row>
    <row r="1200" spans="1:24" x14ac:dyDescent="0.25">
      <c r="A1200" s="49">
        <v>220220000346</v>
      </c>
      <c r="B1200" s="50" t="s">
        <v>9</v>
      </c>
      <c r="C1200" s="57">
        <v>44585</v>
      </c>
      <c r="D1200" s="49">
        <v>22022001254</v>
      </c>
      <c r="E1200" s="50" t="s">
        <v>2642</v>
      </c>
      <c r="F1200" s="58">
        <v>4336</v>
      </c>
      <c r="G1200" s="50" t="s">
        <v>35</v>
      </c>
      <c r="H1200" s="50" t="s">
        <v>2648</v>
      </c>
      <c r="I1200" s="49" t="s">
        <v>107</v>
      </c>
      <c r="J1200" s="50" t="s">
        <v>128</v>
      </c>
      <c r="K1200" s="50" t="s">
        <v>128</v>
      </c>
      <c r="L1200" s="50" t="s">
        <v>15</v>
      </c>
      <c r="M1200" s="50" t="s">
        <v>13</v>
      </c>
      <c r="N1200" s="50" t="s">
        <v>16</v>
      </c>
      <c r="O1200" s="48" t="s">
        <v>620</v>
      </c>
      <c r="P1200" s="45" t="s">
        <v>453</v>
      </c>
      <c r="Q1200" s="35" t="str">
        <f>MID(Tabla1[[#This Row],[Aplicación]],14,1)</f>
        <v>2</v>
      </c>
      <c r="R1200" s="35" t="s">
        <v>441</v>
      </c>
      <c r="S1200" s="35" t="str">
        <f>MID(Tabla1[[#This Row],[Aplicación]],6,2)</f>
        <v>10</v>
      </c>
      <c r="T1200" s="35" t="str">
        <f>VLOOKUP(Tabla1[[#This Row],[AREA]],Hoja1!A:B,2,FALSE)</f>
        <v>10. Servicios sociales y mediación comunitaria</v>
      </c>
      <c r="U1200" s="35" t="str">
        <f>MID(Tabla1[[#This Row],[Aplicación]],9,4)</f>
        <v>2412</v>
      </c>
      <c r="V1200" s="35" t="str">
        <f>VLOOKUP(Tabla1[[#This Row],[PROGRAMA]],Hoja1!A:B,2,FALSE)</f>
        <v>2412. Formación para el empleo</v>
      </c>
      <c r="W1200" s="35" t="str">
        <f>MID(Tabla1[[#This Row],[Aplicación]],14,2)</f>
        <v>22</v>
      </c>
      <c r="X1200" s="35" t="str">
        <f>MID(Tabla1[[#This Row],[Aplicación]],14,6)</f>
        <v>22102</v>
      </c>
    </row>
    <row r="1201" spans="1:24" x14ac:dyDescent="0.25">
      <c r="A1201" s="49">
        <v>220219000206</v>
      </c>
      <c r="B1201" s="50" t="s">
        <v>9</v>
      </c>
      <c r="C1201" s="57">
        <v>44562</v>
      </c>
      <c r="D1201" s="49">
        <v>22022000407</v>
      </c>
      <c r="E1201" s="50" t="s">
        <v>2649</v>
      </c>
      <c r="F1201" s="58">
        <v>4000</v>
      </c>
      <c r="G1201" s="50" t="s">
        <v>35</v>
      </c>
      <c r="H1201" s="50" t="s">
        <v>2650</v>
      </c>
      <c r="I1201" s="49" t="s">
        <v>107</v>
      </c>
      <c r="J1201" s="50" t="s">
        <v>128</v>
      </c>
      <c r="K1201" s="50" t="s">
        <v>128</v>
      </c>
      <c r="L1201" s="50" t="s">
        <v>15</v>
      </c>
      <c r="M1201" s="50" t="s">
        <v>13</v>
      </c>
      <c r="N1201" s="50" t="s">
        <v>16</v>
      </c>
      <c r="O1201" s="48" t="s">
        <v>620</v>
      </c>
      <c r="P1201" s="45" t="s">
        <v>453</v>
      </c>
      <c r="Q1201" s="35" t="str">
        <f>MID(Tabla1[[#This Row],[Aplicación]],14,1)</f>
        <v>2</v>
      </c>
      <c r="R1201" s="35" t="s">
        <v>441</v>
      </c>
      <c r="S1201" s="35" t="str">
        <f>MID(Tabla1[[#This Row],[Aplicación]],6,2)</f>
        <v>06</v>
      </c>
      <c r="T1201" s="35" t="str">
        <f>VLOOKUP(Tabla1[[#This Row],[AREA]],Hoja1!A:B,2,FALSE)</f>
        <v>06. Educación, infancia, juventud e igualdad</v>
      </c>
      <c r="U1201" s="35" t="str">
        <f>MID(Tabla1[[#This Row],[Aplicación]],9,4)</f>
        <v>2315</v>
      </c>
      <c r="V1201" s="35" t="str">
        <f>VLOOKUP(Tabla1[[#This Row],[PROGRAMA]],Hoja1!A:B,2,FALSE)</f>
        <v>2315. Políticas de Igualdad e infancia</v>
      </c>
      <c r="W1201" s="35" t="str">
        <f>MID(Tabla1[[#This Row],[Aplicación]],14,2)</f>
        <v>22</v>
      </c>
      <c r="X1201" s="35" t="str">
        <f>MID(Tabla1[[#This Row],[Aplicación]],14,6)</f>
        <v>22102</v>
      </c>
    </row>
    <row r="1202" spans="1:24" x14ac:dyDescent="0.25">
      <c r="A1202" s="49">
        <v>220220005202</v>
      </c>
      <c r="B1202" s="50" t="s">
        <v>9</v>
      </c>
      <c r="C1202" s="57">
        <v>44614</v>
      </c>
      <c r="D1202" s="49">
        <v>22022002180</v>
      </c>
      <c r="E1202" s="50" t="s">
        <v>2191</v>
      </c>
      <c r="F1202" s="58">
        <v>1584</v>
      </c>
      <c r="G1202" s="50" t="s">
        <v>84</v>
      </c>
      <c r="H1202" s="50" t="s">
        <v>2651</v>
      </c>
      <c r="I1202" s="49" t="s">
        <v>107</v>
      </c>
      <c r="J1202" s="50" t="s">
        <v>109</v>
      </c>
      <c r="K1202" s="50" t="s">
        <v>109</v>
      </c>
      <c r="L1202" s="50" t="s">
        <v>12</v>
      </c>
      <c r="M1202" s="50" t="s">
        <v>10</v>
      </c>
      <c r="N1202" s="50" t="s">
        <v>11</v>
      </c>
      <c r="O1202" s="48" t="s">
        <v>632</v>
      </c>
      <c r="P1202" s="45" t="s">
        <v>453</v>
      </c>
      <c r="Q1202" s="35" t="str">
        <f>MID(Tabla1[[#This Row],[Aplicación]],14,1)</f>
        <v>2</v>
      </c>
      <c r="R1202" s="35" t="s">
        <v>441</v>
      </c>
      <c r="S1202" s="35" t="str">
        <f>MID(Tabla1[[#This Row],[Aplicación]],6,2)</f>
        <v>01</v>
      </c>
      <c r="T1202" s="35" t="str">
        <f>VLOOKUP(Tabla1[[#This Row],[AREA]],Hoja1!A:B,2,FALSE)</f>
        <v>01. Alcaldía</v>
      </c>
      <c r="U1202" s="35" t="str">
        <f>MID(Tabla1[[#This Row],[Aplicación]],9,4)</f>
        <v>9206</v>
      </c>
      <c r="V1202" s="35" t="str">
        <f>VLOOKUP(Tabla1[[#This Row],[PROGRAMA]],Hoja1!A:B,2,FALSE)</f>
        <v>9206. Archivo municipal</v>
      </c>
      <c r="W1202" s="35" t="str">
        <f>MID(Tabla1[[#This Row],[Aplicación]],14,2)</f>
        <v>22</v>
      </c>
      <c r="X1202" s="35" t="str">
        <f>MID(Tabla1[[#This Row],[Aplicación]],14,6)</f>
        <v>22799</v>
      </c>
    </row>
    <row r="1203" spans="1:24" x14ac:dyDescent="0.25">
      <c r="A1203" s="49">
        <v>220220000346</v>
      </c>
      <c r="B1203" s="50" t="s">
        <v>9</v>
      </c>
      <c r="C1203" s="57">
        <v>44585</v>
      </c>
      <c r="D1203" s="49">
        <v>22022001255</v>
      </c>
      <c r="E1203" s="50" t="s">
        <v>2642</v>
      </c>
      <c r="F1203" s="58">
        <v>3097.18</v>
      </c>
      <c r="G1203" s="50" t="s">
        <v>35</v>
      </c>
      <c r="H1203" s="50" t="s">
        <v>2648</v>
      </c>
      <c r="I1203" s="49" t="s">
        <v>107</v>
      </c>
      <c r="J1203" s="50" t="s">
        <v>128</v>
      </c>
      <c r="K1203" s="50" t="s">
        <v>128</v>
      </c>
      <c r="L1203" s="50" t="s">
        <v>15</v>
      </c>
      <c r="M1203" s="50" t="s">
        <v>13</v>
      </c>
      <c r="N1203" s="50" t="s">
        <v>16</v>
      </c>
      <c r="O1203" s="48" t="s">
        <v>620</v>
      </c>
      <c r="P1203" s="45" t="s">
        <v>453</v>
      </c>
      <c r="Q1203" s="35" t="str">
        <f>MID(Tabla1[[#This Row],[Aplicación]],14,1)</f>
        <v>2</v>
      </c>
      <c r="R1203" s="35" t="s">
        <v>441</v>
      </c>
      <c r="S1203" s="35" t="str">
        <f>MID(Tabla1[[#This Row],[Aplicación]],6,2)</f>
        <v>10</v>
      </c>
      <c r="T1203" s="35" t="str">
        <f>VLOOKUP(Tabla1[[#This Row],[AREA]],Hoja1!A:B,2,FALSE)</f>
        <v>10. Servicios sociales y mediación comunitaria</v>
      </c>
      <c r="U1203" s="35" t="str">
        <f>MID(Tabla1[[#This Row],[Aplicación]],9,4)</f>
        <v>2412</v>
      </c>
      <c r="V1203" s="35" t="str">
        <f>VLOOKUP(Tabla1[[#This Row],[PROGRAMA]],Hoja1!A:B,2,FALSE)</f>
        <v>2412. Formación para el empleo</v>
      </c>
      <c r="W1203" s="35" t="str">
        <f>MID(Tabla1[[#This Row],[Aplicación]],14,2)</f>
        <v>22</v>
      </c>
      <c r="X1203" s="35" t="str">
        <f>MID(Tabla1[[#This Row],[Aplicación]],14,6)</f>
        <v>22102</v>
      </c>
    </row>
    <row r="1204" spans="1:24" x14ac:dyDescent="0.25">
      <c r="A1204" s="49">
        <v>220220008626</v>
      </c>
      <c r="B1204" s="50" t="s">
        <v>9</v>
      </c>
      <c r="C1204" s="57">
        <v>44631</v>
      </c>
      <c r="D1204" s="49">
        <v>22022002653</v>
      </c>
      <c r="E1204" s="50" t="s">
        <v>1429</v>
      </c>
      <c r="F1204" s="58">
        <v>805.04</v>
      </c>
      <c r="G1204" s="50" t="s">
        <v>84</v>
      </c>
      <c r="H1204" s="50" t="s">
        <v>2652</v>
      </c>
      <c r="I1204" s="49" t="s">
        <v>107</v>
      </c>
      <c r="J1204" s="50" t="s">
        <v>109</v>
      </c>
      <c r="K1204" s="50" t="s">
        <v>109</v>
      </c>
      <c r="L1204" s="50" t="s">
        <v>15</v>
      </c>
      <c r="M1204" s="50" t="s">
        <v>10</v>
      </c>
      <c r="N1204" s="50" t="s">
        <v>11</v>
      </c>
      <c r="O1204" s="48" t="s">
        <v>632</v>
      </c>
      <c r="P1204" s="45" t="s">
        <v>453</v>
      </c>
      <c r="Q1204" s="35" t="str">
        <f>MID(Tabla1[[#This Row],[Aplicación]],14,1)</f>
        <v>2</v>
      </c>
      <c r="R1204" s="35" t="s">
        <v>441</v>
      </c>
      <c r="S1204" s="35" t="str">
        <f>MID(Tabla1[[#This Row],[Aplicación]],6,2)</f>
        <v>06</v>
      </c>
      <c r="T1204" s="35" t="str">
        <f>VLOOKUP(Tabla1[[#This Row],[AREA]],Hoja1!A:B,2,FALSE)</f>
        <v>06. Educación, infancia, juventud e igualdad</v>
      </c>
      <c r="U1204" s="35" t="str">
        <f>MID(Tabla1[[#This Row],[Aplicación]],9,4)</f>
        <v>3231</v>
      </c>
      <c r="V1204" s="35" t="str">
        <f>VLOOKUP(Tabla1[[#This Row],[PROGRAMA]],Hoja1!A:B,2,FALSE)</f>
        <v>3231. Escuelas infantiles</v>
      </c>
      <c r="W1204" s="35" t="str">
        <f>MID(Tabla1[[#This Row],[Aplicación]],14,2)</f>
        <v>22</v>
      </c>
      <c r="X1204" s="35" t="str">
        <f>MID(Tabla1[[#This Row],[Aplicación]],14,6)</f>
        <v>22799</v>
      </c>
    </row>
    <row r="1205" spans="1:24" x14ac:dyDescent="0.25">
      <c r="A1205" s="49">
        <v>220220006381</v>
      </c>
      <c r="B1205" s="50" t="s">
        <v>9</v>
      </c>
      <c r="C1205" s="57">
        <v>44617</v>
      </c>
      <c r="D1205" s="49">
        <v>22022002499</v>
      </c>
      <c r="E1205" s="50" t="s">
        <v>2653</v>
      </c>
      <c r="F1205" s="58">
        <v>561.44000000000005</v>
      </c>
      <c r="G1205" s="50" t="s">
        <v>84</v>
      </c>
      <c r="H1205" s="50" t="s">
        <v>2654</v>
      </c>
      <c r="I1205" s="49" t="s">
        <v>107</v>
      </c>
      <c r="J1205" s="50" t="s">
        <v>109</v>
      </c>
      <c r="K1205" s="50" t="s">
        <v>109</v>
      </c>
      <c r="L1205" s="50" t="s">
        <v>12</v>
      </c>
      <c r="M1205" s="50" t="s">
        <v>10</v>
      </c>
      <c r="N1205" s="50" t="s">
        <v>11</v>
      </c>
      <c r="O1205" s="48" t="s">
        <v>632</v>
      </c>
      <c r="P1205" s="45" t="s">
        <v>453</v>
      </c>
      <c r="Q1205" s="35" t="str">
        <f>MID(Tabla1[[#This Row],[Aplicación]],14,1)</f>
        <v>2</v>
      </c>
      <c r="R1205" s="35" t="s">
        <v>441</v>
      </c>
      <c r="S1205" s="35" t="str">
        <f>MID(Tabla1[[#This Row],[Aplicación]],6,2)</f>
        <v>07</v>
      </c>
      <c r="T1205" s="35" t="str">
        <f>VLOOKUP(Tabla1[[#This Row],[AREA]],Hoja1!A:B,2,FALSE)</f>
        <v>07. Medio ambiente y desarrollo sostenible</v>
      </c>
      <c r="U1205" s="35" t="str">
        <f>MID(Tabla1[[#This Row],[Aplicación]],9,4)</f>
        <v>1701</v>
      </c>
      <c r="V1205" s="35" t="str">
        <f>VLOOKUP(Tabla1[[#This Row],[PROGRAMA]],Hoja1!A:B,2,FALSE)</f>
        <v>1701. Dirección del área de medio ambiente</v>
      </c>
      <c r="W1205" s="35" t="str">
        <f>MID(Tabla1[[#This Row],[Aplicación]],14,2)</f>
        <v>22</v>
      </c>
      <c r="X1205" s="35" t="str">
        <f>MID(Tabla1[[#This Row],[Aplicación]],14,6)</f>
        <v>22699</v>
      </c>
    </row>
    <row r="1206" spans="1:24" x14ac:dyDescent="0.25">
      <c r="A1206" s="49">
        <v>220220003850</v>
      </c>
      <c r="B1206" s="50" t="s">
        <v>9</v>
      </c>
      <c r="C1206" s="57">
        <v>44608</v>
      </c>
      <c r="D1206" s="49">
        <v>22022002109</v>
      </c>
      <c r="E1206" s="50" t="s">
        <v>2588</v>
      </c>
      <c r="F1206" s="58">
        <v>550</v>
      </c>
      <c r="G1206" s="50" t="s">
        <v>84</v>
      </c>
      <c r="H1206" s="50" t="s">
        <v>2655</v>
      </c>
      <c r="I1206" s="49" t="s">
        <v>107</v>
      </c>
      <c r="J1206" s="50" t="s">
        <v>109</v>
      </c>
      <c r="K1206" s="50" t="s">
        <v>109</v>
      </c>
      <c r="L1206" s="50" t="s">
        <v>12</v>
      </c>
      <c r="M1206" s="50" t="s">
        <v>10</v>
      </c>
      <c r="N1206" s="50" t="s">
        <v>11</v>
      </c>
      <c r="O1206" s="48" t="s">
        <v>632</v>
      </c>
      <c r="P1206" s="45" t="s">
        <v>453</v>
      </c>
      <c r="Q1206" s="35" t="str">
        <f>MID(Tabla1[[#This Row],[Aplicación]],14,1)</f>
        <v>2</v>
      </c>
      <c r="R1206" s="35" t="s">
        <v>441</v>
      </c>
      <c r="S1206" s="35" t="str">
        <f>MID(Tabla1[[#This Row],[Aplicación]],6,2)</f>
        <v>04</v>
      </c>
      <c r="T1206" s="35" t="str">
        <f>VLOOKUP(Tabla1[[#This Row],[AREA]],Hoja1!A:B,2,FALSE)</f>
        <v>04. Planificación y recursos</v>
      </c>
      <c r="U1206" s="35" t="str">
        <f>MID(Tabla1[[#This Row],[Aplicación]],9,4)</f>
        <v>3121</v>
      </c>
      <c r="V1206" s="35" t="str">
        <f>VLOOKUP(Tabla1[[#This Row],[PROGRAMA]],Hoja1!A:B,2,FALSE)</f>
        <v>3121. Prevención y salud laboral</v>
      </c>
      <c r="W1206" s="35" t="str">
        <f>MID(Tabla1[[#This Row],[Aplicación]],14,2)</f>
        <v>22</v>
      </c>
      <c r="X1206" s="35" t="str">
        <f>MID(Tabla1[[#This Row],[Aplicación]],14,6)</f>
        <v>22799</v>
      </c>
    </row>
    <row r="1207" spans="1:24" x14ac:dyDescent="0.25">
      <c r="A1207" s="49">
        <v>220220003854</v>
      </c>
      <c r="B1207" s="50" t="s">
        <v>9</v>
      </c>
      <c r="C1207" s="57">
        <v>44608</v>
      </c>
      <c r="D1207" s="49">
        <v>22022002259</v>
      </c>
      <c r="E1207" s="50" t="s">
        <v>1707</v>
      </c>
      <c r="F1207" s="58">
        <v>157.08000000000001</v>
      </c>
      <c r="G1207" s="50" t="s">
        <v>84</v>
      </c>
      <c r="H1207" s="50" t="s">
        <v>2656</v>
      </c>
      <c r="I1207" s="49" t="s">
        <v>107</v>
      </c>
      <c r="J1207" s="50" t="s">
        <v>109</v>
      </c>
      <c r="K1207" s="50" t="s">
        <v>109</v>
      </c>
      <c r="L1207" s="50" t="s">
        <v>12</v>
      </c>
      <c r="M1207" s="50" t="s">
        <v>10</v>
      </c>
      <c r="N1207" s="50" t="s">
        <v>11</v>
      </c>
      <c r="O1207" s="48" t="s">
        <v>632</v>
      </c>
      <c r="P1207" s="45" t="s">
        <v>453</v>
      </c>
      <c r="Q1207" s="35" t="str">
        <f>MID(Tabla1[[#This Row],[Aplicación]],14,1)</f>
        <v>2</v>
      </c>
      <c r="R1207" s="35" t="s">
        <v>441</v>
      </c>
      <c r="S1207" s="35" t="str">
        <f>MID(Tabla1[[#This Row],[Aplicación]],6,2)</f>
        <v>10</v>
      </c>
      <c r="T1207" s="35" t="str">
        <f>VLOOKUP(Tabla1[[#This Row],[AREA]],Hoja1!A:B,2,FALSE)</f>
        <v>10. Servicios sociales y mediación comunitaria</v>
      </c>
      <c r="U1207" s="35" t="str">
        <f>MID(Tabla1[[#This Row],[Aplicación]],9,4)</f>
        <v>2312</v>
      </c>
      <c r="V1207" s="35" t="str">
        <f>VLOOKUP(Tabla1[[#This Row],[PROGRAMA]],Hoja1!A:B,2,FALSE)</f>
        <v>2312. Iniciativas sociales</v>
      </c>
      <c r="W1207" s="35" t="str">
        <f>MID(Tabla1[[#This Row],[Aplicación]],14,2)</f>
        <v>22</v>
      </c>
      <c r="X1207" s="35" t="str">
        <f>MID(Tabla1[[#This Row],[Aplicación]],14,6)</f>
        <v>22700</v>
      </c>
    </row>
    <row r="1208" spans="1:24" x14ac:dyDescent="0.25">
      <c r="A1208" s="49">
        <v>220220013170</v>
      </c>
      <c r="B1208" s="50" t="s">
        <v>9</v>
      </c>
      <c r="C1208" s="57">
        <v>44649</v>
      </c>
      <c r="D1208" s="49">
        <v>22022002653</v>
      </c>
      <c r="E1208" s="50" t="s">
        <v>1429</v>
      </c>
      <c r="F1208" s="58">
        <v>33.64</v>
      </c>
      <c r="G1208" s="50" t="s">
        <v>84</v>
      </c>
      <c r="H1208" s="50" t="s">
        <v>2657</v>
      </c>
      <c r="I1208" s="49" t="s">
        <v>107</v>
      </c>
      <c r="J1208" s="50" t="s">
        <v>109</v>
      </c>
      <c r="K1208" s="50" t="s">
        <v>109</v>
      </c>
      <c r="L1208" s="50" t="s">
        <v>15</v>
      </c>
      <c r="M1208" s="50" t="s">
        <v>10</v>
      </c>
      <c r="N1208" s="50" t="s">
        <v>11</v>
      </c>
      <c r="O1208" s="48" t="s">
        <v>632</v>
      </c>
      <c r="P1208" s="45" t="s">
        <v>453</v>
      </c>
      <c r="Q1208" s="35" t="str">
        <f>MID(Tabla1[[#This Row],[Aplicación]],14,1)</f>
        <v>2</v>
      </c>
      <c r="R1208" s="35" t="s">
        <v>441</v>
      </c>
      <c r="S1208" s="35" t="str">
        <f>MID(Tabla1[[#This Row],[Aplicación]],6,2)</f>
        <v>06</v>
      </c>
      <c r="T1208" s="35" t="str">
        <f>VLOOKUP(Tabla1[[#This Row],[AREA]],Hoja1!A:B,2,FALSE)</f>
        <v>06. Educación, infancia, juventud e igualdad</v>
      </c>
      <c r="U1208" s="35" t="str">
        <f>MID(Tabla1[[#This Row],[Aplicación]],9,4)</f>
        <v>3231</v>
      </c>
      <c r="V1208" s="35" t="str">
        <f>VLOOKUP(Tabla1[[#This Row],[PROGRAMA]],Hoja1!A:B,2,FALSE)</f>
        <v>3231. Escuelas infantiles</v>
      </c>
      <c r="W1208" s="35" t="str">
        <f>MID(Tabla1[[#This Row],[Aplicación]],14,2)</f>
        <v>22</v>
      </c>
      <c r="X1208" s="35" t="str">
        <f>MID(Tabla1[[#This Row],[Aplicación]],14,6)</f>
        <v>22799</v>
      </c>
    </row>
    <row r="1209" spans="1:24" x14ac:dyDescent="0.25">
      <c r="A1209" s="49">
        <v>220220000346</v>
      </c>
      <c r="B1209" s="50" t="s">
        <v>9</v>
      </c>
      <c r="C1209" s="57">
        <v>44585</v>
      </c>
      <c r="D1209" s="49">
        <v>22022001253</v>
      </c>
      <c r="E1209" s="50" t="s">
        <v>2642</v>
      </c>
      <c r="F1209" s="58">
        <v>2566.8200000000002</v>
      </c>
      <c r="G1209" s="50" t="s">
        <v>35</v>
      </c>
      <c r="H1209" s="50" t="s">
        <v>2648</v>
      </c>
      <c r="I1209" s="49" t="s">
        <v>107</v>
      </c>
      <c r="J1209" s="50" t="s">
        <v>128</v>
      </c>
      <c r="K1209" s="50" t="s">
        <v>128</v>
      </c>
      <c r="L1209" s="50" t="s">
        <v>15</v>
      </c>
      <c r="M1209" s="50" t="s">
        <v>13</v>
      </c>
      <c r="N1209" s="50" t="s">
        <v>16</v>
      </c>
      <c r="O1209" s="48" t="s">
        <v>620</v>
      </c>
      <c r="P1209" s="45" t="s">
        <v>453</v>
      </c>
      <c r="Q1209" s="35" t="str">
        <f>MID(Tabla1[[#This Row],[Aplicación]],14,1)</f>
        <v>2</v>
      </c>
      <c r="R1209" s="35" t="s">
        <v>441</v>
      </c>
      <c r="S1209" s="35" t="str">
        <f>MID(Tabla1[[#This Row],[Aplicación]],6,2)</f>
        <v>10</v>
      </c>
      <c r="T1209" s="35" t="str">
        <f>VLOOKUP(Tabla1[[#This Row],[AREA]],Hoja1!A:B,2,FALSE)</f>
        <v>10. Servicios sociales y mediación comunitaria</v>
      </c>
      <c r="U1209" s="35" t="str">
        <f>MID(Tabla1[[#This Row],[Aplicación]],9,4)</f>
        <v>2412</v>
      </c>
      <c r="V1209" s="35" t="str">
        <f>VLOOKUP(Tabla1[[#This Row],[PROGRAMA]],Hoja1!A:B,2,FALSE)</f>
        <v>2412. Formación para el empleo</v>
      </c>
      <c r="W1209" s="35" t="str">
        <f>MID(Tabla1[[#This Row],[Aplicación]],14,2)</f>
        <v>22</v>
      </c>
      <c r="X1209" s="35" t="str">
        <f>MID(Tabla1[[#This Row],[Aplicación]],14,6)</f>
        <v>22102</v>
      </c>
    </row>
    <row r="1210" spans="1:24" x14ac:dyDescent="0.25">
      <c r="A1210" s="49">
        <v>220220002608</v>
      </c>
      <c r="B1210" s="50" t="s">
        <v>9</v>
      </c>
      <c r="C1210" s="57">
        <v>44599</v>
      </c>
      <c r="D1210" s="49">
        <v>22022001883</v>
      </c>
      <c r="E1210" s="50" t="s">
        <v>1659</v>
      </c>
      <c r="F1210" s="58">
        <v>626.29999999999995</v>
      </c>
      <c r="G1210" s="50" t="s">
        <v>972</v>
      </c>
      <c r="H1210" s="50" t="s">
        <v>2658</v>
      </c>
      <c r="I1210" s="49" t="s">
        <v>107</v>
      </c>
      <c r="J1210" s="50" t="s">
        <v>109</v>
      </c>
      <c r="K1210" s="50" t="s">
        <v>109</v>
      </c>
      <c r="L1210" s="50" t="s">
        <v>12</v>
      </c>
      <c r="M1210" s="50" t="s">
        <v>10</v>
      </c>
      <c r="N1210" s="50" t="s">
        <v>11</v>
      </c>
      <c r="O1210" s="48" t="s">
        <v>632</v>
      </c>
      <c r="P1210" s="45" t="s">
        <v>453</v>
      </c>
      <c r="Q1210" s="35" t="str">
        <f>MID(Tabla1[[#This Row],[Aplicación]],14,1)</f>
        <v>2</v>
      </c>
      <c r="R1210" s="35" t="s">
        <v>441</v>
      </c>
      <c r="S1210" s="35" t="str">
        <f>MID(Tabla1[[#This Row],[Aplicación]],6,2)</f>
        <v>05</v>
      </c>
      <c r="T1210" s="35" t="str">
        <f>VLOOKUP(Tabla1[[#This Row],[AREA]],Hoja1!A:B,2,FALSE)</f>
        <v>05. Innovación, desarrollo económico, empleo y comercio</v>
      </c>
      <c r="U1210" s="35" t="str">
        <f>MID(Tabla1[[#This Row],[Aplicación]],9,4)</f>
        <v>4331</v>
      </c>
      <c r="V1210" s="35" t="str">
        <f>VLOOKUP(Tabla1[[#This Row],[PROGRAMA]],Hoja1!A:B,2,FALSE)</f>
        <v>4331. Desarrollo empresarial</v>
      </c>
      <c r="W1210" s="35" t="str">
        <f>MID(Tabla1[[#This Row],[Aplicación]],14,2)</f>
        <v>22</v>
      </c>
      <c r="X1210" s="35" t="str">
        <f>MID(Tabla1[[#This Row],[Aplicación]],14,6)</f>
        <v>22799</v>
      </c>
    </row>
    <row r="1211" spans="1:24" x14ac:dyDescent="0.25">
      <c r="A1211" s="49">
        <v>220220012365</v>
      </c>
      <c r="B1211" s="50" t="s">
        <v>9</v>
      </c>
      <c r="C1211" s="57">
        <v>44643</v>
      </c>
      <c r="D1211" s="49">
        <v>22022002985</v>
      </c>
      <c r="E1211" s="50" t="s">
        <v>2012</v>
      </c>
      <c r="F1211" s="58">
        <v>1627.52</v>
      </c>
      <c r="G1211" s="50" t="s">
        <v>998</v>
      </c>
      <c r="H1211" s="50" t="s">
        <v>2659</v>
      </c>
      <c r="I1211" s="49" t="s">
        <v>107</v>
      </c>
      <c r="J1211" s="50" t="s">
        <v>520</v>
      </c>
      <c r="K1211" s="50" t="s">
        <v>109</v>
      </c>
      <c r="L1211" s="50" t="s">
        <v>15</v>
      </c>
      <c r="M1211" s="50" t="s">
        <v>10</v>
      </c>
      <c r="N1211" s="50" t="s">
        <v>11</v>
      </c>
      <c r="O1211" s="48" t="s">
        <v>632</v>
      </c>
      <c r="P1211" s="45" t="s">
        <v>453</v>
      </c>
      <c r="Q1211" s="35" t="str">
        <f>MID(Tabla1[[#This Row],[Aplicación]],14,1)</f>
        <v>2</v>
      </c>
      <c r="R1211" s="35" t="s">
        <v>441</v>
      </c>
      <c r="S1211" s="35" t="str">
        <f>MID(Tabla1[[#This Row],[Aplicación]],6,2)</f>
        <v>11</v>
      </c>
      <c r="T1211" s="35" t="str">
        <f>VLOOKUP(Tabla1[[#This Row],[AREA]],Hoja1!A:B,2,FALSE)</f>
        <v>11. Salud pública y seguridad ciudadana</v>
      </c>
      <c r="U1211" s="35" t="str">
        <f>MID(Tabla1[[#This Row],[Aplicación]],9,4)</f>
        <v>1321</v>
      </c>
      <c r="V1211" s="35" t="str">
        <f>VLOOKUP(Tabla1[[#This Row],[PROGRAMA]],Hoja1!A:B,2,FALSE)</f>
        <v>1321. Policía municipal</v>
      </c>
      <c r="W1211" s="35" t="str">
        <f>MID(Tabla1[[#This Row],[Aplicación]],14,2)</f>
        <v>22</v>
      </c>
      <c r="X1211" s="35" t="str">
        <f>MID(Tabla1[[#This Row],[Aplicación]],14,6)</f>
        <v>22199</v>
      </c>
    </row>
    <row r="1212" spans="1:24" x14ac:dyDescent="0.25">
      <c r="A1212" s="49">
        <v>220220000370</v>
      </c>
      <c r="B1212" s="50" t="s">
        <v>9</v>
      </c>
      <c r="C1212" s="57">
        <v>44585</v>
      </c>
      <c r="D1212" s="49">
        <v>22022001540</v>
      </c>
      <c r="E1212" s="50" t="s">
        <v>2585</v>
      </c>
      <c r="F1212" s="58">
        <v>1587.68</v>
      </c>
      <c r="G1212" s="50" t="s">
        <v>998</v>
      </c>
      <c r="H1212" s="50" t="s">
        <v>2660</v>
      </c>
      <c r="I1212" s="49" t="s">
        <v>107</v>
      </c>
      <c r="J1212" s="50" t="s">
        <v>520</v>
      </c>
      <c r="K1212" s="50" t="s">
        <v>109</v>
      </c>
      <c r="L1212" s="50" t="s">
        <v>12</v>
      </c>
      <c r="M1212" s="50" t="s">
        <v>10</v>
      </c>
      <c r="N1212" s="50" t="s">
        <v>11</v>
      </c>
      <c r="O1212" s="48" t="s">
        <v>632</v>
      </c>
      <c r="P1212" s="45" t="s">
        <v>453</v>
      </c>
      <c r="Q1212" s="35" t="str">
        <f>MID(Tabla1[[#This Row],[Aplicación]],14,1)</f>
        <v>2</v>
      </c>
      <c r="R1212" s="35" t="s">
        <v>441</v>
      </c>
      <c r="S1212" s="35" t="str">
        <f>MID(Tabla1[[#This Row],[Aplicación]],6,2)</f>
        <v>11</v>
      </c>
      <c r="T1212" s="35" t="str">
        <f>VLOOKUP(Tabla1[[#This Row],[AREA]],Hoja1!A:B,2,FALSE)</f>
        <v>11. Salud pública y seguridad ciudadana</v>
      </c>
      <c r="U1212" s="35" t="str">
        <f>MID(Tabla1[[#This Row],[Aplicación]],9,4)</f>
        <v>1321</v>
      </c>
      <c r="V1212" s="35" t="str">
        <f>VLOOKUP(Tabla1[[#This Row],[PROGRAMA]],Hoja1!A:B,2,FALSE)</f>
        <v>1321. Policía municipal</v>
      </c>
      <c r="W1212" s="35" t="str">
        <f>MID(Tabla1[[#This Row],[Aplicación]],14,2)</f>
        <v>21</v>
      </c>
      <c r="X1212" s="35" t="str">
        <f>MID(Tabla1[[#This Row],[Aplicación]],14,6)</f>
        <v>212</v>
      </c>
    </row>
    <row r="1213" spans="1:24" x14ac:dyDescent="0.25">
      <c r="A1213" s="49">
        <v>220219000006</v>
      </c>
      <c r="B1213" s="50" t="s">
        <v>9</v>
      </c>
      <c r="C1213" s="57">
        <v>44562</v>
      </c>
      <c r="D1213" s="49">
        <v>22022000319</v>
      </c>
      <c r="E1213" s="50" t="s">
        <v>1578</v>
      </c>
      <c r="F1213" s="58">
        <v>4546.4399999999996</v>
      </c>
      <c r="G1213" s="50" t="s">
        <v>93</v>
      </c>
      <c r="H1213" s="50" t="s">
        <v>2661</v>
      </c>
      <c r="I1213" s="49" t="s">
        <v>107</v>
      </c>
      <c r="J1213" s="50" t="s">
        <v>109</v>
      </c>
      <c r="K1213" s="50" t="s">
        <v>109</v>
      </c>
      <c r="L1213" s="50" t="s">
        <v>12</v>
      </c>
      <c r="M1213" s="50" t="s">
        <v>13</v>
      </c>
      <c r="N1213" s="50" t="s">
        <v>14</v>
      </c>
      <c r="O1213" s="48" t="s">
        <v>620</v>
      </c>
      <c r="P1213" s="45" t="s">
        <v>453</v>
      </c>
      <c r="Q1213" s="35" t="str">
        <f>MID(Tabla1[[#This Row],[Aplicación]],14,1)</f>
        <v>2</v>
      </c>
      <c r="R1213" s="35" t="s">
        <v>441</v>
      </c>
      <c r="S1213" s="35" t="str">
        <f>MID(Tabla1[[#This Row],[Aplicación]],6,2)</f>
        <v>11</v>
      </c>
      <c r="T1213" s="35" t="str">
        <f>VLOOKUP(Tabla1[[#This Row],[AREA]],Hoja1!A:B,2,FALSE)</f>
        <v>11. Salud pública y seguridad ciudadana</v>
      </c>
      <c r="U1213" s="35" t="str">
        <f>MID(Tabla1[[#This Row],[Aplicación]],9,4)</f>
        <v>1621</v>
      </c>
      <c r="V1213" s="35" t="str">
        <f>VLOOKUP(Tabla1[[#This Row],[PROGRAMA]],Hoja1!A:B,2,FALSE)</f>
        <v>1621. Servicio de limpieza</v>
      </c>
      <c r="W1213" s="35" t="str">
        <f>MID(Tabla1[[#This Row],[Aplicación]],14,2)</f>
        <v>22</v>
      </c>
      <c r="X1213" s="35" t="str">
        <f>MID(Tabla1[[#This Row],[Aplicación]],14,6)</f>
        <v>22799</v>
      </c>
    </row>
    <row r="1214" spans="1:24" x14ac:dyDescent="0.25">
      <c r="A1214" s="49">
        <v>220220000345</v>
      </c>
      <c r="B1214" s="50" t="s">
        <v>447</v>
      </c>
      <c r="C1214" s="57">
        <v>44585</v>
      </c>
      <c r="D1214" s="49">
        <v>22022000399</v>
      </c>
      <c r="E1214" s="50" t="s">
        <v>2642</v>
      </c>
      <c r="F1214" s="58">
        <v>-10000</v>
      </c>
      <c r="G1214" s="50" t="s">
        <v>35</v>
      </c>
      <c r="H1214" s="50" t="s">
        <v>2643</v>
      </c>
      <c r="I1214" s="49" t="s">
        <v>107</v>
      </c>
      <c r="J1214" s="50" t="s">
        <v>128</v>
      </c>
      <c r="K1214" s="50" t="s">
        <v>128</v>
      </c>
      <c r="L1214" s="50" t="s">
        <v>15</v>
      </c>
      <c r="M1214" s="50" t="s">
        <v>13</v>
      </c>
      <c r="N1214" s="50" t="s">
        <v>16</v>
      </c>
      <c r="O1214" s="48" t="s">
        <v>620</v>
      </c>
      <c r="P1214" s="45" t="s">
        <v>453</v>
      </c>
      <c r="Q1214" s="35" t="str">
        <f>MID(Tabla1[[#This Row],[Aplicación]],14,1)</f>
        <v>2</v>
      </c>
      <c r="R1214" s="35" t="s">
        <v>441</v>
      </c>
      <c r="S1214" s="35" t="str">
        <f>MID(Tabla1[[#This Row],[Aplicación]],6,2)</f>
        <v>10</v>
      </c>
      <c r="T1214" s="35" t="str">
        <f>VLOOKUP(Tabla1[[#This Row],[AREA]],Hoja1!A:B,2,FALSE)</f>
        <v>10. Servicios sociales y mediación comunitaria</v>
      </c>
      <c r="U1214" s="35" t="str">
        <f>MID(Tabla1[[#This Row],[Aplicación]],9,4)</f>
        <v>2412</v>
      </c>
      <c r="V1214" s="35" t="str">
        <f>VLOOKUP(Tabla1[[#This Row],[PROGRAMA]],Hoja1!A:B,2,FALSE)</f>
        <v>2412. Formación para el empleo</v>
      </c>
      <c r="W1214" s="35" t="str">
        <f>MID(Tabla1[[#This Row],[Aplicación]],14,2)</f>
        <v>22</v>
      </c>
      <c r="X1214" s="35" t="str">
        <f>MID(Tabla1[[#This Row],[Aplicación]],14,6)</f>
        <v>22102</v>
      </c>
    </row>
    <row r="1215" spans="1:24" x14ac:dyDescent="0.25">
      <c r="A1215" s="49">
        <v>220220007950</v>
      </c>
      <c r="B1215" s="50" t="s">
        <v>9</v>
      </c>
      <c r="C1215" s="57">
        <v>44628</v>
      </c>
      <c r="D1215" s="49">
        <v>22022002679</v>
      </c>
      <c r="E1215" s="50" t="s">
        <v>1471</v>
      </c>
      <c r="F1215" s="58">
        <v>500</v>
      </c>
      <c r="G1215" s="50" t="s">
        <v>998</v>
      </c>
      <c r="H1215" s="50" t="s">
        <v>2662</v>
      </c>
      <c r="I1215" s="49" t="s">
        <v>107</v>
      </c>
      <c r="J1215" s="50" t="s">
        <v>520</v>
      </c>
      <c r="K1215" s="50" t="s">
        <v>109</v>
      </c>
      <c r="L1215" s="50" t="s">
        <v>12</v>
      </c>
      <c r="M1215" s="50" t="s">
        <v>10</v>
      </c>
      <c r="N1215" s="50" t="s">
        <v>11</v>
      </c>
      <c r="O1215" s="48" t="s">
        <v>632</v>
      </c>
      <c r="P1215" s="45" t="s">
        <v>453</v>
      </c>
      <c r="Q1215" s="35" t="str">
        <f>MID(Tabla1[[#This Row],[Aplicación]],14,1)</f>
        <v>2</v>
      </c>
      <c r="R1215" s="35" t="s">
        <v>441</v>
      </c>
      <c r="S1215" s="35" t="str">
        <f>MID(Tabla1[[#This Row],[Aplicación]],6,2)</f>
        <v>11</v>
      </c>
      <c r="T1215" s="35" t="str">
        <f>VLOOKUP(Tabla1[[#This Row],[AREA]],Hoja1!A:B,2,FALSE)</f>
        <v>11. Salud pública y seguridad ciudadana</v>
      </c>
      <c r="U1215" s="35" t="str">
        <f>MID(Tabla1[[#This Row],[Aplicación]],9,4)</f>
        <v>1321</v>
      </c>
      <c r="V1215" s="35" t="str">
        <f>VLOOKUP(Tabla1[[#This Row],[PROGRAMA]],Hoja1!A:B,2,FALSE)</f>
        <v>1321. Policía municipal</v>
      </c>
      <c r="W1215" s="35" t="str">
        <f>MID(Tabla1[[#This Row],[Aplicación]],14,2)</f>
        <v>21</v>
      </c>
      <c r="X1215" s="35" t="str">
        <f>MID(Tabla1[[#This Row],[Aplicación]],14,6)</f>
        <v>213</v>
      </c>
    </row>
    <row r="1216" spans="1:24" x14ac:dyDescent="0.25">
      <c r="A1216" s="49">
        <v>220220005217</v>
      </c>
      <c r="B1216" s="50" t="s">
        <v>9</v>
      </c>
      <c r="C1216" s="57">
        <v>44614</v>
      </c>
      <c r="D1216" s="49">
        <v>22022002305</v>
      </c>
      <c r="E1216" s="50" t="s">
        <v>2663</v>
      </c>
      <c r="F1216" s="58">
        <v>1597.2</v>
      </c>
      <c r="G1216" s="50" t="s">
        <v>990</v>
      </c>
      <c r="H1216" s="50" t="s">
        <v>2664</v>
      </c>
      <c r="I1216" s="49" t="s">
        <v>107</v>
      </c>
      <c r="J1216" s="50" t="s">
        <v>991</v>
      </c>
      <c r="K1216" s="50" t="s">
        <v>992</v>
      </c>
      <c r="L1216" s="50" t="s">
        <v>12</v>
      </c>
      <c r="M1216" s="50" t="s">
        <v>10</v>
      </c>
      <c r="N1216" s="50" t="s">
        <v>11</v>
      </c>
      <c r="O1216" s="48" t="s">
        <v>632</v>
      </c>
      <c r="P1216" s="45" t="s">
        <v>453</v>
      </c>
      <c r="Q1216" s="35" t="str">
        <f>MID(Tabla1[[#This Row],[Aplicación]],14,1)</f>
        <v>6</v>
      </c>
      <c r="R1216" s="35" t="s">
        <v>442</v>
      </c>
      <c r="S1216" s="35" t="str">
        <f>MID(Tabla1[[#This Row],[Aplicación]],6,2)</f>
        <v>02</v>
      </c>
      <c r="T1216" s="35" t="str">
        <f>VLOOKUP(Tabla1[[#This Row],[AREA]],Hoja1!A:B,2,FALSE)</f>
        <v>02. Planeamiento urbanístico y vivienda</v>
      </c>
      <c r="U1216" s="35" t="str">
        <f>MID(Tabla1[[#This Row],[Aplicación]],9,4)</f>
        <v>1511</v>
      </c>
      <c r="V1216" s="35" t="str">
        <f>VLOOKUP(Tabla1[[#This Row],[PROGRAMA]],Hoja1!A:B,2,FALSE)</f>
        <v>1511. Planficación y gestión del urbanismo</v>
      </c>
      <c r="W1216" s="35" t="str">
        <f>MID(Tabla1[[#This Row],[Aplicación]],14,2)</f>
        <v>64</v>
      </c>
      <c r="X1216" s="35" t="str">
        <f>MID(Tabla1[[#This Row],[Aplicación]],14,6)</f>
        <v>641</v>
      </c>
    </row>
    <row r="1217" spans="1:24" x14ac:dyDescent="0.25">
      <c r="A1217" s="49">
        <v>220220003498</v>
      </c>
      <c r="B1217" s="50" t="s">
        <v>9</v>
      </c>
      <c r="C1217" s="57">
        <v>44606</v>
      </c>
      <c r="D1217" s="49">
        <v>22022002147</v>
      </c>
      <c r="E1217" s="50" t="s">
        <v>2552</v>
      </c>
      <c r="F1217" s="58">
        <v>508.2</v>
      </c>
      <c r="G1217" s="50" t="s">
        <v>1034</v>
      </c>
      <c r="H1217" s="50" t="s">
        <v>2665</v>
      </c>
      <c r="I1217" s="49" t="s">
        <v>107</v>
      </c>
      <c r="J1217" s="50" t="s">
        <v>109</v>
      </c>
      <c r="K1217" s="50" t="s">
        <v>109</v>
      </c>
      <c r="L1217" s="50" t="s">
        <v>12</v>
      </c>
      <c r="M1217" s="50" t="s">
        <v>10</v>
      </c>
      <c r="N1217" s="50" t="s">
        <v>11</v>
      </c>
      <c r="O1217" s="48" t="s">
        <v>632</v>
      </c>
      <c r="P1217" s="45" t="s">
        <v>453</v>
      </c>
      <c r="Q1217" s="35" t="str">
        <f>MID(Tabla1[[#This Row],[Aplicación]],14,1)</f>
        <v>2</v>
      </c>
      <c r="R1217" s="35" t="s">
        <v>441</v>
      </c>
      <c r="S1217" s="35" t="str">
        <f>MID(Tabla1[[#This Row],[Aplicación]],6,2)</f>
        <v>06</v>
      </c>
      <c r="T1217" s="35" t="str">
        <f>VLOOKUP(Tabla1[[#This Row],[AREA]],Hoja1!A:B,2,FALSE)</f>
        <v>06. Educación, infancia, juventud e igualdad</v>
      </c>
      <c r="U1217" s="35" t="str">
        <f>MID(Tabla1[[#This Row],[Aplicación]],9,4)</f>
        <v>3261</v>
      </c>
      <c r="V1217" s="35" t="str">
        <f>VLOOKUP(Tabla1[[#This Row],[PROGRAMA]],Hoja1!A:B,2,FALSE)</f>
        <v>3261. Servicios complementarios de educación</v>
      </c>
      <c r="W1217" s="35" t="str">
        <f>MID(Tabla1[[#This Row],[Aplicación]],14,2)</f>
        <v>22</v>
      </c>
      <c r="X1217" s="35" t="str">
        <f>MID(Tabla1[[#This Row],[Aplicación]],14,6)</f>
        <v>22699</v>
      </c>
    </row>
    <row r="1218" spans="1:24" x14ac:dyDescent="0.25">
      <c r="A1218" s="49">
        <v>220220009692</v>
      </c>
      <c r="B1218" s="50" t="s">
        <v>172</v>
      </c>
      <c r="C1218" s="57">
        <v>44637</v>
      </c>
      <c r="D1218" s="49">
        <v>22022001941</v>
      </c>
      <c r="E1218" s="50" t="s">
        <v>1676</v>
      </c>
      <c r="F1218" s="58">
        <v>105734.96</v>
      </c>
      <c r="G1218" s="50" t="s">
        <v>2666</v>
      </c>
      <c r="H1218" s="50" t="s">
        <v>2667</v>
      </c>
      <c r="I1218" s="49" t="s">
        <v>173</v>
      </c>
      <c r="J1218" s="50" t="s">
        <v>108</v>
      </c>
      <c r="K1218" s="50" t="s">
        <v>108</v>
      </c>
      <c r="L1218" s="50" t="s">
        <v>12</v>
      </c>
      <c r="M1218" s="50" t="s">
        <v>13</v>
      </c>
      <c r="N1218" s="50" t="s">
        <v>14</v>
      </c>
      <c r="O1218" s="48" t="s">
        <v>620</v>
      </c>
      <c r="P1218" s="45" t="s">
        <v>453</v>
      </c>
      <c r="Q1218" s="35" t="str">
        <f>MID(Tabla1[[#This Row],[Aplicación]],14,1)</f>
        <v>6</v>
      </c>
      <c r="R1218" s="35" t="s">
        <v>442</v>
      </c>
      <c r="S1218" s="35" t="str">
        <f>MID(Tabla1[[#This Row],[Aplicación]],6,2)</f>
        <v>04</v>
      </c>
      <c r="T1218" s="35" t="str">
        <f>VLOOKUP(Tabla1[[#This Row],[AREA]],Hoja1!A:B,2,FALSE)</f>
        <v>04. Planificación y recursos</v>
      </c>
      <c r="U1218" s="35" t="str">
        <f>MID(Tabla1[[#This Row],[Aplicación]],9,4)</f>
        <v>9204</v>
      </c>
      <c r="V1218" s="35" t="str">
        <f>VLOOKUP(Tabla1[[#This Row],[PROGRAMA]],Hoja1!A:B,2,FALSE)</f>
        <v>9204. Tecnologías de la información y comunicación</v>
      </c>
      <c r="W1218" s="35" t="str">
        <f>MID(Tabla1[[#This Row],[Aplicación]],14,2)</f>
        <v>64</v>
      </c>
      <c r="X1218" s="35" t="str">
        <f>MID(Tabla1[[#This Row],[Aplicación]],14,6)</f>
        <v>641</v>
      </c>
    </row>
    <row r="1219" spans="1:24" x14ac:dyDescent="0.25">
      <c r="A1219" s="49">
        <v>220219000415</v>
      </c>
      <c r="B1219" s="50" t="s">
        <v>9</v>
      </c>
      <c r="C1219" s="57">
        <v>44562</v>
      </c>
      <c r="D1219" s="49">
        <v>22022000551</v>
      </c>
      <c r="E1219" s="50" t="s">
        <v>2668</v>
      </c>
      <c r="F1219" s="58">
        <v>98471.16</v>
      </c>
      <c r="G1219" s="50" t="s">
        <v>146</v>
      </c>
      <c r="H1219" s="50" t="s">
        <v>2669</v>
      </c>
      <c r="I1219" s="49" t="s">
        <v>107</v>
      </c>
      <c r="J1219" s="50" t="s">
        <v>109</v>
      </c>
      <c r="K1219" s="50" t="s">
        <v>109</v>
      </c>
      <c r="L1219" s="50" t="s">
        <v>12</v>
      </c>
      <c r="M1219" s="50" t="s">
        <v>13</v>
      </c>
      <c r="N1219" s="50" t="s">
        <v>14</v>
      </c>
      <c r="O1219" s="48" t="s">
        <v>620</v>
      </c>
      <c r="P1219" s="45" t="s">
        <v>453</v>
      </c>
      <c r="Q1219" s="35" t="str">
        <f>MID(Tabla1[[#This Row],[Aplicación]],14,1)</f>
        <v>2</v>
      </c>
      <c r="R1219" s="35" t="s">
        <v>441</v>
      </c>
      <c r="S1219" s="35" t="str">
        <f>MID(Tabla1[[#This Row],[Aplicación]],6,2)</f>
        <v>04</v>
      </c>
      <c r="T1219" s="35" t="str">
        <f>VLOOKUP(Tabla1[[#This Row],[AREA]],Hoja1!A:B,2,FALSE)</f>
        <v>04. Planificación y recursos</v>
      </c>
      <c r="U1219" s="35" t="str">
        <f>MID(Tabla1[[#This Row],[Aplicación]],9,4)</f>
        <v>9231</v>
      </c>
      <c r="V1219" s="35" t="str">
        <f>VLOOKUP(Tabla1[[#This Row],[PROGRAMA]],Hoja1!A:B,2,FALSE)</f>
        <v>9231. Información, registro y gestión del padrón</v>
      </c>
      <c r="W1219" s="35" t="str">
        <f>MID(Tabla1[[#This Row],[Aplicación]],14,2)</f>
        <v>22</v>
      </c>
      <c r="X1219" s="35" t="str">
        <f>MID(Tabla1[[#This Row],[Aplicación]],14,6)</f>
        <v>22200</v>
      </c>
    </row>
    <row r="1220" spans="1:24" x14ac:dyDescent="0.25">
      <c r="A1220" s="49">
        <v>220220000134</v>
      </c>
      <c r="B1220" s="50" t="s">
        <v>9</v>
      </c>
      <c r="C1220" s="57">
        <v>44582</v>
      </c>
      <c r="D1220" s="49">
        <v>22022001497</v>
      </c>
      <c r="E1220" s="50" t="s">
        <v>1417</v>
      </c>
      <c r="F1220" s="58">
        <v>2500</v>
      </c>
      <c r="G1220" s="50" t="s">
        <v>93</v>
      </c>
      <c r="H1220" s="50" t="s">
        <v>2670</v>
      </c>
      <c r="I1220" s="49" t="s">
        <v>107</v>
      </c>
      <c r="J1220" s="50" t="s">
        <v>109</v>
      </c>
      <c r="K1220" s="50" t="s">
        <v>109</v>
      </c>
      <c r="L1220" s="50" t="s">
        <v>12</v>
      </c>
      <c r="M1220" s="50" t="s">
        <v>10</v>
      </c>
      <c r="N1220" s="50" t="s">
        <v>11</v>
      </c>
      <c r="O1220" s="48" t="s">
        <v>632</v>
      </c>
      <c r="P1220" s="45" t="s">
        <v>453</v>
      </c>
      <c r="Q1220" s="35" t="str">
        <f>MID(Tabla1[[#This Row],[Aplicación]],14,1)</f>
        <v>2</v>
      </c>
      <c r="R1220" s="35" t="s">
        <v>441</v>
      </c>
      <c r="S1220" s="35" t="str">
        <f>MID(Tabla1[[#This Row],[Aplicación]],6,2)</f>
        <v>11</v>
      </c>
      <c r="T1220" s="35" t="str">
        <f>VLOOKUP(Tabla1[[#This Row],[AREA]],Hoja1!A:B,2,FALSE)</f>
        <v>11. Salud pública y seguridad ciudadana</v>
      </c>
      <c r="U1220" s="35" t="str">
        <f>MID(Tabla1[[#This Row],[Aplicación]],9,4)</f>
        <v>1621</v>
      </c>
      <c r="V1220" s="35" t="str">
        <f>VLOOKUP(Tabla1[[#This Row],[PROGRAMA]],Hoja1!A:B,2,FALSE)</f>
        <v>1621. Servicio de limpieza</v>
      </c>
      <c r="W1220" s="35" t="str">
        <f>MID(Tabla1[[#This Row],[Aplicación]],14,2)</f>
        <v>22</v>
      </c>
      <c r="X1220" s="35" t="str">
        <f>MID(Tabla1[[#This Row],[Aplicación]],14,6)</f>
        <v>22700</v>
      </c>
    </row>
    <row r="1221" spans="1:24" x14ac:dyDescent="0.25">
      <c r="A1221" s="49">
        <v>220220001724</v>
      </c>
      <c r="B1221" s="50" t="s">
        <v>26</v>
      </c>
      <c r="C1221" s="57">
        <v>44588</v>
      </c>
      <c r="D1221" s="49">
        <v>22022001516</v>
      </c>
      <c r="E1221" s="50" t="s">
        <v>1637</v>
      </c>
      <c r="F1221" s="58">
        <v>1882.04</v>
      </c>
      <c r="G1221" s="50" t="s">
        <v>140</v>
      </c>
      <c r="H1221" s="50" t="s">
        <v>2671</v>
      </c>
      <c r="I1221" s="49" t="s">
        <v>197</v>
      </c>
      <c r="J1221" s="50" t="s">
        <v>109</v>
      </c>
      <c r="K1221" s="50" t="s">
        <v>109</v>
      </c>
      <c r="L1221" s="50" t="s">
        <v>12</v>
      </c>
      <c r="M1221" s="50" t="s">
        <v>13</v>
      </c>
      <c r="N1221" s="50" t="s">
        <v>14</v>
      </c>
      <c r="O1221" s="48" t="s">
        <v>620</v>
      </c>
      <c r="P1221" s="45" t="s">
        <v>453</v>
      </c>
      <c r="Q1221" s="35" t="str">
        <f>MID(Tabla1[[#This Row],[Aplicación]],14,1)</f>
        <v>2</v>
      </c>
      <c r="R1221" s="35" t="s">
        <v>441</v>
      </c>
      <c r="S1221" s="35" t="str">
        <f>MID(Tabla1[[#This Row],[Aplicación]],6,2)</f>
        <v>06</v>
      </c>
      <c r="T1221" s="35" t="str">
        <f>VLOOKUP(Tabla1[[#This Row],[AREA]],Hoja1!A:B,2,FALSE)</f>
        <v>06. Educación, infancia, juventud e igualdad</v>
      </c>
      <c r="U1221" s="35" t="str">
        <f>MID(Tabla1[[#This Row],[Aplicación]],9,4)</f>
        <v>2314</v>
      </c>
      <c r="V1221" s="35" t="str">
        <f>VLOOKUP(Tabla1[[#This Row],[PROGRAMA]],Hoja1!A:B,2,FALSE)</f>
        <v>2314. Centro de programas juveniles</v>
      </c>
      <c r="W1221" s="35" t="str">
        <f>MID(Tabla1[[#This Row],[Aplicación]],14,2)</f>
        <v>22</v>
      </c>
      <c r="X1221" s="35" t="str">
        <f>MID(Tabla1[[#This Row],[Aplicación]],14,6)</f>
        <v>22799</v>
      </c>
    </row>
    <row r="1222" spans="1:24" x14ac:dyDescent="0.25">
      <c r="A1222" s="49">
        <v>220219001069</v>
      </c>
      <c r="B1222" s="50" t="s">
        <v>9</v>
      </c>
      <c r="C1222" s="57">
        <v>44562</v>
      </c>
      <c r="D1222" s="49">
        <v>22022000491</v>
      </c>
      <c r="E1222" s="50" t="s">
        <v>2672</v>
      </c>
      <c r="F1222" s="58">
        <v>37682.230000000003</v>
      </c>
      <c r="G1222" s="50" t="s">
        <v>130</v>
      </c>
      <c r="H1222" s="50" t="s">
        <v>2673</v>
      </c>
      <c r="I1222" s="49" t="s">
        <v>107</v>
      </c>
      <c r="J1222" s="50" t="s">
        <v>128</v>
      </c>
      <c r="K1222" s="50" t="s">
        <v>128</v>
      </c>
      <c r="L1222" s="50" t="s">
        <v>15</v>
      </c>
      <c r="M1222" s="50" t="s">
        <v>13</v>
      </c>
      <c r="N1222" s="50" t="s">
        <v>14</v>
      </c>
      <c r="O1222" s="48" t="s">
        <v>620</v>
      </c>
      <c r="P1222" s="45" t="s">
        <v>453</v>
      </c>
      <c r="Q1222" s="35" t="str">
        <f>MID(Tabla1[[#This Row],[Aplicación]],14,1)</f>
        <v>2</v>
      </c>
      <c r="R1222" s="35" t="s">
        <v>441</v>
      </c>
      <c r="S1222" s="35" t="str">
        <f>MID(Tabla1[[#This Row],[Aplicación]],6,2)</f>
        <v>08</v>
      </c>
      <c r="T1222" s="35" t="str">
        <f>VLOOKUP(Tabla1[[#This Row],[AREA]],Hoja1!A:B,2,FALSE)</f>
        <v>08. Movilidad y espacio urbano</v>
      </c>
      <c r="U1222" s="35" t="str">
        <f>MID(Tabla1[[#This Row],[Aplicación]],9,4)</f>
        <v>1651</v>
      </c>
      <c r="V1222" s="35" t="str">
        <f>VLOOKUP(Tabla1[[#This Row],[PROGRAMA]],Hoja1!A:B,2,FALSE)</f>
        <v>1651. Alumbrado público</v>
      </c>
      <c r="W1222" s="35" t="str">
        <f>MID(Tabla1[[#This Row],[Aplicación]],14,2)</f>
        <v>21</v>
      </c>
      <c r="X1222" s="35" t="str">
        <f>MID(Tabla1[[#This Row],[Aplicación]],14,6)</f>
        <v>213</v>
      </c>
    </row>
    <row r="1223" spans="1:24" x14ac:dyDescent="0.25">
      <c r="A1223" s="49">
        <v>220220000104</v>
      </c>
      <c r="B1223" s="50" t="s">
        <v>9</v>
      </c>
      <c r="C1223" s="57">
        <v>44581</v>
      </c>
      <c r="D1223" s="49">
        <v>22022001192</v>
      </c>
      <c r="E1223" s="50" t="s">
        <v>1942</v>
      </c>
      <c r="F1223" s="58">
        <v>7260</v>
      </c>
      <c r="G1223" s="50" t="s">
        <v>594</v>
      </c>
      <c r="H1223" s="50" t="s">
        <v>2674</v>
      </c>
      <c r="I1223" s="49" t="s">
        <v>107</v>
      </c>
      <c r="J1223" s="50" t="s">
        <v>552</v>
      </c>
      <c r="K1223" s="50" t="s">
        <v>109</v>
      </c>
      <c r="L1223" s="50" t="s">
        <v>12</v>
      </c>
      <c r="M1223" s="50" t="s">
        <v>10</v>
      </c>
      <c r="N1223" s="50" t="s">
        <v>11</v>
      </c>
      <c r="O1223" s="48" t="s">
        <v>632</v>
      </c>
      <c r="P1223" s="45" t="s">
        <v>453</v>
      </c>
      <c r="Q1223" s="35" t="str">
        <f>MID(Tabla1[[#This Row],[Aplicación]],14,1)</f>
        <v>2</v>
      </c>
      <c r="R1223" s="35" t="s">
        <v>441</v>
      </c>
      <c r="S1223" s="35" t="str">
        <f>MID(Tabla1[[#This Row],[Aplicación]],6,2)</f>
        <v>03</v>
      </c>
      <c r="T1223" s="35" t="str">
        <f>VLOOKUP(Tabla1[[#This Row],[AREA]],Hoja1!A:B,2,FALSE)</f>
        <v>03. Participación ciudadana y deportes</v>
      </c>
      <c r="U1223" s="35" t="str">
        <f>MID(Tabla1[[#This Row],[Aplicación]],9,4)</f>
        <v>9241</v>
      </c>
      <c r="V1223" s="35" t="str">
        <f>VLOOKUP(Tabla1[[#This Row],[PROGRAMA]],Hoja1!A:B,2,FALSE)</f>
        <v>9241. Participación ciudadana</v>
      </c>
      <c r="W1223" s="35" t="str">
        <f>MID(Tabla1[[#This Row],[Aplicación]],14,2)</f>
        <v>22</v>
      </c>
      <c r="X1223" s="35" t="str">
        <f>MID(Tabla1[[#This Row],[Aplicación]],14,6)</f>
        <v>22699</v>
      </c>
    </row>
    <row r="1224" spans="1:24" x14ac:dyDescent="0.25">
      <c r="A1224" s="49">
        <v>220220000130</v>
      </c>
      <c r="B1224" s="50" t="s">
        <v>9</v>
      </c>
      <c r="C1224" s="57">
        <v>44582</v>
      </c>
      <c r="D1224" s="49">
        <v>22022001359</v>
      </c>
      <c r="E1224" s="50" t="s">
        <v>1434</v>
      </c>
      <c r="F1224" s="58">
        <v>7000</v>
      </c>
      <c r="G1224" s="50" t="s">
        <v>89</v>
      </c>
      <c r="H1224" s="50" t="s">
        <v>2675</v>
      </c>
      <c r="I1224" s="49" t="s">
        <v>107</v>
      </c>
      <c r="J1224" s="50" t="s">
        <v>108</v>
      </c>
      <c r="K1224" s="50" t="s">
        <v>108</v>
      </c>
      <c r="L1224" s="50" t="s">
        <v>15</v>
      </c>
      <c r="M1224" s="50" t="s">
        <v>10</v>
      </c>
      <c r="N1224" s="50" t="s">
        <v>11</v>
      </c>
      <c r="O1224" s="48" t="s">
        <v>632</v>
      </c>
      <c r="P1224" s="45" t="s">
        <v>453</v>
      </c>
      <c r="Q1224" s="35" t="str">
        <f>MID(Tabla1[[#This Row],[Aplicación]],14,1)</f>
        <v>2</v>
      </c>
      <c r="R1224" s="35" t="s">
        <v>441</v>
      </c>
      <c r="S1224" s="35" t="str">
        <f>MID(Tabla1[[#This Row],[Aplicación]],6,2)</f>
        <v>11</v>
      </c>
      <c r="T1224" s="35" t="str">
        <f>VLOOKUP(Tabla1[[#This Row],[AREA]],Hoja1!A:B,2,FALSE)</f>
        <v>11. Salud pública y seguridad ciudadana</v>
      </c>
      <c r="U1224" s="35" t="str">
        <f>MID(Tabla1[[#This Row],[Aplicación]],9,4)</f>
        <v>1631</v>
      </c>
      <c r="V1224" s="35" t="str">
        <f>VLOOKUP(Tabla1[[#This Row],[PROGRAMA]],Hoja1!A:B,2,FALSE)</f>
        <v>1631. Limpieza viaria</v>
      </c>
      <c r="W1224" s="35" t="str">
        <f>MID(Tabla1[[#This Row],[Aplicación]],14,2)</f>
        <v>21</v>
      </c>
      <c r="X1224" s="35" t="str">
        <f>MID(Tabla1[[#This Row],[Aplicación]],14,6)</f>
        <v>214</v>
      </c>
    </row>
    <row r="1225" spans="1:24" x14ac:dyDescent="0.25">
      <c r="A1225" s="49">
        <v>220220012360</v>
      </c>
      <c r="B1225" s="50" t="s">
        <v>9</v>
      </c>
      <c r="C1225" s="57">
        <v>44643</v>
      </c>
      <c r="D1225" s="49">
        <v>22022002944</v>
      </c>
      <c r="E1225" s="50" t="s">
        <v>2676</v>
      </c>
      <c r="F1225" s="58">
        <v>1990.45</v>
      </c>
      <c r="G1225" s="50" t="s">
        <v>1283</v>
      </c>
      <c r="H1225" s="50" t="s">
        <v>2677</v>
      </c>
      <c r="I1225" s="49" t="s">
        <v>107</v>
      </c>
      <c r="J1225" s="50" t="s">
        <v>525</v>
      </c>
      <c r="K1225" s="50" t="s">
        <v>109</v>
      </c>
      <c r="L1225" s="50" t="s">
        <v>15</v>
      </c>
      <c r="M1225" s="50" t="s">
        <v>10</v>
      </c>
      <c r="N1225" s="50" t="s">
        <v>11</v>
      </c>
      <c r="O1225" s="48" t="s">
        <v>632</v>
      </c>
      <c r="P1225" s="45" t="s">
        <v>453</v>
      </c>
      <c r="Q1225" s="35" t="str">
        <f>MID(Tabla1[[#This Row],[Aplicación]],14,1)</f>
        <v>2</v>
      </c>
      <c r="R1225" s="35" t="s">
        <v>441</v>
      </c>
      <c r="S1225" s="35" t="str">
        <f>MID(Tabla1[[#This Row],[Aplicación]],6,2)</f>
        <v>02</v>
      </c>
      <c r="T1225" s="35" t="str">
        <f>VLOOKUP(Tabla1[[#This Row],[AREA]],Hoja1!A:B,2,FALSE)</f>
        <v>02. Planeamiento urbanístico y vivienda</v>
      </c>
      <c r="U1225" s="35" t="str">
        <f>MID(Tabla1[[#This Row],[Aplicación]],9,4)</f>
        <v>9332</v>
      </c>
      <c r="V1225" s="35" t="str">
        <f>VLOOKUP(Tabla1[[#This Row],[PROGRAMA]],Hoja1!A:B,2,FALSE)</f>
        <v>9332. Mantenimiento de edificios e instalaciones municipales</v>
      </c>
      <c r="W1225" s="35" t="str">
        <f>MID(Tabla1[[#This Row],[Aplicación]],14,2)</f>
        <v>22</v>
      </c>
      <c r="X1225" s="35" t="str">
        <f>MID(Tabla1[[#This Row],[Aplicación]],14,6)</f>
        <v>22699</v>
      </c>
    </row>
    <row r="1226" spans="1:24" x14ac:dyDescent="0.25">
      <c r="A1226" s="49">
        <v>220220000419</v>
      </c>
      <c r="B1226" s="50" t="s">
        <v>9</v>
      </c>
      <c r="C1226" s="57">
        <v>44586</v>
      </c>
      <c r="D1226" s="49">
        <v>22022001613</v>
      </c>
      <c r="E1226" s="50" t="s">
        <v>2097</v>
      </c>
      <c r="F1226" s="58">
        <v>383.57</v>
      </c>
      <c r="G1226" s="50" t="s">
        <v>2678</v>
      </c>
      <c r="H1226" s="50" t="s">
        <v>2679</v>
      </c>
      <c r="I1226" s="49" t="s">
        <v>107</v>
      </c>
      <c r="J1226" s="50" t="s">
        <v>109</v>
      </c>
      <c r="K1226" s="50" t="s">
        <v>109</v>
      </c>
      <c r="L1226" s="50" t="s">
        <v>15</v>
      </c>
      <c r="M1226" s="50" t="s">
        <v>10</v>
      </c>
      <c r="N1226" s="50" t="s">
        <v>11</v>
      </c>
      <c r="O1226" s="48" t="s">
        <v>632</v>
      </c>
      <c r="P1226" s="45" t="s">
        <v>453</v>
      </c>
      <c r="Q1226" s="35" t="str">
        <f>MID(Tabla1[[#This Row],[Aplicación]],14,1)</f>
        <v>2</v>
      </c>
      <c r="R1226" s="35" t="s">
        <v>441</v>
      </c>
      <c r="S1226" s="35" t="str">
        <f>MID(Tabla1[[#This Row],[Aplicación]],6,2)</f>
        <v>08</v>
      </c>
      <c r="T1226" s="35" t="str">
        <f>VLOOKUP(Tabla1[[#This Row],[AREA]],Hoja1!A:B,2,FALSE)</f>
        <v>08. Movilidad y espacio urbano</v>
      </c>
      <c r="U1226" s="35" t="str">
        <f>MID(Tabla1[[#This Row],[Aplicación]],9,4)</f>
        <v>1341</v>
      </c>
      <c r="V1226" s="35" t="str">
        <f>VLOOKUP(Tabla1[[#This Row],[PROGRAMA]],Hoja1!A:B,2,FALSE)</f>
        <v>1341. Movilidad</v>
      </c>
      <c r="W1226" s="35" t="str">
        <f>MID(Tabla1[[#This Row],[Aplicación]],14,2)</f>
        <v>22</v>
      </c>
      <c r="X1226" s="35" t="str">
        <f>MID(Tabla1[[#This Row],[Aplicación]],14,6)</f>
        <v>22699</v>
      </c>
    </row>
    <row r="1227" spans="1:24" x14ac:dyDescent="0.25">
      <c r="A1227" s="49">
        <v>220219000835</v>
      </c>
      <c r="B1227" s="50" t="s">
        <v>9</v>
      </c>
      <c r="C1227" s="57">
        <v>44562</v>
      </c>
      <c r="D1227" s="49">
        <v>22022000602</v>
      </c>
      <c r="E1227" s="50" t="s">
        <v>1886</v>
      </c>
      <c r="F1227" s="58">
        <v>4384.66</v>
      </c>
      <c r="G1227" s="50" t="s">
        <v>152</v>
      </c>
      <c r="H1227" s="50" t="s">
        <v>1281</v>
      </c>
      <c r="I1227" s="49" t="s">
        <v>107</v>
      </c>
      <c r="J1227" s="50" t="s">
        <v>553</v>
      </c>
      <c r="K1227" s="50" t="s">
        <v>109</v>
      </c>
      <c r="L1227" s="50" t="s">
        <v>12</v>
      </c>
      <c r="M1227" s="50" t="s">
        <v>10</v>
      </c>
      <c r="N1227" s="50" t="s">
        <v>11</v>
      </c>
      <c r="O1227" s="48" t="s">
        <v>632</v>
      </c>
      <c r="P1227" s="45" t="s">
        <v>453</v>
      </c>
      <c r="Q1227" s="35" t="str">
        <f>MID(Tabla1[[#This Row],[Aplicación]],14,1)</f>
        <v>2</v>
      </c>
      <c r="R1227" s="35" t="s">
        <v>441</v>
      </c>
      <c r="S1227" s="35" t="str">
        <f>MID(Tabla1[[#This Row],[Aplicación]],6,2)</f>
        <v>09</v>
      </c>
      <c r="T1227" s="35" t="str">
        <f>VLOOKUP(Tabla1[[#This Row],[AREA]],Hoja1!A:B,2,FALSE)</f>
        <v>09. Cultura y turismo</v>
      </c>
      <c r="U1227" s="35" t="str">
        <f>MID(Tabla1[[#This Row],[Aplicación]],9,4)</f>
        <v>3341</v>
      </c>
      <c r="V1227" s="35" t="str">
        <f>VLOOKUP(Tabla1[[#This Row],[PROGRAMA]],Hoja1!A:B,2,FALSE)</f>
        <v>3341. Coordinación de políticas culturales</v>
      </c>
      <c r="W1227" s="35" t="str">
        <f>MID(Tabla1[[#This Row],[Aplicación]],14,2)</f>
        <v>22</v>
      </c>
      <c r="X1227" s="35" t="str">
        <f>MID(Tabla1[[#This Row],[Aplicación]],14,6)</f>
        <v>22799</v>
      </c>
    </row>
    <row r="1228" spans="1:24" x14ac:dyDescent="0.25">
      <c r="A1228" s="49">
        <v>220219000581</v>
      </c>
      <c r="B1228" s="50" t="s">
        <v>9</v>
      </c>
      <c r="C1228" s="57">
        <v>44562</v>
      </c>
      <c r="D1228" s="49">
        <v>22022000570</v>
      </c>
      <c r="E1228" s="50" t="s">
        <v>1639</v>
      </c>
      <c r="F1228" s="58">
        <v>109843.22</v>
      </c>
      <c r="G1228" s="50" t="s">
        <v>142</v>
      </c>
      <c r="H1228" s="50" t="s">
        <v>2680</v>
      </c>
      <c r="I1228" s="49" t="s">
        <v>107</v>
      </c>
      <c r="J1228" s="50" t="s">
        <v>108</v>
      </c>
      <c r="K1228" s="50" t="s">
        <v>108</v>
      </c>
      <c r="L1228" s="50" t="s">
        <v>12</v>
      </c>
      <c r="M1228" s="50" t="s">
        <v>13</v>
      </c>
      <c r="N1228" s="50" t="s">
        <v>14</v>
      </c>
      <c r="O1228" s="48" t="s">
        <v>620</v>
      </c>
      <c r="P1228" s="45" t="s">
        <v>453</v>
      </c>
      <c r="Q1228" s="35" t="str">
        <f>MID(Tabla1[[#This Row],[Aplicación]],14,1)</f>
        <v>2</v>
      </c>
      <c r="R1228" s="35" t="s">
        <v>441</v>
      </c>
      <c r="S1228" s="35" t="str">
        <f>MID(Tabla1[[#This Row],[Aplicación]],6,2)</f>
        <v>03</v>
      </c>
      <c r="T1228" s="35" t="str">
        <f>VLOOKUP(Tabla1[[#This Row],[AREA]],Hoja1!A:B,2,FALSE)</f>
        <v>03. Participación ciudadana y deportes</v>
      </c>
      <c r="U1228" s="35" t="str">
        <f>MID(Tabla1[[#This Row],[Aplicación]],9,4)</f>
        <v>9241</v>
      </c>
      <c r="V1228" s="35" t="str">
        <f>VLOOKUP(Tabla1[[#This Row],[PROGRAMA]],Hoja1!A:B,2,FALSE)</f>
        <v>9241. Participación ciudadana</v>
      </c>
      <c r="W1228" s="35" t="str">
        <f>MID(Tabla1[[#This Row],[Aplicación]],14,2)</f>
        <v>22</v>
      </c>
      <c r="X1228" s="35" t="str">
        <f>MID(Tabla1[[#This Row],[Aplicación]],14,6)</f>
        <v>22799</v>
      </c>
    </row>
    <row r="1229" spans="1:24" x14ac:dyDescent="0.25">
      <c r="A1229" s="49">
        <v>220219000187</v>
      </c>
      <c r="B1229" s="50" t="s">
        <v>9</v>
      </c>
      <c r="C1229" s="57">
        <v>44562</v>
      </c>
      <c r="D1229" s="49">
        <v>22022000390</v>
      </c>
      <c r="E1229" s="50" t="s">
        <v>1587</v>
      </c>
      <c r="F1229" s="58">
        <v>100885.53</v>
      </c>
      <c r="G1229" s="50" t="s">
        <v>147</v>
      </c>
      <c r="H1229" s="50" t="s">
        <v>2681</v>
      </c>
      <c r="I1229" s="49" t="s">
        <v>107</v>
      </c>
      <c r="J1229" s="50" t="s">
        <v>108</v>
      </c>
      <c r="K1229" s="50" t="s">
        <v>108</v>
      </c>
      <c r="L1229" s="50" t="s">
        <v>12</v>
      </c>
      <c r="M1229" s="50" t="s">
        <v>13</v>
      </c>
      <c r="N1229" s="50" t="s">
        <v>14</v>
      </c>
      <c r="O1229" s="48" t="s">
        <v>620</v>
      </c>
      <c r="P1229" s="45" t="s">
        <v>453</v>
      </c>
      <c r="Q1229" s="35" t="str">
        <f>MID(Tabla1[[#This Row],[Aplicación]],14,1)</f>
        <v>2</v>
      </c>
      <c r="R1229" s="35" t="s">
        <v>441</v>
      </c>
      <c r="S1229" s="35" t="str">
        <f>MID(Tabla1[[#This Row],[Aplicación]],6,2)</f>
        <v>07</v>
      </c>
      <c r="T1229" s="35" t="str">
        <f>VLOOKUP(Tabla1[[#This Row],[AREA]],Hoja1!A:B,2,FALSE)</f>
        <v>07. Medio ambiente y desarrollo sostenible</v>
      </c>
      <c r="U1229" s="35" t="str">
        <f>MID(Tabla1[[#This Row],[Aplicación]],9,4)</f>
        <v>1711</v>
      </c>
      <c r="V1229" s="35" t="str">
        <f>VLOOKUP(Tabla1[[#This Row],[PROGRAMA]],Hoja1!A:B,2,FALSE)</f>
        <v>1711. Parques y jardines</v>
      </c>
      <c r="W1229" s="35" t="str">
        <f>MID(Tabla1[[#This Row],[Aplicación]],14,2)</f>
        <v>22</v>
      </c>
      <c r="X1229" s="35" t="str">
        <f>MID(Tabla1[[#This Row],[Aplicación]],14,6)</f>
        <v>22799</v>
      </c>
    </row>
    <row r="1230" spans="1:24" x14ac:dyDescent="0.25">
      <c r="A1230" s="49">
        <v>220220003487</v>
      </c>
      <c r="B1230" s="50" t="s">
        <v>9</v>
      </c>
      <c r="C1230" s="57">
        <v>44606</v>
      </c>
      <c r="D1230" s="49">
        <v>22022001970</v>
      </c>
      <c r="E1230" s="50" t="s">
        <v>1905</v>
      </c>
      <c r="F1230" s="58">
        <v>1082.95</v>
      </c>
      <c r="G1230" s="50" t="s">
        <v>1002</v>
      </c>
      <c r="H1230" s="50" t="s">
        <v>2682</v>
      </c>
      <c r="I1230" s="49" t="s">
        <v>107</v>
      </c>
      <c r="J1230" s="50" t="s">
        <v>520</v>
      </c>
      <c r="K1230" s="50" t="s">
        <v>109</v>
      </c>
      <c r="L1230" s="50" t="s">
        <v>12</v>
      </c>
      <c r="M1230" s="50" t="s">
        <v>10</v>
      </c>
      <c r="N1230" s="50" t="s">
        <v>11</v>
      </c>
      <c r="O1230" s="48" t="s">
        <v>632</v>
      </c>
      <c r="P1230" s="45" t="s">
        <v>453</v>
      </c>
      <c r="Q1230" s="35" t="str">
        <f>MID(Tabla1[[#This Row],[Aplicación]],14,1)</f>
        <v>2</v>
      </c>
      <c r="R1230" s="35" t="s">
        <v>441</v>
      </c>
      <c r="S1230" s="35" t="str">
        <f>MID(Tabla1[[#This Row],[Aplicación]],6,2)</f>
        <v>10</v>
      </c>
      <c r="T1230" s="35" t="str">
        <f>VLOOKUP(Tabla1[[#This Row],[AREA]],Hoja1!A:B,2,FALSE)</f>
        <v>10. Servicios sociales y mediación comunitaria</v>
      </c>
      <c r="U1230" s="35" t="str">
        <f>MID(Tabla1[[#This Row],[Aplicación]],9,4)</f>
        <v>2311</v>
      </c>
      <c r="V1230" s="35" t="str">
        <f>VLOOKUP(Tabla1[[#This Row],[PROGRAMA]],Hoja1!A:B,2,FALSE)</f>
        <v>2311. Intervención social</v>
      </c>
      <c r="W1230" s="35" t="str">
        <f>MID(Tabla1[[#This Row],[Aplicación]],14,2)</f>
        <v>22</v>
      </c>
      <c r="X1230" s="35" t="str">
        <f>MID(Tabla1[[#This Row],[Aplicación]],14,6)</f>
        <v>22700</v>
      </c>
    </row>
    <row r="1231" spans="1:24" x14ac:dyDescent="0.25">
      <c r="A1231" s="49">
        <v>220220003493</v>
      </c>
      <c r="B1231" s="50" t="s">
        <v>9</v>
      </c>
      <c r="C1231" s="57">
        <v>44606</v>
      </c>
      <c r="D1231" s="49">
        <v>22022002135</v>
      </c>
      <c r="E1231" s="50" t="s">
        <v>2410</v>
      </c>
      <c r="F1231" s="58">
        <v>4568.96</v>
      </c>
      <c r="G1231" s="50" t="s">
        <v>758</v>
      </c>
      <c r="H1231" s="50" t="s">
        <v>2683</v>
      </c>
      <c r="I1231" s="49" t="s">
        <v>107</v>
      </c>
      <c r="J1231" s="50" t="s">
        <v>520</v>
      </c>
      <c r="K1231" s="50" t="s">
        <v>109</v>
      </c>
      <c r="L1231" s="50" t="s">
        <v>12</v>
      </c>
      <c r="M1231" s="50" t="s">
        <v>10</v>
      </c>
      <c r="N1231" s="50" t="s">
        <v>11</v>
      </c>
      <c r="O1231" s="48" t="s">
        <v>632</v>
      </c>
      <c r="P1231" s="45" t="s">
        <v>453</v>
      </c>
      <c r="Q1231" s="35" t="str">
        <f>MID(Tabla1[[#This Row],[Aplicación]],14,1)</f>
        <v>2</v>
      </c>
      <c r="R1231" s="35" t="s">
        <v>441</v>
      </c>
      <c r="S1231" s="35" t="str">
        <f>MID(Tabla1[[#This Row],[Aplicación]],6,2)</f>
        <v>06</v>
      </c>
      <c r="T1231" s="35" t="str">
        <f>VLOOKUP(Tabla1[[#This Row],[AREA]],Hoja1!A:B,2,FALSE)</f>
        <v>06. Educación, infancia, juventud e igualdad</v>
      </c>
      <c r="U1231" s="35" t="str">
        <f>MID(Tabla1[[#This Row],[Aplicación]],9,4)</f>
        <v>3232</v>
      </c>
      <c r="V1231" s="35" t="str">
        <f>VLOOKUP(Tabla1[[#This Row],[PROGRAMA]],Hoja1!A:B,2,FALSE)</f>
        <v>3232. Conservación y mantenimiento centros educación infantil y primaria</v>
      </c>
      <c r="W1231" s="35" t="str">
        <f>MID(Tabla1[[#This Row],[Aplicación]],14,2)</f>
        <v>22</v>
      </c>
      <c r="X1231" s="35" t="str">
        <f>MID(Tabla1[[#This Row],[Aplicación]],14,6)</f>
        <v>22799</v>
      </c>
    </row>
    <row r="1232" spans="1:24" x14ac:dyDescent="0.25">
      <c r="A1232" s="49">
        <v>220220000071</v>
      </c>
      <c r="B1232" s="50" t="s">
        <v>9</v>
      </c>
      <c r="C1232" s="57">
        <v>44580</v>
      </c>
      <c r="D1232" s="49">
        <v>22022000892</v>
      </c>
      <c r="E1232" s="50" t="s">
        <v>2303</v>
      </c>
      <c r="F1232" s="58">
        <v>847</v>
      </c>
      <c r="G1232" s="50" t="s">
        <v>48</v>
      </c>
      <c r="H1232" s="50" t="s">
        <v>2684</v>
      </c>
      <c r="I1232" s="49" t="s">
        <v>107</v>
      </c>
      <c r="J1232" s="50" t="s">
        <v>109</v>
      </c>
      <c r="K1232" s="50" t="s">
        <v>109</v>
      </c>
      <c r="L1232" s="50" t="s">
        <v>12</v>
      </c>
      <c r="M1232" s="50" t="s">
        <v>10</v>
      </c>
      <c r="N1232" s="50" t="s">
        <v>11</v>
      </c>
      <c r="O1232" s="48" t="s">
        <v>632</v>
      </c>
      <c r="P1232" s="45" t="s">
        <v>453</v>
      </c>
      <c r="Q1232" s="35" t="str">
        <f>MID(Tabla1[[#This Row],[Aplicación]],14,1)</f>
        <v>2</v>
      </c>
      <c r="R1232" s="35" t="s">
        <v>441</v>
      </c>
      <c r="S1232" s="35" t="str">
        <f>MID(Tabla1[[#This Row],[Aplicación]],6,2)</f>
        <v>09</v>
      </c>
      <c r="T1232" s="35" t="str">
        <f>VLOOKUP(Tabla1[[#This Row],[AREA]],Hoja1!A:B,2,FALSE)</f>
        <v>09. Cultura y turismo</v>
      </c>
      <c r="U1232" s="35" t="str">
        <f>MID(Tabla1[[#This Row],[Aplicación]],9,4)</f>
        <v>4321</v>
      </c>
      <c r="V1232" s="35" t="str">
        <f>VLOOKUP(Tabla1[[#This Row],[PROGRAMA]],Hoja1!A:B,2,FALSE)</f>
        <v>4321. Turismo</v>
      </c>
      <c r="W1232" s="35" t="str">
        <f>MID(Tabla1[[#This Row],[Aplicación]],14,2)</f>
        <v>22</v>
      </c>
      <c r="X1232" s="35" t="str">
        <f>MID(Tabla1[[#This Row],[Aplicación]],14,6)</f>
        <v>22799</v>
      </c>
    </row>
    <row r="1233" spans="1:24" x14ac:dyDescent="0.25">
      <c r="A1233" s="49">
        <v>220220003846</v>
      </c>
      <c r="B1233" s="50" t="s">
        <v>9</v>
      </c>
      <c r="C1233" s="57">
        <v>44608</v>
      </c>
      <c r="D1233" s="49">
        <v>22022002310</v>
      </c>
      <c r="E1233" s="50" t="s">
        <v>2685</v>
      </c>
      <c r="F1233" s="58">
        <v>151.25</v>
      </c>
      <c r="G1233" s="50" t="s">
        <v>48</v>
      </c>
      <c r="H1233" s="50" t="s">
        <v>2686</v>
      </c>
      <c r="I1233" s="49" t="s">
        <v>107</v>
      </c>
      <c r="J1233" s="50" t="s">
        <v>109</v>
      </c>
      <c r="K1233" s="50" t="s">
        <v>109</v>
      </c>
      <c r="L1233" s="50" t="s">
        <v>12</v>
      </c>
      <c r="M1233" s="50" t="s">
        <v>10</v>
      </c>
      <c r="N1233" s="50" t="s">
        <v>11</v>
      </c>
      <c r="O1233" s="48" t="s">
        <v>632</v>
      </c>
      <c r="P1233" s="45" t="s">
        <v>453</v>
      </c>
      <c r="Q1233" s="35" t="str">
        <f>MID(Tabla1[[#This Row],[Aplicación]],14,1)</f>
        <v>2</v>
      </c>
      <c r="R1233" s="35" t="s">
        <v>441</v>
      </c>
      <c r="S1233" s="35" t="str">
        <f>MID(Tabla1[[#This Row],[Aplicación]],6,2)</f>
        <v>06</v>
      </c>
      <c r="T1233" s="35" t="str">
        <f>VLOOKUP(Tabla1[[#This Row],[AREA]],Hoja1!A:B,2,FALSE)</f>
        <v>06. Educación, infancia, juventud e igualdad</v>
      </c>
      <c r="U1233" s="35" t="str">
        <f>MID(Tabla1[[#This Row],[Aplicación]],9,4)</f>
        <v>2315</v>
      </c>
      <c r="V1233" s="35" t="str">
        <f>VLOOKUP(Tabla1[[#This Row],[PROGRAMA]],Hoja1!A:B,2,FALSE)</f>
        <v>2315. Políticas de Igualdad e infancia</v>
      </c>
      <c r="W1233" s="35" t="str">
        <f>MID(Tabla1[[#This Row],[Aplicación]],14,2)</f>
        <v>22</v>
      </c>
      <c r="X1233" s="35" t="str">
        <f>MID(Tabla1[[#This Row],[Aplicación]],14,6)</f>
        <v>22614</v>
      </c>
    </row>
    <row r="1234" spans="1:24" x14ac:dyDescent="0.25">
      <c r="A1234" s="49">
        <v>220220002265</v>
      </c>
      <c r="B1234" s="50" t="s">
        <v>9</v>
      </c>
      <c r="C1234" s="57">
        <v>44592</v>
      </c>
      <c r="D1234" s="49">
        <v>22022001747</v>
      </c>
      <c r="E1234" s="50" t="s">
        <v>1571</v>
      </c>
      <c r="F1234" s="58">
        <v>500</v>
      </c>
      <c r="G1234" s="50" t="s">
        <v>1146</v>
      </c>
      <c r="H1234" s="50" t="s">
        <v>2687</v>
      </c>
      <c r="I1234" s="49" t="s">
        <v>107</v>
      </c>
      <c r="J1234" s="50" t="s">
        <v>547</v>
      </c>
      <c r="K1234" s="50" t="s">
        <v>109</v>
      </c>
      <c r="L1234" s="50" t="s">
        <v>12</v>
      </c>
      <c r="M1234" s="50" t="s">
        <v>10</v>
      </c>
      <c r="N1234" s="50" t="s">
        <v>11</v>
      </c>
      <c r="O1234" s="48" t="s">
        <v>632</v>
      </c>
      <c r="P1234" s="45" t="s">
        <v>453</v>
      </c>
      <c r="Q1234" s="35" t="str">
        <f>MID(Tabla1[[#This Row],[Aplicación]],14,1)</f>
        <v>2</v>
      </c>
      <c r="R1234" s="35" t="s">
        <v>441</v>
      </c>
      <c r="S1234" s="35" t="str">
        <f>MID(Tabla1[[#This Row],[Aplicación]],6,2)</f>
        <v>11</v>
      </c>
      <c r="T1234" s="35" t="str">
        <f>VLOOKUP(Tabla1[[#This Row],[AREA]],Hoja1!A:B,2,FALSE)</f>
        <v>11. Salud pública y seguridad ciudadana</v>
      </c>
      <c r="U1234" s="35" t="str">
        <f>MID(Tabla1[[#This Row],[Aplicación]],9,4)</f>
        <v>3111</v>
      </c>
      <c r="V1234" s="35" t="str">
        <f>VLOOKUP(Tabla1[[#This Row],[PROGRAMA]],Hoja1!A:B,2,FALSE)</f>
        <v>3111. Protección de la salubridad pública</v>
      </c>
      <c r="W1234" s="35" t="str">
        <f>MID(Tabla1[[#This Row],[Aplicación]],14,2)</f>
        <v>21</v>
      </c>
      <c r="X1234" s="35" t="str">
        <f>MID(Tabla1[[#This Row],[Aplicación]],14,6)</f>
        <v>213</v>
      </c>
    </row>
    <row r="1235" spans="1:24" x14ac:dyDescent="0.25">
      <c r="A1235" s="49">
        <v>220220005198</v>
      </c>
      <c r="B1235" s="50" t="s">
        <v>9</v>
      </c>
      <c r="C1235" s="57">
        <v>44614</v>
      </c>
      <c r="D1235" s="49">
        <v>22022002068</v>
      </c>
      <c r="E1235" s="50" t="s">
        <v>2688</v>
      </c>
      <c r="F1235" s="58">
        <v>6763.9</v>
      </c>
      <c r="G1235" s="50" t="s">
        <v>2689</v>
      </c>
      <c r="H1235" s="50" t="s">
        <v>2690</v>
      </c>
      <c r="I1235" s="49" t="s">
        <v>107</v>
      </c>
      <c r="J1235" s="50" t="s">
        <v>109</v>
      </c>
      <c r="K1235" s="50" t="s">
        <v>109</v>
      </c>
      <c r="L1235" s="50" t="s">
        <v>12</v>
      </c>
      <c r="M1235" s="50" t="s">
        <v>10</v>
      </c>
      <c r="N1235" s="50" t="s">
        <v>11</v>
      </c>
      <c r="O1235" s="48" t="s">
        <v>632</v>
      </c>
      <c r="P1235" s="45" t="s">
        <v>453</v>
      </c>
      <c r="Q1235" s="35" t="str">
        <f>MID(Tabla1[[#This Row],[Aplicación]],14,1)</f>
        <v>2</v>
      </c>
      <c r="R1235" s="35" t="s">
        <v>441</v>
      </c>
      <c r="S1235" s="35" t="str">
        <f>MID(Tabla1[[#This Row],[Aplicación]],6,2)</f>
        <v>05</v>
      </c>
      <c r="T1235" s="35" t="str">
        <f>VLOOKUP(Tabla1[[#This Row],[AREA]],Hoja1!A:B,2,FALSE)</f>
        <v>05. Innovación, desarrollo económico, empleo y comercio</v>
      </c>
      <c r="U1235" s="35" t="str">
        <f>MID(Tabla1[[#This Row],[Aplicación]],9,4)</f>
        <v>4331</v>
      </c>
      <c r="V1235" s="35" t="str">
        <f>VLOOKUP(Tabla1[[#This Row],[PROGRAMA]],Hoja1!A:B,2,FALSE)</f>
        <v>4331. Desarrollo empresarial</v>
      </c>
      <c r="W1235" s="35" t="str">
        <f>MID(Tabla1[[#This Row],[Aplicación]],14,2)</f>
        <v>22</v>
      </c>
      <c r="X1235" s="35" t="str">
        <f>MID(Tabla1[[#This Row],[Aplicación]],14,6)</f>
        <v>22706</v>
      </c>
    </row>
    <row r="1236" spans="1:24" x14ac:dyDescent="0.25">
      <c r="A1236" s="49">
        <v>220220000078</v>
      </c>
      <c r="B1236" s="50" t="s">
        <v>9</v>
      </c>
      <c r="C1236" s="57">
        <v>44580</v>
      </c>
      <c r="D1236" s="49">
        <v>22022001154</v>
      </c>
      <c r="E1236" s="50" t="s">
        <v>2007</v>
      </c>
      <c r="F1236" s="58">
        <v>3000</v>
      </c>
      <c r="G1236" s="50" t="s">
        <v>74</v>
      </c>
      <c r="H1236" s="50" t="s">
        <v>2691</v>
      </c>
      <c r="I1236" s="49" t="s">
        <v>107</v>
      </c>
      <c r="J1236" s="50" t="s">
        <v>109</v>
      </c>
      <c r="K1236" s="50" t="s">
        <v>109</v>
      </c>
      <c r="L1236" s="50" t="s">
        <v>15</v>
      </c>
      <c r="M1236" s="50" t="s">
        <v>10</v>
      </c>
      <c r="N1236" s="50" t="s">
        <v>11</v>
      </c>
      <c r="O1236" s="48" t="s">
        <v>632</v>
      </c>
      <c r="P1236" s="45" t="s">
        <v>453</v>
      </c>
      <c r="Q1236" s="35" t="str">
        <f>MID(Tabla1[[#This Row],[Aplicación]],14,1)</f>
        <v>2</v>
      </c>
      <c r="R1236" s="35" t="s">
        <v>441</v>
      </c>
      <c r="S1236" s="35" t="str">
        <f>MID(Tabla1[[#This Row],[Aplicación]],6,2)</f>
        <v>11</v>
      </c>
      <c r="T1236" s="35" t="str">
        <f>VLOOKUP(Tabla1[[#This Row],[AREA]],Hoja1!A:B,2,FALSE)</f>
        <v>11. Salud pública y seguridad ciudadana</v>
      </c>
      <c r="U1236" s="35" t="str">
        <f>MID(Tabla1[[#This Row],[Aplicación]],9,4)</f>
        <v>1621</v>
      </c>
      <c r="V1236" s="35" t="str">
        <f>VLOOKUP(Tabla1[[#This Row],[PROGRAMA]],Hoja1!A:B,2,FALSE)</f>
        <v>1621. Servicio de limpieza</v>
      </c>
      <c r="W1236" s="35" t="str">
        <f>MID(Tabla1[[#This Row],[Aplicación]],14,2)</f>
        <v>22</v>
      </c>
      <c r="X1236" s="35" t="str">
        <f>MID(Tabla1[[#This Row],[Aplicación]],14,6)</f>
        <v>22199</v>
      </c>
    </row>
    <row r="1237" spans="1:24" x14ac:dyDescent="0.25">
      <c r="A1237" s="49">
        <v>220220001796</v>
      </c>
      <c r="B1237" s="50" t="s">
        <v>9</v>
      </c>
      <c r="C1237" s="57">
        <v>44589</v>
      </c>
      <c r="D1237" s="49">
        <v>22022001653</v>
      </c>
      <c r="E1237" s="50" t="s">
        <v>1719</v>
      </c>
      <c r="F1237" s="58">
        <v>2000</v>
      </c>
      <c r="G1237" s="50" t="s">
        <v>74</v>
      </c>
      <c r="H1237" s="50" t="s">
        <v>2692</v>
      </c>
      <c r="I1237" s="49" t="s">
        <v>107</v>
      </c>
      <c r="J1237" s="50" t="s">
        <v>109</v>
      </c>
      <c r="K1237" s="50" t="s">
        <v>109</v>
      </c>
      <c r="L1237" s="50" t="s">
        <v>15</v>
      </c>
      <c r="M1237" s="50" t="s">
        <v>10</v>
      </c>
      <c r="N1237" s="50" t="s">
        <v>11</v>
      </c>
      <c r="O1237" s="48" t="s">
        <v>632</v>
      </c>
      <c r="P1237" s="45" t="s">
        <v>453</v>
      </c>
      <c r="Q1237" s="35" t="str">
        <f>MID(Tabla1[[#This Row],[Aplicación]],14,1)</f>
        <v>2</v>
      </c>
      <c r="R1237" s="35" t="s">
        <v>441</v>
      </c>
      <c r="S1237" s="35" t="str">
        <f>MID(Tabla1[[#This Row],[Aplicación]],6,2)</f>
        <v>06</v>
      </c>
      <c r="T1237" s="35" t="str">
        <f>VLOOKUP(Tabla1[[#This Row],[AREA]],Hoja1!A:B,2,FALSE)</f>
        <v>06. Educación, infancia, juventud e igualdad</v>
      </c>
      <c r="U1237" s="35" t="str">
        <f>MID(Tabla1[[#This Row],[Aplicación]],9,4)</f>
        <v>3231</v>
      </c>
      <c r="V1237" s="35" t="str">
        <f>VLOOKUP(Tabla1[[#This Row],[PROGRAMA]],Hoja1!A:B,2,FALSE)</f>
        <v>3231. Escuelas infantiles</v>
      </c>
      <c r="W1237" s="35" t="str">
        <f>MID(Tabla1[[#This Row],[Aplicación]],14,2)</f>
        <v>21</v>
      </c>
      <c r="X1237" s="35" t="str">
        <f>MID(Tabla1[[#This Row],[Aplicación]],14,6)</f>
        <v>212</v>
      </c>
    </row>
    <row r="1238" spans="1:24" x14ac:dyDescent="0.25">
      <c r="A1238" s="49">
        <v>220220009696</v>
      </c>
      <c r="B1238" s="50" t="s">
        <v>9</v>
      </c>
      <c r="C1238" s="57">
        <v>44637</v>
      </c>
      <c r="D1238" s="49">
        <v>22022002687</v>
      </c>
      <c r="E1238" s="50" t="s">
        <v>2020</v>
      </c>
      <c r="F1238" s="58">
        <v>1700</v>
      </c>
      <c r="G1238" s="50" t="s">
        <v>74</v>
      </c>
      <c r="H1238" s="50" t="s">
        <v>2693</v>
      </c>
      <c r="I1238" s="49" t="s">
        <v>107</v>
      </c>
      <c r="J1238" s="50" t="s">
        <v>109</v>
      </c>
      <c r="K1238" s="50" t="s">
        <v>109</v>
      </c>
      <c r="L1238" s="50" t="s">
        <v>15</v>
      </c>
      <c r="M1238" s="50" t="s">
        <v>10</v>
      </c>
      <c r="N1238" s="50" t="s">
        <v>11</v>
      </c>
      <c r="O1238" s="48" t="s">
        <v>632</v>
      </c>
      <c r="P1238" s="45" t="s">
        <v>453</v>
      </c>
      <c r="Q1238" s="35" t="str">
        <f>MID(Tabla1[[#This Row],[Aplicación]],14,1)</f>
        <v>2</v>
      </c>
      <c r="R1238" s="35" t="s">
        <v>441</v>
      </c>
      <c r="S1238" s="35" t="str">
        <f>MID(Tabla1[[#This Row],[Aplicación]],6,2)</f>
        <v>10</v>
      </c>
      <c r="T1238" s="35" t="str">
        <f>VLOOKUP(Tabla1[[#This Row],[AREA]],Hoja1!A:B,2,FALSE)</f>
        <v>10. Servicios sociales y mediación comunitaria</v>
      </c>
      <c r="U1238" s="35" t="str">
        <f>MID(Tabla1[[#This Row],[Aplicación]],9,4)</f>
        <v>2312</v>
      </c>
      <c r="V1238" s="35" t="str">
        <f>VLOOKUP(Tabla1[[#This Row],[PROGRAMA]],Hoja1!A:B,2,FALSE)</f>
        <v>2312. Iniciativas sociales</v>
      </c>
      <c r="W1238" s="35" t="str">
        <f>MID(Tabla1[[#This Row],[Aplicación]],14,2)</f>
        <v>21</v>
      </c>
      <c r="X1238" s="35" t="str">
        <f>MID(Tabla1[[#This Row],[Aplicación]],14,6)</f>
        <v>212</v>
      </c>
    </row>
    <row r="1239" spans="1:24" x14ac:dyDescent="0.25">
      <c r="A1239" s="49">
        <v>220209000215</v>
      </c>
      <c r="B1239" s="50" t="s">
        <v>9</v>
      </c>
      <c r="C1239" s="57">
        <v>44562</v>
      </c>
      <c r="D1239" s="49">
        <v>22022000178</v>
      </c>
      <c r="E1239" s="50" t="s">
        <v>2410</v>
      </c>
      <c r="F1239" s="58">
        <v>61014.31</v>
      </c>
      <c r="G1239" s="50" t="s">
        <v>84</v>
      </c>
      <c r="H1239" s="50" t="s">
        <v>731</v>
      </c>
      <c r="I1239" s="49" t="s">
        <v>107</v>
      </c>
      <c r="J1239" s="50" t="s">
        <v>109</v>
      </c>
      <c r="K1239" s="50" t="s">
        <v>109</v>
      </c>
      <c r="L1239" s="50" t="s">
        <v>12</v>
      </c>
      <c r="M1239" s="50" t="s">
        <v>13</v>
      </c>
      <c r="N1239" s="50" t="s">
        <v>16</v>
      </c>
      <c r="O1239" s="48" t="s">
        <v>620</v>
      </c>
      <c r="P1239" s="45" t="s">
        <v>453</v>
      </c>
      <c r="Q1239" s="35" t="str">
        <f>MID(Tabla1[[#This Row],[Aplicación]],14,1)</f>
        <v>2</v>
      </c>
      <c r="R1239" s="35" t="s">
        <v>441</v>
      </c>
      <c r="S1239" s="35" t="str">
        <f>MID(Tabla1[[#This Row],[Aplicación]],6,2)</f>
        <v>06</v>
      </c>
      <c r="T1239" s="35" t="str">
        <f>VLOOKUP(Tabla1[[#This Row],[AREA]],Hoja1!A:B,2,FALSE)</f>
        <v>06. Educación, infancia, juventud e igualdad</v>
      </c>
      <c r="U1239" s="35" t="str">
        <f>MID(Tabla1[[#This Row],[Aplicación]],9,4)</f>
        <v>3232</v>
      </c>
      <c r="V1239" s="35" t="str">
        <f>VLOOKUP(Tabla1[[#This Row],[PROGRAMA]],Hoja1!A:B,2,FALSE)</f>
        <v>3232. Conservación y mantenimiento centros educación infantil y primaria</v>
      </c>
      <c r="W1239" s="35" t="str">
        <f>MID(Tabla1[[#This Row],[Aplicación]],14,2)</f>
        <v>22</v>
      </c>
      <c r="X1239" s="35" t="str">
        <f>MID(Tabla1[[#This Row],[Aplicación]],14,6)</f>
        <v>22799</v>
      </c>
    </row>
    <row r="1240" spans="1:24" x14ac:dyDescent="0.25">
      <c r="A1240" s="49">
        <v>220219000316</v>
      </c>
      <c r="B1240" s="50" t="s">
        <v>9</v>
      </c>
      <c r="C1240" s="57">
        <v>44562</v>
      </c>
      <c r="D1240" s="49">
        <v>22022000068</v>
      </c>
      <c r="E1240" s="50" t="s">
        <v>2410</v>
      </c>
      <c r="F1240" s="58">
        <v>26821.67</v>
      </c>
      <c r="G1240" s="50" t="s">
        <v>84</v>
      </c>
      <c r="H1240" s="50" t="s">
        <v>798</v>
      </c>
      <c r="I1240" s="49" t="s">
        <v>107</v>
      </c>
      <c r="J1240" s="50" t="s">
        <v>109</v>
      </c>
      <c r="K1240" s="50" t="s">
        <v>109</v>
      </c>
      <c r="L1240" s="50" t="s">
        <v>12</v>
      </c>
      <c r="M1240" s="50" t="s">
        <v>13</v>
      </c>
      <c r="N1240" s="50" t="s">
        <v>14</v>
      </c>
      <c r="O1240" s="48" t="s">
        <v>620</v>
      </c>
      <c r="P1240" s="45" t="s">
        <v>453</v>
      </c>
      <c r="Q1240" s="35" t="str">
        <f>MID(Tabla1[[#This Row],[Aplicación]],14,1)</f>
        <v>2</v>
      </c>
      <c r="R1240" s="35" t="s">
        <v>441</v>
      </c>
      <c r="S1240" s="35" t="str">
        <f>MID(Tabla1[[#This Row],[Aplicación]],6,2)</f>
        <v>06</v>
      </c>
      <c r="T1240" s="35" t="str">
        <f>VLOOKUP(Tabla1[[#This Row],[AREA]],Hoja1!A:B,2,FALSE)</f>
        <v>06. Educación, infancia, juventud e igualdad</v>
      </c>
      <c r="U1240" s="35" t="str">
        <f>MID(Tabla1[[#This Row],[Aplicación]],9,4)</f>
        <v>3232</v>
      </c>
      <c r="V1240" s="35" t="str">
        <f>VLOOKUP(Tabla1[[#This Row],[PROGRAMA]],Hoja1!A:B,2,FALSE)</f>
        <v>3232. Conservación y mantenimiento centros educación infantil y primaria</v>
      </c>
      <c r="W1240" s="35" t="str">
        <f>MID(Tabla1[[#This Row],[Aplicación]],14,2)</f>
        <v>22</v>
      </c>
      <c r="X1240" s="35" t="str">
        <f>MID(Tabla1[[#This Row],[Aplicación]],14,6)</f>
        <v>22799</v>
      </c>
    </row>
    <row r="1241" spans="1:24" x14ac:dyDescent="0.25">
      <c r="A1241" s="49">
        <v>220209000716</v>
      </c>
      <c r="B1241" s="50" t="s">
        <v>9</v>
      </c>
      <c r="C1241" s="57">
        <v>44562</v>
      </c>
      <c r="D1241" s="49">
        <v>22022000253</v>
      </c>
      <c r="E1241" s="50" t="s">
        <v>2694</v>
      </c>
      <c r="F1241" s="58">
        <v>25193.72</v>
      </c>
      <c r="G1241" s="50" t="s">
        <v>84</v>
      </c>
      <c r="H1241" s="50" t="s">
        <v>877</v>
      </c>
      <c r="I1241" s="49" t="s">
        <v>107</v>
      </c>
      <c r="J1241" s="50" t="s">
        <v>109</v>
      </c>
      <c r="K1241" s="50" t="s">
        <v>109</v>
      </c>
      <c r="L1241" s="50" t="s">
        <v>12</v>
      </c>
      <c r="M1241" s="50" t="s">
        <v>13</v>
      </c>
      <c r="N1241" s="50" t="s">
        <v>14</v>
      </c>
      <c r="O1241" s="48" t="s">
        <v>620</v>
      </c>
      <c r="P1241" s="45" t="s">
        <v>453</v>
      </c>
      <c r="Q1241" s="35" t="str">
        <f>MID(Tabla1[[#This Row],[Aplicación]],14,1)</f>
        <v>2</v>
      </c>
      <c r="R1241" s="35" t="s">
        <v>441</v>
      </c>
      <c r="S1241" s="35" t="str">
        <f>MID(Tabla1[[#This Row],[Aplicación]],6,2)</f>
        <v>10</v>
      </c>
      <c r="T1241" s="35" t="str">
        <f>VLOOKUP(Tabla1[[#This Row],[AREA]],Hoja1!A:B,2,FALSE)</f>
        <v>10. Servicios sociales y mediación comunitaria</v>
      </c>
      <c r="U1241" s="35" t="str">
        <f>MID(Tabla1[[#This Row],[Aplicación]],9,4)</f>
        <v>2412</v>
      </c>
      <c r="V1241" s="35" t="str">
        <f>VLOOKUP(Tabla1[[#This Row],[PROGRAMA]],Hoja1!A:B,2,FALSE)</f>
        <v>2412. Formación para el empleo</v>
      </c>
      <c r="W1241" s="35" t="str">
        <f>MID(Tabla1[[#This Row],[Aplicación]],14,2)</f>
        <v>22</v>
      </c>
      <c r="X1241" s="35" t="str">
        <f>MID(Tabla1[[#This Row],[Aplicación]],14,6)</f>
        <v>22700</v>
      </c>
    </row>
    <row r="1242" spans="1:24" x14ac:dyDescent="0.25">
      <c r="A1242" s="49">
        <v>220220009349</v>
      </c>
      <c r="B1242" s="50" t="s">
        <v>9</v>
      </c>
      <c r="C1242" s="57">
        <v>44636</v>
      </c>
      <c r="D1242" s="49">
        <v>22022002726</v>
      </c>
      <c r="E1242" s="50" t="s">
        <v>1911</v>
      </c>
      <c r="F1242" s="58">
        <v>300</v>
      </c>
      <c r="G1242" s="50" t="s">
        <v>74</v>
      </c>
      <c r="H1242" s="50" t="s">
        <v>2695</v>
      </c>
      <c r="I1242" s="49" t="s">
        <v>107</v>
      </c>
      <c r="J1242" s="50" t="s">
        <v>109</v>
      </c>
      <c r="K1242" s="50" t="s">
        <v>109</v>
      </c>
      <c r="L1242" s="50" t="s">
        <v>12</v>
      </c>
      <c r="M1242" s="50" t="s">
        <v>10</v>
      </c>
      <c r="N1242" s="50" t="s">
        <v>11</v>
      </c>
      <c r="O1242" s="48" t="s">
        <v>632</v>
      </c>
      <c r="P1242" s="45" t="s">
        <v>453</v>
      </c>
      <c r="Q1242" s="35" t="str">
        <f>MID(Tabla1[[#This Row],[Aplicación]],14,1)</f>
        <v>2</v>
      </c>
      <c r="R1242" s="35" t="s">
        <v>441</v>
      </c>
      <c r="S1242" s="35" t="str">
        <f>MID(Tabla1[[#This Row],[Aplicación]],6,2)</f>
        <v>06</v>
      </c>
      <c r="T1242" s="35" t="str">
        <f>VLOOKUP(Tabla1[[#This Row],[AREA]],Hoja1!A:B,2,FALSE)</f>
        <v>06. Educación, infancia, juventud e igualdad</v>
      </c>
      <c r="U1242" s="35" t="str">
        <f>MID(Tabla1[[#This Row],[Aplicación]],9,4)</f>
        <v>2314</v>
      </c>
      <c r="V1242" s="35" t="str">
        <f>VLOOKUP(Tabla1[[#This Row],[PROGRAMA]],Hoja1!A:B,2,FALSE)</f>
        <v>2314. Centro de programas juveniles</v>
      </c>
      <c r="W1242" s="35" t="str">
        <f>MID(Tabla1[[#This Row],[Aplicación]],14,2)</f>
        <v>21</v>
      </c>
      <c r="X1242" s="35" t="str">
        <f>MID(Tabla1[[#This Row],[Aplicación]],14,6)</f>
        <v>213</v>
      </c>
    </row>
    <row r="1243" spans="1:24" x14ac:dyDescent="0.25">
      <c r="A1243" s="49">
        <v>220220009696</v>
      </c>
      <c r="B1243" s="50" t="s">
        <v>9</v>
      </c>
      <c r="C1243" s="57">
        <v>44637</v>
      </c>
      <c r="D1243" s="49">
        <v>22022002688</v>
      </c>
      <c r="E1243" s="50" t="s">
        <v>2020</v>
      </c>
      <c r="F1243" s="58">
        <v>300</v>
      </c>
      <c r="G1243" s="50" t="s">
        <v>74</v>
      </c>
      <c r="H1243" s="50" t="s">
        <v>2693</v>
      </c>
      <c r="I1243" s="49" t="s">
        <v>107</v>
      </c>
      <c r="J1243" s="50" t="s">
        <v>109</v>
      </c>
      <c r="K1243" s="50" t="s">
        <v>109</v>
      </c>
      <c r="L1243" s="50" t="s">
        <v>15</v>
      </c>
      <c r="M1243" s="50" t="s">
        <v>10</v>
      </c>
      <c r="N1243" s="50" t="s">
        <v>11</v>
      </c>
      <c r="O1243" s="48" t="s">
        <v>632</v>
      </c>
      <c r="P1243" s="45" t="s">
        <v>453</v>
      </c>
      <c r="Q1243" s="35" t="str">
        <f>MID(Tabla1[[#This Row],[Aplicación]],14,1)</f>
        <v>2</v>
      </c>
      <c r="R1243" s="35" t="s">
        <v>441</v>
      </c>
      <c r="S1243" s="35" t="str">
        <f>MID(Tabla1[[#This Row],[Aplicación]],6,2)</f>
        <v>10</v>
      </c>
      <c r="T1243" s="35" t="str">
        <f>VLOOKUP(Tabla1[[#This Row],[AREA]],Hoja1!A:B,2,FALSE)</f>
        <v>10. Servicios sociales y mediación comunitaria</v>
      </c>
      <c r="U1243" s="35" t="str">
        <f>MID(Tabla1[[#This Row],[Aplicación]],9,4)</f>
        <v>2312</v>
      </c>
      <c r="V1243" s="35" t="str">
        <f>VLOOKUP(Tabla1[[#This Row],[PROGRAMA]],Hoja1!A:B,2,FALSE)</f>
        <v>2312. Iniciativas sociales</v>
      </c>
      <c r="W1243" s="35" t="str">
        <f>MID(Tabla1[[#This Row],[Aplicación]],14,2)</f>
        <v>21</v>
      </c>
      <c r="X1243" s="35" t="str">
        <f>MID(Tabla1[[#This Row],[Aplicación]],14,6)</f>
        <v>212</v>
      </c>
    </row>
    <row r="1244" spans="1:24" x14ac:dyDescent="0.25">
      <c r="A1244" s="49">
        <v>220219000219</v>
      </c>
      <c r="B1244" s="50" t="s">
        <v>9</v>
      </c>
      <c r="C1244" s="57">
        <v>44562</v>
      </c>
      <c r="D1244" s="49">
        <v>22022000052</v>
      </c>
      <c r="E1244" s="50" t="s">
        <v>1421</v>
      </c>
      <c r="F1244" s="58">
        <v>15121.07</v>
      </c>
      <c r="G1244" s="50" t="s">
        <v>84</v>
      </c>
      <c r="H1244" s="50" t="s">
        <v>2696</v>
      </c>
      <c r="I1244" s="49" t="s">
        <v>107</v>
      </c>
      <c r="J1244" s="50" t="s">
        <v>109</v>
      </c>
      <c r="K1244" s="50" t="s">
        <v>109</v>
      </c>
      <c r="L1244" s="50" t="s">
        <v>12</v>
      </c>
      <c r="M1244" s="50" t="s">
        <v>13</v>
      </c>
      <c r="N1244" s="50" t="s">
        <v>16</v>
      </c>
      <c r="O1244" s="48" t="s">
        <v>620</v>
      </c>
      <c r="P1244" s="45" t="s">
        <v>453</v>
      </c>
      <c r="Q1244" s="35" t="str">
        <f>MID(Tabla1[[#This Row],[Aplicación]],14,1)</f>
        <v>2</v>
      </c>
      <c r="R1244" s="35" t="s">
        <v>441</v>
      </c>
      <c r="S1244" s="35" t="str">
        <f>MID(Tabla1[[#This Row],[Aplicación]],6,2)</f>
        <v>03</v>
      </c>
      <c r="T1244" s="35" t="str">
        <f>VLOOKUP(Tabla1[[#This Row],[AREA]],Hoja1!A:B,2,FALSE)</f>
        <v>03. Participación ciudadana y deportes</v>
      </c>
      <c r="U1244" s="35" t="str">
        <f>MID(Tabla1[[#This Row],[Aplicación]],9,4)</f>
        <v>9241</v>
      </c>
      <c r="V1244" s="35" t="str">
        <f>VLOOKUP(Tabla1[[#This Row],[PROGRAMA]],Hoja1!A:B,2,FALSE)</f>
        <v>9241. Participación ciudadana</v>
      </c>
      <c r="W1244" s="35" t="str">
        <f>MID(Tabla1[[#This Row],[Aplicación]],14,2)</f>
        <v>22</v>
      </c>
      <c r="X1244" s="35" t="str">
        <f>MID(Tabla1[[#This Row],[Aplicación]],14,6)</f>
        <v>22700</v>
      </c>
    </row>
    <row r="1245" spans="1:24" x14ac:dyDescent="0.25">
      <c r="A1245" s="49">
        <v>220220001600</v>
      </c>
      <c r="B1245" s="50" t="s">
        <v>9</v>
      </c>
      <c r="C1245" s="57">
        <v>44587</v>
      </c>
      <c r="D1245" s="49">
        <v>22022001362</v>
      </c>
      <c r="E1245" s="50" t="s">
        <v>2694</v>
      </c>
      <c r="F1245" s="58">
        <v>13167.06</v>
      </c>
      <c r="G1245" s="50" t="s">
        <v>84</v>
      </c>
      <c r="H1245" s="50" t="s">
        <v>2697</v>
      </c>
      <c r="I1245" s="49" t="s">
        <v>107</v>
      </c>
      <c r="J1245" s="50" t="s">
        <v>109</v>
      </c>
      <c r="K1245" s="50" t="s">
        <v>109</v>
      </c>
      <c r="L1245" s="50" t="s">
        <v>12</v>
      </c>
      <c r="M1245" s="50" t="s">
        <v>13</v>
      </c>
      <c r="N1245" s="50" t="s">
        <v>14</v>
      </c>
      <c r="O1245" s="48" t="s">
        <v>620</v>
      </c>
      <c r="P1245" s="45" t="s">
        <v>453</v>
      </c>
      <c r="Q1245" s="35" t="str">
        <f>MID(Tabla1[[#This Row],[Aplicación]],14,1)</f>
        <v>2</v>
      </c>
      <c r="R1245" s="35" t="s">
        <v>441</v>
      </c>
      <c r="S1245" s="35" t="str">
        <f>MID(Tabla1[[#This Row],[Aplicación]],6,2)</f>
        <v>10</v>
      </c>
      <c r="T1245" s="35" t="str">
        <f>VLOOKUP(Tabla1[[#This Row],[AREA]],Hoja1!A:B,2,FALSE)</f>
        <v>10. Servicios sociales y mediación comunitaria</v>
      </c>
      <c r="U1245" s="35" t="str">
        <f>MID(Tabla1[[#This Row],[Aplicación]],9,4)</f>
        <v>2412</v>
      </c>
      <c r="V1245" s="35" t="str">
        <f>VLOOKUP(Tabla1[[#This Row],[PROGRAMA]],Hoja1!A:B,2,FALSE)</f>
        <v>2412. Formación para el empleo</v>
      </c>
      <c r="W1245" s="35" t="str">
        <f>MID(Tabla1[[#This Row],[Aplicación]],14,2)</f>
        <v>22</v>
      </c>
      <c r="X1245" s="35" t="str">
        <f>MID(Tabla1[[#This Row],[Aplicación]],14,6)</f>
        <v>22700</v>
      </c>
    </row>
    <row r="1246" spans="1:24" x14ac:dyDescent="0.25">
      <c r="A1246" s="49">
        <v>220220010307</v>
      </c>
      <c r="B1246" s="50" t="s">
        <v>9</v>
      </c>
      <c r="C1246" s="57">
        <v>44641</v>
      </c>
      <c r="D1246" s="49">
        <v>22022002866</v>
      </c>
      <c r="E1246" s="50" t="s">
        <v>1635</v>
      </c>
      <c r="F1246" s="58">
        <v>147.13999999999999</v>
      </c>
      <c r="G1246" s="50" t="s">
        <v>74</v>
      </c>
      <c r="H1246" s="50" t="s">
        <v>2698</v>
      </c>
      <c r="I1246" s="49" t="s">
        <v>107</v>
      </c>
      <c r="J1246" s="50" t="s">
        <v>109</v>
      </c>
      <c r="K1246" s="50" t="s">
        <v>109</v>
      </c>
      <c r="L1246" s="50" t="s">
        <v>15</v>
      </c>
      <c r="M1246" s="50" t="s">
        <v>10</v>
      </c>
      <c r="N1246" s="50" t="s">
        <v>11</v>
      </c>
      <c r="O1246" s="48" t="s">
        <v>632</v>
      </c>
      <c r="P1246" s="45" t="s">
        <v>453</v>
      </c>
      <c r="Q1246" s="35" t="str">
        <f>MID(Tabla1[[#This Row],[Aplicación]],14,1)</f>
        <v>2</v>
      </c>
      <c r="R1246" s="35" t="s">
        <v>441</v>
      </c>
      <c r="S1246" s="35" t="str">
        <f>MID(Tabla1[[#This Row],[Aplicación]],6,2)</f>
        <v>03</v>
      </c>
      <c r="T1246" s="35" t="str">
        <f>VLOOKUP(Tabla1[[#This Row],[AREA]],Hoja1!A:B,2,FALSE)</f>
        <v>03. Participación ciudadana y deportes</v>
      </c>
      <c r="U1246" s="35" t="str">
        <f>MID(Tabla1[[#This Row],[Aplicación]],9,4)</f>
        <v>9241</v>
      </c>
      <c r="V1246" s="35" t="str">
        <f>VLOOKUP(Tabla1[[#This Row],[PROGRAMA]],Hoja1!A:B,2,FALSE)</f>
        <v>9241. Participación ciudadana</v>
      </c>
      <c r="W1246" s="35" t="str">
        <f>MID(Tabla1[[#This Row],[Aplicación]],14,2)</f>
        <v>21</v>
      </c>
      <c r="X1246" s="35" t="str">
        <f>MID(Tabla1[[#This Row],[Aplicación]],14,6)</f>
        <v>212</v>
      </c>
    </row>
    <row r="1247" spans="1:24" x14ac:dyDescent="0.25">
      <c r="A1247" s="49">
        <v>220199000358</v>
      </c>
      <c r="B1247" s="50" t="s">
        <v>9</v>
      </c>
      <c r="C1247" s="57">
        <v>44620</v>
      </c>
      <c r="D1247" s="49">
        <v>22021000703</v>
      </c>
      <c r="E1247" s="50" t="s">
        <v>1383</v>
      </c>
      <c r="F1247" s="58">
        <v>2514.38</v>
      </c>
      <c r="G1247" s="50" t="s">
        <v>103</v>
      </c>
      <c r="H1247" s="50" t="s">
        <v>563</v>
      </c>
      <c r="I1247" s="49" t="s">
        <v>107</v>
      </c>
      <c r="J1247" s="50" t="s">
        <v>547</v>
      </c>
      <c r="K1247" s="50" t="s">
        <v>109</v>
      </c>
      <c r="L1247" s="50" t="s">
        <v>12</v>
      </c>
      <c r="M1247" s="50" t="s">
        <v>13</v>
      </c>
      <c r="N1247" s="50" t="s">
        <v>14</v>
      </c>
      <c r="O1247" s="48" t="s">
        <v>631</v>
      </c>
      <c r="P1247" s="45" t="s">
        <v>453</v>
      </c>
      <c r="Q1247" s="35" t="str">
        <f>MID(Tabla1[[#This Row],[Aplicación]],14,1)</f>
        <v>6</v>
      </c>
      <c r="R1247" s="35" t="s">
        <v>442</v>
      </c>
      <c r="S1247" s="35" t="str">
        <f>MID(Tabla1[[#This Row],[Aplicación]],6,2)</f>
        <v>08</v>
      </c>
      <c r="T1247" s="35" t="str">
        <f>VLOOKUP(Tabla1[[#This Row],[AREA]],Hoja1!A:B,2,FALSE)</f>
        <v>08. Movilidad y espacio urbano</v>
      </c>
      <c r="U1247" s="35" t="str">
        <f>MID(Tabla1[[#This Row],[Aplicación]],9,4)</f>
        <v>1341</v>
      </c>
      <c r="V1247" s="35" t="str">
        <f>VLOOKUP(Tabla1[[#This Row],[PROGRAMA]],Hoja1!A:B,2,FALSE)</f>
        <v>1341. Movilidad</v>
      </c>
      <c r="W1247" s="35" t="str">
        <f>MID(Tabla1[[#This Row],[Aplicación]],14,2)</f>
        <v>61</v>
      </c>
      <c r="X1247" s="35" t="str">
        <f>MID(Tabla1[[#This Row],[Aplicación]],14,6)</f>
        <v>619</v>
      </c>
    </row>
    <row r="1248" spans="1:24" x14ac:dyDescent="0.25">
      <c r="A1248" s="49">
        <v>220199000359</v>
      </c>
      <c r="B1248" s="50" t="s">
        <v>9</v>
      </c>
      <c r="C1248" s="57">
        <v>44620</v>
      </c>
      <c r="D1248" s="49">
        <v>22021000704</v>
      </c>
      <c r="E1248" s="50" t="s">
        <v>1383</v>
      </c>
      <c r="F1248" s="58">
        <v>6914.52</v>
      </c>
      <c r="G1248" s="50" t="s">
        <v>103</v>
      </c>
      <c r="H1248" s="50" t="s">
        <v>557</v>
      </c>
      <c r="I1248" s="49" t="s">
        <v>107</v>
      </c>
      <c r="J1248" s="50" t="s">
        <v>547</v>
      </c>
      <c r="K1248" s="50" t="s">
        <v>109</v>
      </c>
      <c r="L1248" s="50" t="s">
        <v>12</v>
      </c>
      <c r="M1248" s="50" t="s">
        <v>13</v>
      </c>
      <c r="N1248" s="50" t="s">
        <v>14</v>
      </c>
      <c r="O1248" s="48" t="s">
        <v>631</v>
      </c>
      <c r="P1248" s="45" t="s">
        <v>453</v>
      </c>
      <c r="Q1248" s="35" t="str">
        <f>MID(Tabla1[[#This Row],[Aplicación]],14,1)</f>
        <v>6</v>
      </c>
      <c r="R1248" s="35" t="s">
        <v>442</v>
      </c>
      <c r="S1248" s="35" t="str">
        <f>MID(Tabla1[[#This Row],[Aplicación]],6,2)</f>
        <v>08</v>
      </c>
      <c r="T1248" s="35" t="str">
        <f>VLOOKUP(Tabla1[[#This Row],[AREA]],Hoja1!A:B,2,FALSE)</f>
        <v>08. Movilidad y espacio urbano</v>
      </c>
      <c r="U1248" s="35" t="str">
        <f>MID(Tabla1[[#This Row],[Aplicación]],9,4)</f>
        <v>1341</v>
      </c>
      <c r="V1248" s="35" t="str">
        <f>VLOOKUP(Tabla1[[#This Row],[PROGRAMA]],Hoja1!A:B,2,FALSE)</f>
        <v>1341. Movilidad</v>
      </c>
      <c r="W1248" s="35" t="str">
        <f>MID(Tabla1[[#This Row],[Aplicación]],14,2)</f>
        <v>61</v>
      </c>
      <c r="X1248" s="35" t="str">
        <f>MID(Tabla1[[#This Row],[Aplicación]],14,6)</f>
        <v>619</v>
      </c>
    </row>
    <row r="1249" spans="1:24" x14ac:dyDescent="0.25">
      <c r="A1249" s="49">
        <v>220210008412</v>
      </c>
      <c r="B1249" s="50" t="s">
        <v>9</v>
      </c>
      <c r="C1249" s="57">
        <v>44620</v>
      </c>
      <c r="D1249" s="49">
        <v>22021003273</v>
      </c>
      <c r="E1249" s="50" t="s">
        <v>1383</v>
      </c>
      <c r="F1249" s="58">
        <v>3766.29</v>
      </c>
      <c r="G1249" s="50" t="s">
        <v>103</v>
      </c>
      <c r="H1249" s="50" t="s">
        <v>855</v>
      </c>
      <c r="I1249" s="49" t="s">
        <v>107</v>
      </c>
      <c r="J1249" s="50" t="s">
        <v>547</v>
      </c>
      <c r="K1249" s="50" t="s">
        <v>109</v>
      </c>
      <c r="L1249" s="50" t="s">
        <v>12</v>
      </c>
      <c r="M1249" s="50" t="s">
        <v>13</v>
      </c>
      <c r="N1249" s="50" t="s">
        <v>14</v>
      </c>
      <c r="O1249" s="48" t="s">
        <v>631</v>
      </c>
      <c r="P1249" s="45" t="s">
        <v>453</v>
      </c>
      <c r="Q1249" s="35" t="str">
        <f>MID(Tabla1[[#This Row],[Aplicación]],14,1)</f>
        <v>6</v>
      </c>
      <c r="R1249" s="35" t="s">
        <v>442</v>
      </c>
      <c r="S1249" s="35" t="str">
        <f>MID(Tabla1[[#This Row],[Aplicación]],6,2)</f>
        <v>08</v>
      </c>
      <c r="T1249" s="35" t="str">
        <f>VLOOKUP(Tabla1[[#This Row],[AREA]],Hoja1!A:B,2,FALSE)</f>
        <v>08. Movilidad y espacio urbano</v>
      </c>
      <c r="U1249" s="35" t="str">
        <f>MID(Tabla1[[#This Row],[Aplicación]],9,4)</f>
        <v>1341</v>
      </c>
      <c r="V1249" s="35" t="str">
        <f>VLOOKUP(Tabla1[[#This Row],[PROGRAMA]],Hoja1!A:B,2,FALSE)</f>
        <v>1341. Movilidad</v>
      </c>
      <c r="W1249" s="35" t="str">
        <f>MID(Tabla1[[#This Row],[Aplicación]],14,2)</f>
        <v>61</v>
      </c>
      <c r="X1249" s="35" t="str">
        <f>MID(Tabla1[[#This Row],[Aplicación]],14,6)</f>
        <v>619</v>
      </c>
    </row>
    <row r="1250" spans="1:24" x14ac:dyDescent="0.25">
      <c r="A1250" s="49">
        <v>220210016150</v>
      </c>
      <c r="B1250" s="50" t="s">
        <v>9</v>
      </c>
      <c r="C1250" s="57">
        <v>44620</v>
      </c>
      <c r="D1250" s="49">
        <v>22021003527</v>
      </c>
      <c r="E1250" s="50" t="s">
        <v>1399</v>
      </c>
      <c r="F1250" s="58">
        <v>7047.23</v>
      </c>
      <c r="G1250" s="50" t="s">
        <v>103</v>
      </c>
      <c r="H1250" s="50" t="s">
        <v>929</v>
      </c>
      <c r="I1250" s="49" t="s">
        <v>107</v>
      </c>
      <c r="J1250" s="50" t="s">
        <v>547</v>
      </c>
      <c r="K1250" s="50" t="s">
        <v>109</v>
      </c>
      <c r="L1250" s="50" t="s">
        <v>12</v>
      </c>
      <c r="M1250" s="50" t="s">
        <v>13</v>
      </c>
      <c r="N1250" s="50" t="s">
        <v>14</v>
      </c>
      <c r="O1250" s="48" t="s">
        <v>631</v>
      </c>
      <c r="P1250" s="45" t="s">
        <v>453</v>
      </c>
      <c r="Q1250" s="35" t="str">
        <f>MID(Tabla1[[#This Row],[Aplicación]],14,1)</f>
        <v>6</v>
      </c>
      <c r="R1250" s="35" t="s">
        <v>442</v>
      </c>
      <c r="S1250" s="35" t="str">
        <f>MID(Tabla1[[#This Row],[Aplicación]],6,2)</f>
        <v>02</v>
      </c>
      <c r="T1250" s="35" t="str">
        <f>VLOOKUP(Tabla1[[#This Row],[AREA]],Hoja1!A:B,2,FALSE)</f>
        <v>02. Planeamiento urbanístico y vivienda</v>
      </c>
      <c r="U1250" s="35" t="str">
        <f>MID(Tabla1[[#This Row],[Aplicación]],9,4)</f>
        <v>1511</v>
      </c>
      <c r="V1250" s="35" t="str">
        <f>VLOOKUP(Tabla1[[#This Row],[PROGRAMA]],Hoja1!A:B,2,FALSE)</f>
        <v>1511. Planficación y gestión del urbanismo</v>
      </c>
      <c r="W1250" s="35" t="str">
        <f>MID(Tabla1[[#This Row],[Aplicación]],14,2)</f>
        <v>60</v>
      </c>
      <c r="X1250" s="35" t="str">
        <f>MID(Tabla1[[#This Row],[Aplicación]],14,6)</f>
        <v>609</v>
      </c>
    </row>
    <row r="1251" spans="1:24" x14ac:dyDescent="0.25">
      <c r="A1251" s="49">
        <v>220210024830</v>
      </c>
      <c r="B1251" s="50" t="s">
        <v>9</v>
      </c>
      <c r="C1251" s="57">
        <v>44631</v>
      </c>
      <c r="D1251" s="49">
        <v>22021004357</v>
      </c>
      <c r="E1251" s="50" t="s">
        <v>1593</v>
      </c>
      <c r="F1251" s="58">
        <v>12.39</v>
      </c>
      <c r="G1251" s="50" t="s">
        <v>103</v>
      </c>
      <c r="H1251" s="50" t="s">
        <v>967</v>
      </c>
      <c r="I1251" s="49" t="s">
        <v>107</v>
      </c>
      <c r="J1251" s="50" t="s">
        <v>547</v>
      </c>
      <c r="K1251" s="50" t="s">
        <v>109</v>
      </c>
      <c r="L1251" s="50" t="s">
        <v>12</v>
      </c>
      <c r="M1251" s="50" t="s">
        <v>13</v>
      </c>
      <c r="N1251" s="50" t="s">
        <v>14</v>
      </c>
      <c r="O1251" s="48" t="s">
        <v>631</v>
      </c>
      <c r="P1251" s="45" t="s">
        <v>453</v>
      </c>
      <c r="Q1251" s="35" t="str">
        <f>MID(Tabla1[[#This Row],[Aplicación]],14,1)</f>
        <v>6</v>
      </c>
      <c r="R1251" s="35" t="s">
        <v>442</v>
      </c>
      <c r="S1251" s="35" t="str">
        <f>MID(Tabla1[[#This Row],[Aplicación]],6,2)</f>
        <v>07</v>
      </c>
      <c r="T1251" s="35" t="str">
        <f>VLOOKUP(Tabla1[[#This Row],[AREA]],Hoja1!A:B,2,FALSE)</f>
        <v>07. Medio ambiente y desarrollo sostenible</v>
      </c>
      <c r="U1251" s="35" t="str">
        <f>MID(Tabla1[[#This Row],[Aplicación]],9,4)</f>
        <v>1711</v>
      </c>
      <c r="V1251" s="35" t="str">
        <f>VLOOKUP(Tabla1[[#This Row],[PROGRAMA]],Hoja1!A:B,2,FALSE)</f>
        <v>1711. Parques y jardines</v>
      </c>
      <c r="W1251" s="35" t="str">
        <f>MID(Tabla1[[#This Row],[Aplicación]],14,2)</f>
        <v>61</v>
      </c>
      <c r="X1251" s="35" t="str">
        <f>MID(Tabla1[[#This Row],[Aplicación]],14,6)</f>
        <v>619</v>
      </c>
    </row>
    <row r="1252" spans="1:24" x14ac:dyDescent="0.25">
      <c r="A1252" s="49">
        <v>220220003437</v>
      </c>
      <c r="B1252" s="50" t="s">
        <v>9</v>
      </c>
      <c r="C1252" s="57">
        <v>44603</v>
      </c>
      <c r="D1252" s="49">
        <v>22022002018</v>
      </c>
      <c r="E1252" s="50" t="s">
        <v>1635</v>
      </c>
      <c r="F1252" s="58">
        <v>109.56</v>
      </c>
      <c r="G1252" s="50" t="s">
        <v>74</v>
      </c>
      <c r="H1252" s="50" t="s">
        <v>2699</v>
      </c>
      <c r="I1252" s="49" t="s">
        <v>107</v>
      </c>
      <c r="J1252" s="50" t="s">
        <v>109</v>
      </c>
      <c r="K1252" s="50" t="s">
        <v>109</v>
      </c>
      <c r="L1252" s="50" t="s">
        <v>15</v>
      </c>
      <c r="M1252" s="50" t="s">
        <v>10</v>
      </c>
      <c r="N1252" s="50" t="s">
        <v>11</v>
      </c>
      <c r="O1252" s="48" t="s">
        <v>632</v>
      </c>
      <c r="P1252" s="45" t="s">
        <v>453</v>
      </c>
      <c r="Q1252" s="35" t="str">
        <f>MID(Tabla1[[#This Row],[Aplicación]],14,1)</f>
        <v>2</v>
      </c>
      <c r="R1252" s="35" t="s">
        <v>441</v>
      </c>
      <c r="S1252" s="35" t="str">
        <f>MID(Tabla1[[#This Row],[Aplicación]],6,2)</f>
        <v>03</v>
      </c>
      <c r="T1252" s="35" t="str">
        <f>VLOOKUP(Tabla1[[#This Row],[AREA]],Hoja1!A:B,2,FALSE)</f>
        <v>03. Participación ciudadana y deportes</v>
      </c>
      <c r="U1252" s="35" t="str">
        <f>MID(Tabla1[[#This Row],[Aplicación]],9,4)</f>
        <v>9241</v>
      </c>
      <c r="V1252" s="35" t="str">
        <f>VLOOKUP(Tabla1[[#This Row],[PROGRAMA]],Hoja1!A:B,2,FALSE)</f>
        <v>9241. Participación ciudadana</v>
      </c>
      <c r="W1252" s="35" t="str">
        <f>MID(Tabla1[[#This Row],[Aplicación]],14,2)</f>
        <v>21</v>
      </c>
      <c r="X1252" s="35" t="str">
        <f>MID(Tabla1[[#This Row],[Aplicación]],14,6)</f>
        <v>212</v>
      </c>
    </row>
    <row r="1253" spans="1:24" x14ac:dyDescent="0.25">
      <c r="A1253" s="49">
        <v>220210037286</v>
      </c>
      <c r="B1253" s="50" t="s">
        <v>9</v>
      </c>
      <c r="C1253" s="57">
        <v>44620</v>
      </c>
      <c r="D1253" s="49">
        <v>22021002658</v>
      </c>
      <c r="E1253" s="50" t="s">
        <v>1368</v>
      </c>
      <c r="F1253" s="58">
        <v>4052.68</v>
      </c>
      <c r="G1253" s="50" t="s">
        <v>103</v>
      </c>
      <c r="H1253" s="50" t="s">
        <v>1115</v>
      </c>
      <c r="I1253" s="49" t="s">
        <v>107</v>
      </c>
      <c r="J1253" s="50" t="s">
        <v>547</v>
      </c>
      <c r="K1253" s="50" t="s">
        <v>109</v>
      </c>
      <c r="L1253" s="50" t="s">
        <v>12</v>
      </c>
      <c r="M1253" s="50" t="s">
        <v>13</v>
      </c>
      <c r="N1253" s="50" t="s">
        <v>14</v>
      </c>
      <c r="O1253" s="48" t="s">
        <v>631</v>
      </c>
      <c r="P1253" s="45" t="s">
        <v>453</v>
      </c>
      <c r="Q1253" s="35" t="str">
        <f>MID(Tabla1[[#This Row],[Aplicación]],14,1)</f>
        <v>6</v>
      </c>
      <c r="R1253" s="35" t="s">
        <v>442</v>
      </c>
      <c r="S1253" s="35" t="str">
        <f>MID(Tabla1[[#This Row],[Aplicación]],6,2)</f>
        <v>08</v>
      </c>
      <c r="T1253" s="35" t="str">
        <f>VLOOKUP(Tabla1[[#This Row],[AREA]],Hoja1!A:B,2,FALSE)</f>
        <v>08. Movilidad y espacio urbano</v>
      </c>
      <c r="U1253" s="35" t="str">
        <f>MID(Tabla1[[#This Row],[Aplicación]],9,4)</f>
        <v>1532</v>
      </c>
      <c r="V1253" s="35" t="str">
        <f>VLOOKUP(Tabla1[[#This Row],[PROGRAMA]],Hoja1!A:B,2,FALSE)</f>
        <v>1532. Pavimentación vias públicas y otros servicios urbanísticos</v>
      </c>
      <c r="W1253" s="35" t="str">
        <f>MID(Tabla1[[#This Row],[Aplicación]],14,2)</f>
        <v>61</v>
      </c>
      <c r="X1253" s="35" t="str">
        <f>MID(Tabla1[[#This Row],[Aplicación]],14,6)</f>
        <v>619</v>
      </c>
    </row>
    <row r="1254" spans="1:24" x14ac:dyDescent="0.25">
      <c r="A1254" s="49">
        <v>220220002534</v>
      </c>
      <c r="B1254" s="50" t="s">
        <v>9</v>
      </c>
      <c r="C1254" s="57">
        <v>44595</v>
      </c>
      <c r="D1254" s="49">
        <v>22022001821</v>
      </c>
      <c r="E1254" s="50" t="s">
        <v>1953</v>
      </c>
      <c r="F1254" s="58">
        <v>6025.8</v>
      </c>
      <c r="G1254" s="50" t="s">
        <v>103</v>
      </c>
      <c r="H1254" s="50" t="s">
        <v>2700</v>
      </c>
      <c r="I1254" s="49" t="s">
        <v>107</v>
      </c>
      <c r="J1254" s="50" t="s">
        <v>547</v>
      </c>
      <c r="K1254" s="50" t="s">
        <v>109</v>
      </c>
      <c r="L1254" s="50" t="s">
        <v>12</v>
      </c>
      <c r="M1254" s="50" t="s">
        <v>10</v>
      </c>
      <c r="N1254" s="50" t="s">
        <v>11</v>
      </c>
      <c r="O1254" s="48" t="s">
        <v>632</v>
      </c>
      <c r="P1254" s="45" t="s">
        <v>453</v>
      </c>
      <c r="Q1254" s="35" t="str">
        <f>MID(Tabla1[[#This Row],[Aplicación]],14,1)</f>
        <v>2</v>
      </c>
      <c r="R1254" s="35" t="s">
        <v>441</v>
      </c>
      <c r="S1254" s="35" t="str">
        <f>MID(Tabla1[[#This Row],[Aplicación]],6,2)</f>
        <v>03</v>
      </c>
      <c r="T1254" s="35" t="str">
        <f>VLOOKUP(Tabla1[[#This Row],[AREA]],Hoja1!A:B,2,FALSE)</f>
        <v>03. Participación ciudadana y deportes</v>
      </c>
      <c r="U1254" s="35" t="str">
        <f>MID(Tabla1[[#This Row],[Aplicación]],9,4)</f>
        <v>9241</v>
      </c>
      <c r="V1254" s="35" t="str">
        <f>VLOOKUP(Tabla1[[#This Row],[PROGRAMA]],Hoja1!A:B,2,FALSE)</f>
        <v>9241. Participación ciudadana</v>
      </c>
      <c r="W1254" s="35" t="str">
        <f>MID(Tabla1[[#This Row],[Aplicación]],14,2)</f>
        <v>22</v>
      </c>
      <c r="X1254" s="35" t="str">
        <f>MID(Tabla1[[#This Row],[Aplicación]],14,6)</f>
        <v>22706</v>
      </c>
    </row>
    <row r="1255" spans="1:24" x14ac:dyDescent="0.25">
      <c r="A1255" s="49">
        <v>220200016733</v>
      </c>
      <c r="B1255" s="50" t="s">
        <v>9</v>
      </c>
      <c r="C1255" s="57">
        <v>44620</v>
      </c>
      <c r="D1255" s="49">
        <v>22020002100</v>
      </c>
      <c r="E1255" s="50" t="s">
        <v>1399</v>
      </c>
      <c r="F1255" s="58">
        <v>5027</v>
      </c>
      <c r="G1255" s="50" t="s">
        <v>103</v>
      </c>
      <c r="H1255" s="50" t="s">
        <v>857</v>
      </c>
      <c r="I1255" s="49" t="s">
        <v>107</v>
      </c>
      <c r="J1255" s="50" t="s">
        <v>547</v>
      </c>
      <c r="K1255" s="50" t="s">
        <v>109</v>
      </c>
      <c r="L1255" s="50" t="s">
        <v>12</v>
      </c>
      <c r="M1255" s="50" t="s">
        <v>13</v>
      </c>
      <c r="N1255" s="50" t="s">
        <v>14</v>
      </c>
      <c r="O1255" s="48" t="s">
        <v>631</v>
      </c>
      <c r="P1255" s="45" t="s">
        <v>453</v>
      </c>
      <c r="Q1255" s="35" t="str">
        <f>MID(Tabla1[[#This Row],[Aplicación]],14,1)</f>
        <v>6</v>
      </c>
      <c r="R1255" s="35" t="s">
        <v>442</v>
      </c>
      <c r="S1255" s="35" t="str">
        <f>MID(Tabla1[[#This Row],[Aplicación]],6,2)</f>
        <v>02</v>
      </c>
      <c r="T1255" s="35" t="str">
        <f>VLOOKUP(Tabla1[[#This Row],[AREA]],Hoja1!A:B,2,FALSE)</f>
        <v>02. Planeamiento urbanístico y vivienda</v>
      </c>
      <c r="U1255" s="35" t="str">
        <f>MID(Tabla1[[#This Row],[Aplicación]],9,4)</f>
        <v>1511</v>
      </c>
      <c r="V1255" s="35" t="str">
        <f>VLOOKUP(Tabla1[[#This Row],[PROGRAMA]],Hoja1!A:B,2,FALSE)</f>
        <v>1511. Planficación y gestión del urbanismo</v>
      </c>
      <c r="W1255" s="35" t="str">
        <f>MID(Tabla1[[#This Row],[Aplicación]],14,2)</f>
        <v>60</v>
      </c>
      <c r="X1255" s="35" t="str">
        <f>MID(Tabla1[[#This Row],[Aplicación]],14,6)</f>
        <v>609</v>
      </c>
    </row>
    <row r="1256" spans="1:24" x14ac:dyDescent="0.25">
      <c r="A1256" s="49">
        <v>220200044943</v>
      </c>
      <c r="B1256" s="50" t="s">
        <v>9</v>
      </c>
      <c r="C1256" s="57">
        <v>44620</v>
      </c>
      <c r="D1256" s="49">
        <v>22020003694</v>
      </c>
      <c r="E1256" s="50" t="s">
        <v>1424</v>
      </c>
      <c r="F1256" s="58">
        <v>96.75</v>
      </c>
      <c r="G1256" s="50" t="s">
        <v>103</v>
      </c>
      <c r="H1256" s="50" t="s">
        <v>864</v>
      </c>
      <c r="I1256" s="49" t="s">
        <v>107</v>
      </c>
      <c r="J1256" s="50" t="s">
        <v>547</v>
      </c>
      <c r="K1256" s="50" t="s">
        <v>109</v>
      </c>
      <c r="L1256" s="50" t="s">
        <v>12</v>
      </c>
      <c r="M1256" s="50" t="s">
        <v>13</v>
      </c>
      <c r="N1256" s="50" t="s">
        <v>14</v>
      </c>
      <c r="O1256" s="48" t="s">
        <v>631</v>
      </c>
      <c r="P1256" s="45" t="s">
        <v>453</v>
      </c>
      <c r="Q1256" s="35" t="str">
        <f>MID(Tabla1[[#This Row],[Aplicación]],14,1)</f>
        <v>6</v>
      </c>
      <c r="R1256" s="35" t="s">
        <v>442</v>
      </c>
      <c r="S1256" s="35" t="str">
        <f>MID(Tabla1[[#This Row],[Aplicación]],6,2)</f>
        <v>06</v>
      </c>
      <c r="T1256" s="35" t="str">
        <f>VLOOKUP(Tabla1[[#This Row],[AREA]],Hoja1!A:B,2,FALSE)</f>
        <v>06. Educación, infancia, juventud e igualdad</v>
      </c>
      <c r="U1256" s="35" t="str">
        <f>MID(Tabla1[[#This Row],[Aplicación]],9,4)</f>
        <v>3321</v>
      </c>
      <c r="V1256" s="35" t="str">
        <f>VLOOKUP(Tabla1[[#This Row],[PROGRAMA]],Hoja1!A:B,2,FALSE)</f>
        <v>3321. Bibliotecas públicas</v>
      </c>
      <c r="W1256" s="35" t="str">
        <f>MID(Tabla1[[#This Row],[Aplicación]],14,2)</f>
        <v>62</v>
      </c>
      <c r="X1256" s="35" t="str">
        <f>MID(Tabla1[[#This Row],[Aplicación]],14,6)</f>
        <v>622</v>
      </c>
    </row>
    <row r="1257" spans="1:24" x14ac:dyDescent="0.25">
      <c r="A1257" s="49">
        <v>220209000232</v>
      </c>
      <c r="B1257" s="50" t="s">
        <v>9</v>
      </c>
      <c r="C1257" s="57">
        <v>44562</v>
      </c>
      <c r="D1257" s="49">
        <v>22022002089</v>
      </c>
      <c r="E1257" s="50" t="s">
        <v>1424</v>
      </c>
      <c r="F1257" s="58">
        <v>7435.01</v>
      </c>
      <c r="G1257" s="50" t="s">
        <v>103</v>
      </c>
      <c r="H1257" s="50" t="s">
        <v>743</v>
      </c>
      <c r="I1257" s="49" t="s">
        <v>107</v>
      </c>
      <c r="J1257" s="50" t="s">
        <v>547</v>
      </c>
      <c r="K1257" s="50" t="s">
        <v>109</v>
      </c>
      <c r="L1257" s="50" t="s">
        <v>12</v>
      </c>
      <c r="M1257" s="50" t="s">
        <v>13</v>
      </c>
      <c r="N1257" s="50" t="s">
        <v>14</v>
      </c>
      <c r="O1257" s="48" t="s">
        <v>631</v>
      </c>
      <c r="P1257" s="45" t="s">
        <v>453</v>
      </c>
      <c r="Q1257" s="35" t="str">
        <f>MID(Tabla1[[#This Row],[Aplicación]],14,1)</f>
        <v>6</v>
      </c>
      <c r="R1257" s="35" t="s">
        <v>442</v>
      </c>
      <c r="S1257" s="35" t="str">
        <f>MID(Tabla1[[#This Row],[Aplicación]],6,2)</f>
        <v>06</v>
      </c>
      <c r="T1257" s="35" t="str">
        <f>VLOOKUP(Tabla1[[#This Row],[AREA]],Hoja1!A:B,2,FALSE)</f>
        <v>06. Educación, infancia, juventud e igualdad</v>
      </c>
      <c r="U1257" s="35" t="str">
        <f>MID(Tabla1[[#This Row],[Aplicación]],9,4)</f>
        <v>3321</v>
      </c>
      <c r="V1257" s="35" t="str">
        <f>VLOOKUP(Tabla1[[#This Row],[PROGRAMA]],Hoja1!A:B,2,FALSE)</f>
        <v>3321. Bibliotecas públicas</v>
      </c>
      <c r="W1257" s="35" t="str">
        <f>MID(Tabla1[[#This Row],[Aplicación]],14,2)</f>
        <v>62</v>
      </c>
      <c r="X1257" s="35" t="str">
        <f>MID(Tabla1[[#This Row],[Aplicación]],14,6)</f>
        <v>622</v>
      </c>
    </row>
    <row r="1258" spans="1:24" x14ac:dyDescent="0.25">
      <c r="A1258" s="49">
        <v>220209000235</v>
      </c>
      <c r="B1258" s="50" t="s">
        <v>9</v>
      </c>
      <c r="C1258" s="57">
        <v>44562</v>
      </c>
      <c r="D1258" s="49">
        <v>22022002091</v>
      </c>
      <c r="E1258" s="50" t="s">
        <v>1390</v>
      </c>
      <c r="F1258" s="58">
        <v>9733.1</v>
      </c>
      <c r="G1258" s="50" t="s">
        <v>103</v>
      </c>
      <c r="H1258" s="50" t="s">
        <v>744</v>
      </c>
      <c r="I1258" s="49" t="s">
        <v>107</v>
      </c>
      <c r="J1258" s="50" t="s">
        <v>547</v>
      </c>
      <c r="K1258" s="50" t="s">
        <v>109</v>
      </c>
      <c r="L1258" s="50" t="s">
        <v>12</v>
      </c>
      <c r="M1258" s="50" t="s">
        <v>13</v>
      </c>
      <c r="N1258" s="50" t="s">
        <v>14</v>
      </c>
      <c r="O1258" s="48" t="s">
        <v>631</v>
      </c>
      <c r="P1258" s="45" t="s">
        <v>453</v>
      </c>
      <c r="Q1258" s="35" t="str">
        <f>MID(Tabla1[[#This Row],[Aplicación]],14,1)</f>
        <v>6</v>
      </c>
      <c r="R1258" s="35" t="s">
        <v>442</v>
      </c>
      <c r="S1258" s="35" t="str">
        <f>MID(Tabla1[[#This Row],[Aplicación]],6,2)</f>
        <v>10</v>
      </c>
      <c r="T1258" s="35" t="str">
        <f>VLOOKUP(Tabla1[[#This Row],[AREA]],Hoja1!A:B,2,FALSE)</f>
        <v>10. Servicios sociales y mediación comunitaria</v>
      </c>
      <c r="U1258" s="35" t="str">
        <f>MID(Tabla1[[#This Row],[Aplicación]],9,4)</f>
        <v>2312</v>
      </c>
      <c r="V1258" s="35" t="str">
        <f>VLOOKUP(Tabla1[[#This Row],[PROGRAMA]],Hoja1!A:B,2,FALSE)</f>
        <v>2312. Iniciativas sociales</v>
      </c>
      <c r="W1258" s="35" t="str">
        <f>MID(Tabla1[[#This Row],[Aplicación]],14,2)</f>
        <v>62</v>
      </c>
      <c r="X1258" s="35" t="str">
        <f>MID(Tabla1[[#This Row],[Aplicación]],14,6)</f>
        <v>622</v>
      </c>
    </row>
    <row r="1259" spans="1:24" x14ac:dyDescent="0.25">
      <c r="A1259" s="49">
        <v>220219000317</v>
      </c>
      <c r="B1259" s="50" t="s">
        <v>9</v>
      </c>
      <c r="C1259" s="57">
        <v>44562</v>
      </c>
      <c r="D1259" s="49">
        <v>22022000069</v>
      </c>
      <c r="E1259" s="50" t="s">
        <v>1673</v>
      </c>
      <c r="F1259" s="58">
        <v>12705</v>
      </c>
      <c r="G1259" s="50" t="s">
        <v>84</v>
      </c>
      <c r="H1259" s="50" t="s">
        <v>911</v>
      </c>
      <c r="I1259" s="49" t="s">
        <v>107</v>
      </c>
      <c r="J1259" s="50" t="s">
        <v>109</v>
      </c>
      <c r="K1259" s="50" t="s">
        <v>109</v>
      </c>
      <c r="L1259" s="50" t="s">
        <v>12</v>
      </c>
      <c r="M1259" s="50" t="s">
        <v>13</v>
      </c>
      <c r="N1259" s="50" t="s">
        <v>14</v>
      </c>
      <c r="O1259" s="48" t="s">
        <v>620</v>
      </c>
      <c r="P1259" s="45" t="s">
        <v>453</v>
      </c>
      <c r="Q1259" s="35" t="str">
        <f>MID(Tabla1[[#This Row],[Aplicación]],14,1)</f>
        <v>2</v>
      </c>
      <c r="R1259" s="35" t="s">
        <v>441</v>
      </c>
      <c r="S1259" s="35" t="str">
        <f>MID(Tabla1[[#This Row],[Aplicación]],6,2)</f>
        <v>06</v>
      </c>
      <c r="T1259" s="35" t="str">
        <f>VLOOKUP(Tabla1[[#This Row],[AREA]],Hoja1!A:B,2,FALSE)</f>
        <v>06. Educación, infancia, juventud e igualdad</v>
      </c>
      <c r="U1259" s="35" t="str">
        <f>MID(Tabla1[[#This Row],[Aplicación]],9,4)</f>
        <v>2315</v>
      </c>
      <c r="V1259" s="35" t="str">
        <f>VLOOKUP(Tabla1[[#This Row],[PROGRAMA]],Hoja1!A:B,2,FALSE)</f>
        <v>2315. Políticas de Igualdad e infancia</v>
      </c>
      <c r="W1259" s="35" t="str">
        <f>MID(Tabla1[[#This Row],[Aplicación]],14,2)</f>
        <v>22</v>
      </c>
      <c r="X1259" s="35" t="str">
        <f>MID(Tabla1[[#This Row],[Aplicación]],14,6)</f>
        <v>22799</v>
      </c>
    </row>
    <row r="1260" spans="1:24" x14ac:dyDescent="0.25">
      <c r="A1260" s="49">
        <v>220210036308</v>
      </c>
      <c r="B1260" s="50" t="s">
        <v>9</v>
      </c>
      <c r="C1260" s="57">
        <v>44631</v>
      </c>
      <c r="D1260" s="49">
        <v>22021005107</v>
      </c>
      <c r="E1260" s="50" t="s">
        <v>1593</v>
      </c>
      <c r="F1260" s="58">
        <v>6.14</v>
      </c>
      <c r="G1260" s="50" t="s">
        <v>103</v>
      </c>
      <c r="H1260" s="50" t="s">
        <v>1116</v>
      </c>
      <c r="I1260" s="49" t="s">
        <v>107</v>
      </c>
      <c r="J1260" s="50" t="s">
        <v>547</v>
      </c>
      <c r="K1260" s="50" t="s">
        <v>109</v>
      </c>
      <c r="L1260" s="50" t="s">
        <v>12</v>
      </c>
      <c r="M1260" s="50" t="s">
        <v>13</v>
      </c>
      <c r="N1260" s="50" t="s">
        <v>14</v>
      </c>
      <c r="O1260" s="48" t="s">
        <v>631</v>
      </c>
      <c r="P1260" s="45" t="s">
        <v>453</v>
      </c>
      <c r="Q1260" s="35" t="str">
        <f>MID(Tabla1[[#This Row],[Aplicación]],14,1)</f>
        <v>6</v>
      </c>
      <c r="R1260" s="35" t="s">
        <v>442</v>
      </c>
      <c r="S1260" s="35" t="str">
        <f>MID(Tabla1[[#This Row],[Aplicación]],6,2)</f>
        <v>07</v>
      </c>
      <c r="T1260" s="35" t="str">
        <f>VLOOKUP(Tabla1[[#This Row],[AREA]],Hoja1!A:B,2,FALSE)</f>
        <v>07. Medio ambiente y desarrollo sostenible</v>
      </c>
      <c r="U1260" s="35" t="str">
        <f>MID(Tabla1[[#This Row],[Aplicación]],9,4)</f>
        <v>1711</v>
      </c>
      <c r="V1260" s="35" t="str">
        <f>VLOOKUP(Tabla1[[#This Row],[PROGRAMA]],Hoja1!A:B,2,FALSE)</f>
        <v>1711. Parques y jardines</v>
      </c>
      <c r="W1260" s="35" t="str">
        <f>MID(Tabla1[[#This Row],[Aplicación]],14,2)</f>
        <v>61</v>
      </c>
      <c r="X1260" s="35" t="str">
        <f>MID(Tabla1[[#This Row],[Aplicación]],14,6)</f>
        <v>619</v>
      </c>
    </row>
    <row r="1261" spans="1:24" x14ac:dyDescent="0.25">
      <c r="A1261" s="49">
        <v>220210036840</v>
      </c>
      <c r="B1261" s="50" t="s">
        <v>9</v>
      </c>
      <c r="C1261" s="57">
        <v>44631</v>
      </c>
      <c r="D1261" s="49">
        <v>22021004558</v>
      </c>
      <c r="E1261" s="50" t="s">
        <v>1593</v>
      </c>
      <c r="F1261" s="58">
        <v>2.74</v>
      </c>
      <c r="G1261" s="50" t="s">
        <v>103</v>
      </c>
      <c r="H1261" s="50" t="s">
        <v>1117</v>
      </c>
      <c r="I1261" s="49" t="s">
        <v>107</v>
      </c>
      <c r="J1261" s="50" t="s">
        <v>547</v>
      </c>
      <c r="K1261" s="50" t="s">
        <v>109</v>
      </c>
      <c r="L1261" s="50" t="s">
        <v>12</v>
      </c>
      <c r="M1261" s="50" t="s">
        <v>13</v>
      </c>
      <c r="N1261" s="50" t="s">
        <v>14</v>
      </c>
      <c r="O1261" s="48" t="s">
        <v>631</v>
      </c>
      <c r="P1261" s="45" t="s">
        <v>453</v>
      </c>
      <c r="Q1261" s="35" t="str">
        <f>MID(Tabla1[[#This Row],[Aplicación]],14,1)</f>
        <v>6</v>
      </c>
      <c r="R1261" s="35" t="s">
        <v>442</v>
      </c>
      <c r="S1261" s="35" t="str">
        <f>MID(Tabla1[[#This Row],[Aplicación]],6,2)</f>
        <v>07</v>
      </c>
      <c r="T1261" s="35" t="str">
        <f>VLOOKUP(Tabla1[[#This Row],[AREA]],Hoja1!A:B,2,FALSE)</f>
        <v>07. Medio ambiente y desarrollo sostenible</v>
      </c>
      <c r="U1261" s="35" t="str">
        <f>MID(Tabla1[[#This Row],[Aplicación]],9,4)</f>
        <v>1711</v>
      </c>
      <c r="V1261" s="35" t="str">
        <f>VLOOKUP(Tabla1[[#This Row],[PROGRAMA]],Hoja1!A:B,2,FALSE)</f>
        <v>1711. Parques y jardines</v>
      </c>
      <c r="W1261" s="35" t="str">
        <f>MID(Tabla1[[#This Row],[Aplicación]],14,2)</f>
        <v>61</v>
      </c>
      <c r="X1261" s="35" t="str">
        <f>MID(Tabla1[[#This Row],[Aplicación]],14,6)</f>
        <v>619</v>
      </c>
    </row>
    <row r="1262" spans="1:24" x14ac:dyDescent="0.25">
      <c r="A1262" s="49">
        <v>220210056347</v>
      </c>
      <c r="B1262" s="50" t="s">
        <v>9</v>
      </c>
      <c r="C1262" s="57">
        <v>44631</v>
      </c>
      <c r="D1262" s="49">
        <v>22021006361</v>
      </c>
      <c r="E1262" s="50" t="s">
        <v>1593</v>
      </c>
      <c r="F1262" s="58">
        <v>7.04</v>
      </c>
      <c r="G1262" s="50" t="s">
        <v>103</v>
      </c>
      <c r="H1262" s="50" t="s">
        <v>1118</v>
      </c>
      <c r="I1262" s="49" t="s">
        <v>107</v>
      </c>
      <c r="J1262" s="50" t="s">
        <v>547</v>
      </c>
      <c r="K1262" s="50" t="s">
        <v>109</v>
      </c>
      <c r="L1262" s="50" t="s">
        <v>12</v>
      </c>
      <c r="M1262" s="50" t="s">
        <v>13</v>
      </c>
      <c r="N1262" s="50" t="s">
        <v>14</v>
      </c>
      <c r="O1262" s="48" t="s">
        <v>631</v>
      </c>
      <c r="P1262" s="45" t="s">
        <v>453</v>
      </c>
      <c r="Q1262" s="35" t="str">
        <f>MID(Tabla1[[#This Row],[Aplicación]],14,1)</f>
        <v>6</v>
      </c>
      <c r="R1262" s="35" t="s">
        <v>442</v>
      </c>
      <c r="S1262" s="35" t="str">
        <f>MID(Tabla1[[#This Row],[Aplicación]],6,2)</f>
        <v>07</v>
      </c>
      <c r="T1262" s="35" t="str">
        <f>VLOOKUP(Tabla1[[#This Row],[AREA]],Hoja1!A:B,2,FALSE)</f>
        <v>07. Medio ambiente y desarrollo sostenible</v>
      </c>
      <c r="U1262" s="35" t="str">
        <f>MID(Tabla1[[#This Row],[Aplicación]],9,4)</f>
        <v>1711</v>
      </c>
      <c r="V1262" s="35" t="str">
        <f>VLOOKUP(Tabla1[[#This Row],[PROGRAMA]],Hoja1!A:B,2,FALSE)</f>
        <v>1711. Parques y jardines</v>
      </c>
      <c r="W1262" s="35" t="str">
        <f>MID(Tabla1[[#This Row],[Aplicación]],14,2)</f>
        <v>61</v>
      </c>
      <c r="X1262" s="35" t="str">
        <f>MID(Tabla1[[#This Row],[Aplicación]],14,6)</f>
        <v>619</v>
      </c>
    </row>
    <row r="1263" spans="1:24" x14ac:dyDescent="0.25">
      <c r="A1263" s="49">
        <v>220210066696</v>
      </c>
      <c r="B1263" s="50" t="s">
        <v>9</v>
      </c>
      <c r="C1263" s="57">
        <v>44620</v>
      </c>
      <c r="D1263" s="49">
        <v>22021004428</v>
      </c>
      <c r="E1263" s="50" t="s">
        <v>1602</v>
      </c>
      <c r="F1263" s="58">
        <v>193.68</v>
      </c>
      <c r="G1263" s="50" t="s">
        <v>103</v>
      </c>
      <c r="H1263" s="50" t="s">
        <v>1239</v>
      </c>
      <c r="I1263" s="49" t="s">
        <v>107</v>
      </c>
      <c r="J1263" s="50" t="s">
        <v>547</v>
      </c>
      <c r="K1263" s="50" t="s">
        <v>109</v>
      </c>
      <c r="L1263" s="50" t="s">
        <v>25</v>
      </c>
      <c r="M1263" s="50" t="s">
        <v>13</v>
      </c>
      <c r="N1263" s="50" t="s">
        <v>14</v>
      </c>
      <c r="O1263" s="48" t="s">
        <v>631</v>
      </c>
      <c r="P1263" s="45" t="s">
        <v>453</v>
      </c>
      <c r="Q1263" s="35" t="str">
        <f>MID(Tabla1[[#This Row],[Aplicación]],14,1)</f>
        <v>6</v>
      </c>
      <c r="R1263" s="35" t="s">
        <v>442</v>
      </c>
      <c r="S1263" s="35" t="str">
        <f>MID(Tabla1[[#This Row],[Aplicación]],6,2)</f>
        <v>05</v>
      </c>
      <c r="T1263" s="35" t="str">
        <f>VLOOKUP(Tabla1[[#This Row],[AREA]],Hoja1!A:B,2,FALSE)</f>
        <v>05. Innovación, desarrollo económico, empleo y comercio</v>
      </c>
      <c r="U1263" s="35" t="str">
        <f>MID(Tabla1[[#This Row],[Aplicación]],9,4)</f>
        <v>4331</v>
      </c>
      <c r="V1263" s="35" t="str">
        <f>VLOOKUP(Tabla1[[#This Row],[PROGRAMA]],Hoja1!A:B,2,FALSE)</f>
        <v>4331. Desarrollo empresarial</v>
      </c>
      <c r="W1263" s="35" t="str">
        <f>MID(Tabla1[[#This Row],[Aplicación]],14,2)</f>
        <v>60</v>
      </c>
      <c r="X1263" s="35" t="str">
        <f>MID(Tabla1[[#This Row],[Aplicación]],14,6)</f>
        <v>609</v>
      </c>
    </row>
    <row r="1264" spans="1:24" x14ac:dyDescent="0.25">
      <c r="A1264" s="49">
        <v>220210068401</v>
      </c>
      <c r="B1264" s="50" t="s">
        <v>9</v>
      </c>
      <c r="C1264" s="57">
        <v>44620</v>
      </c>
      <c r="D1264" s="49">
        <v>22021007326</v>
      </c>
      <c r="E1264" s="50" t="s">
        <v>1368</v>
      </c>
      <c r="F1264" s="58">
        <v>1227.7</v>
      </c>
      <c r="G1264" s="50" t="s">
        <v>103</v>
      </c>
      <c r="H1264" s="50" t="s">
        <v>1240</v>
      </c>
      <c r="I1264" s="49" t="s">
        <v>107</v>
      </c>
      <c r="J1264" s="50" t="s">
        <v>547</v>
      </c>
      <c r="K1264" s="50" t="s">
        <v>109</v>
      </c>
      <c r="L1264" s="50" t="s">
        <v>12</v>
      </c>
      <c r="M1264" s="50" t="s">
        <v>13</v>
      </c>
      <c r="N1264" s="50" t="s">
        <v>14</v>
      </c>
      <c r="O1264" s="48" t="s">
        <v>631</v>
      </c>
      <c r="P1264" s="45" t="s">
        <v>453</v>
      </c>
      <c r="Q1264" s="35" t="str">
        <f>MID(Tabla1[[#This Row],[Aplicación]],14,1)</f>
        <v>6</v>
      </c>
      <c r="R1264" s="35" t="s">
        <v>442</v>
      </c>
      <c r="S1264" s="35" t="str">
        <f>MID(Tabla1[[#This Row],[Aplicación]],6,2)</f>
        <v>08</v>
      </c>
      <c r="T1264" s="35" t="str">
        <f>VLOOKUP(Tabla1[[#This Row],[AREA]],Hoja1!A:B,2,FALSE)</f>
        <v>08. Movilidad y espacio urbano</v>
      </c>
      <c r="U1264" s="35" t="str">
        <f>MID(Tabla1[[#This Row],[Aplicación]],9,4)</f>
        <v>1532</v>
      </c>
      <c r="V1264" s="35" t="str">
        <f>VLOOKUP(Tabla1[[#This Row],[PROGRAMA]],Hoja1!A:B,2,FALSE)</f>
        <v>1532. Pavimentación vias públicas y otros servicios urbanísticos</v>
      </c>
      <c r="W1264" s="35" t="str">
        <f>MID(Tabla1[[#This Row],[Aplicación]],14,2)</f>
        <v>61</v>
      </c>
      <c r="X1264" s="35" t="str">
        <f>MID(Tabla1[[#This Row],[Aplicación]],14,6)</f>
        <v>619</v>
      </c>
    </row>
    <row r="1265" spans="1:24" x14ac:dyDescent="0.25">
      <c r="A1265" s="49">
        <v>220210025551</v>
      </c>
      <c r="B1265" s="50" t="s">
        <v>9</v>
      </c>
      <c r="C1265" s="57">
        <v>44620</v>
      </c>
      <c r="D1265" s="49">
        <v>22021002980</v>
      </c>
      <c r="E1265" s="50" t="s">
        <v>1665</v>
      </c>
      <c r="F1265" s="58">
        <v>61.98</v>
      </c>
      <c r="G1265" s="50" t="s">
        <v>103</v>
      </c>
      <c r="H1265" s="50" t="s">
        <v>976</v>
      </c>
      <c r="I1265" s="49" t="s">
        <v>107</v>
      </c>
      <c r="J1265" s="50" t="s">
        <v>547</v>
      </c>
      <c r="K1265" s="50" t="s">
        <v>109</v>
      </c>
      <c r="L1265" s="50" t="s">
        <v>12</v>
      </c>
      <c r="M1265" s="50" t="s">
        <v>13</v>
      </c>
      <c r="N1265" s="50" t="s">
        <v>14</v>
      </c>
      <c r="O1265" s="48" t="s">
        <v>631</v>
      </c>
      <c r="P1265" s="45" t="s">
        <v>453</v>
      </c>
      <c r="Q1265" s="35" t="str">
        <f>MID(Tabla1[[#This Row],[Aplicación]],14,1)</f>
        <v>6</v>
      </c>
      <c r="R1265" s="35" t="s">
        <v>442</v>
      </c>
      <c r="S1265" s="35" t="str">
        <f>MID(Tabla1[[#This Row],[Aplicación]],6,2)</f>
        <v>02</v>
      </c>
      <c r="T1265" s="35" t="str">
        <f>VLOOKUP(Tabla1[[#This Row],[AREA]],Hoja1!A:B,2,FALSE)</f>
        <v>02. Planeamiento urbanístico y vivienda</v>
      </c>
      <c r="U1265" s="35" t="str">
        <f>MID(Tabla1[[#This Row],[Aplicación]],9,4)</f>
        <v>9332</v>
      </c>
      <c r="V1265" s="35" t="str">
        <f>VLOOKUP(Tabla1[[#This Row],[PROGRAMA]],Hoja1!A:B,2,FALSE)</f>
        <v>9332. Mantenimiento de edificios e instalaciones municipales</v>
      </c>
      <c r="W1265" s="35" t="str">
        <f>MID(Tabla1[[#This Row],[Aplicación]],14,2)</f>
        <v>63</v>
      </c>
      <c r="X1265" s="35" t="str">
        <f>MID(Tabla1[[#This Row],[Aplicación]],14,6)</f>
        <v>632</v>
      </c>
    </row>
    <row r="1266" spans="1:24" x14ac:dyDescent="0.25">
      <c r="A1266" s="49">
        <v>220219000249</v>
      </c>
      <c r="B1266" s="50" t="s">
        <v>9</v>
      </c>
      <c r="C1266" s="57">
        <v>44562</v>
      </c>
      <c r="D1266" s="49">
        <v>22022002187</v>
      </c>
      <c r="E1266" s="50" t="s">
        <v>1390</v>
      </c>
      <c r="F1266" s="58">
        <v>2401.2600000000002</v>
      </c>
      <c r="G1266" s="50" t="s">
        <v>103</v>
      </c>
      <c r="H1266" s="50" t="s">
        <v>2701</v>
      </c>
      <c r="I1266" s="49" t="s">
        <v>107</v>
      </c>
      <c r="J1266" s="50" t="s">
        <v>547</v>
      </c>
      <c r="K1266" s="50" t="s">
        <v>109</v>
      </c>
      <c r="L1266" s="50" t="s">
        <v>25</v>
      </c>
      <c r="M1266" s="50" t="s">
        <v>13</v>
      </c>
      <c r="N1266" s="50" t="s">
        <v>14</v>
      </c>
      <c r="O1266" s="48" t="s">
        <v>631</v>
      </c>
      <c r="P1266" s="45" t="s">
        <v>453</v>
      </c>
      <c r="Q1266" s="35" t="str">
        <f>MID(Tabla1[[#This Row],[Aplicación]],14,1)</f>
        <v>6</v>
      </c>
      <c r="R1266" s="35" t="s">
        <v>442</v>
      </c>
      <c r="S1266" s="35" t="str">
        <f>MID(Tabla1[[#This Row],[Aplicación]],6,2)</f>
        <v>10</v>
      </c>
      <c r="T1266" s="35" t="str">
        <f>VLOOKUP(Tabla1[[#This Row],[AREA]],Hoja1!A:B,2,FALSE)</f>
        <v>10. Servicios sociales y mediación comunitaria</v>
      </c>
      <c r="U1266" s="35" t="str">
        <f>MID(Tabla1[[#This Row],[Aplicación]],9,4)</f>
        <v>2312</v>
      </c>
      <c r="V1266" s="35" t="str">
        <f>VLOOKUP(Tabla1[[#This Row],[PROGRAMA]],Hoja1!A:B,2,FALSE)</f>
        <v>2312. Iniciativas sociales</v>
      </c>
      <c r="W1266" s="35" t="str">
        <f>MID(Tabla1[[#This Row],[Aplicación]],14,2)</f>
        <v>62</v>
      </c>
      <c r="X1266" s="35" t="str">
        <f>MID(Tabla1[[#This Row],[Aplicación]],14,6)</f>
        <v>622</v>
      </c>
    </row>
    <row r="1267" spans="1:24" x14ac:dyDescent="0.25">
      <c r="A1267" s="49">
        <v>220219000319</v>
      </c>
      <c r="B1267" s="50" t="s">
        <v>9</v>
      </c>
      <c r="C1267" s="57">
        <v>44562</v>
      </c>
      <c r="D1267" s="49">
        <v>22022002152</v>
      </c>
      <c r="E1267" s="50" t="s">
        <v>1424</v>
      </c>
      <c r="F1267" s="58">
        <v>1834.3</v>
      </c>
      <c r="G1267" s="50" t="s">
        <v>103</v>
      </c>
      <c r="H1267" s="50" t="s">
        <v>2702</v>
      </c>
      <c r="I1267" s="49" t="s">
        <v>107</v>
      </c>
      <c r="J1267" s="50" t="s">
        <v>547</v>
      </c>
      <c r="K1267" s="50" t="s">
        <v>109</v>
      </c>
      <c r="L1267" s="50" t="s">
        <v>12</v>
      </c>
      <c r="M1267" s="50" t="s">
        <v>13</v>
      </c>
      <c r="N1267" s="50" t="s">
        <v>14</v>
      </c>
      <c r="O1267" s="48" t="s">
        <v>631</v>
      </c>
      <c r="P1267" s="45" t="s">
        <v>453</v>
      </c>
      <c r="Q1267" s="35" t="str">
        <f>MID(Tabla1[[#This Row],[Aplicación]],14,1)</f>
        <v>6</v>
      </c>
      <c r="R1267" s="35" t="s">
        <v>442</v>
      </c>
      <c r="S1267" s="35" t="str">
        <f>MID(Tabla1[[#This Row],[Aplicación]],6,2)</f>
        <v>06</v>
      </c>
      <c r="T1267" s="35" t="str">
        <f>VLOOKUP(Tabla1[[#This Row],[AREA]],Hoja1!A:B,2,FALSE)</f>
        <v>06. Educación, infancia, juventud e igualdad</v>
      </c>
      <c r="U1267" s="35" t="str">
        <f>MID(Tabla1[[#This Row],[Aplicación]],9,4)</f>
        <v>3321</v>
      </c>
      <c r="V1267" s="35" t="str">
        <f>VLOOKUP(Tabla1[[#This Row],[PROGRAMA]],Hoja1!A:B,2,FALSE)</f>
        <v>3321. Bibliotecas públicas</v>
      </c>
      <c r="W1267" s="35" t="str">
        <f>MID(Tabla1[[#This Row],[Aplicación]],14,2)</f>
        <v>62</v>
      </c>
      <c r="X1267" s="35" t="str">
        <f>MID(Tabla1[[#This Row],[Aplicación]],14,6)</f>
        <v>622</v>
      </c>
    </row>
    <row r="1268" spans="1:24" x14ac:dyDescent="0.25">
      <c r="A1268" s="49">
        <v>220219000442</v>
      </c>
      <c r="B1268" s="50" t="s">
        <v>9</v>
      </c>
      <c r="C1268" s="57">
        <v>44562</v>
      </c>
      <c r="D1268" s="49">
        <v>22022000072</v>
      </c>
      <c r="E1268" s="50" t="s">
        <v>1963</v>
      </c>
      <c r="F1268" s="58">
        <v>59532</v>
      </c>
      <c r="G1268" s="50" t="s">
        <v>103</v>
      </c>
      <c r="H1268" s="50" t="s">
        <v>2703</v>
      </c>
      <c r="I1268" s="49" t="s">
        <v>107</v>
      </c>
      <c r="J1268" s="50" t="s">
        <v>547</v>
      </c>
      <c r="K1268" s="50" t="s">
        <v>109</v>
      </c>
      <c r="L1268" s="50" t="s">
        <v>12</v>
      </c>
      <c r="M1268" s="50" t="s">
        <v>13</v>
      </c>
      <c r="N1268" s="50" t="s">
        <v>14</v>
      </c>
      <c r="O1268" s="48" t="s">
        <v>620</v>
      </c>
      <c r="P1268" s="45" t="s">
        <v>453</v>
      </c>
      <c r="Q1268" s="35" t="str">
        <f>MID(Tabla1[[#This Row],[Aplicación]],14,1)</f>
        <v>2</v>
      </c>
      <c r="R1268" s="35" t="s">
        <v>441</v>
      </c>
      <c r="S1268" s="35" t="str">
        <f>MID(Tabla1[[#This Row],[Aplicación]],6,2)</f>
        <v>09</v>
      </c>
      <c r="T1268" s="35" t="str">
        <f>VLOOKUP(Tabla1[[#This Row],[AREA]],Hoja1!A:B,2,FALSE)</f>
        <v>09. Cultura y turismo</v>
      </c>
      <c r="U1268" s="35" t="str">
        <f>MID(Tabla1[[#This Row],[Aplicación]],9,4)</f>
        <v>3301</v>
      </c>
      <c r="V1268" s="35" t="str">
        <f>VLOOKUP(Tabla1[[#This Row],[PROGRAMA]],Hoja1!A:B,2,FALSE)</f>
        <v>3301. Dirección del área de cultura</v>
      </c>
      <c r="W1268" s="35" t="str">
        <f>MID(Tabla1[[#This Row],[Aplicación]],14,2)</f>
        <v>22</v>
      </c>
      <c r="X1268" s="35" t="str">
        <f>MID(Tabla1[[#This Row],[Aplicación]],14,6)</f>
        <v>22799</v>
      </c>
    </row>
    <row r="1269" spans="1:24" x14ac:dyDescent="0.25">
      <c r="A1269" s="49">
        <v>220219000678</v>
      </c>
      <c r="B1269" s="50" t="s">
        <v>9</v>
      </c>
      <c r="C1269" s="57">
        <v>44562</v>
      </c>
      <c r="D1269" s="49">
        <v>22022002216</v>
      </c>
      <c r="E1269" s="50" t="s">
        <v>1399</v>
      </c>
      <c r="F1269" s="58">
        <v>52286</v>
      </c>
      <c r="G1269" s="50" t="s">
        <v>103</v>
      </c>
      <c r="H1269" s="50" t="s">
        <v>2704</v>
      </c>
      <c r="I1269" s="49" t="s">
        <v>107</v>
      </c>
      <c r="J1269" s="50" t="s">
        <v>547</v>
      </c>
      <c r="K1269" s="50" t="s">
        <v>109</v>
      </c>
      <c r="L1269" s="50" t="s">
        <v>12</v>
      </c>
      <c r="M1269" s="50" t="s">
        <v>13</v>
      </c>
      <c r="N1269" s="50" t="s">
        <v>14</v>
      </c>
      <c r="O1269" s="48" t="s">
        <v>631</v>
      </c>
      <c r="P1269" s="45" t="s">
        <v>453</v>
      </c>
      <c r="Q1269" s="35" t="str">
        <f>MID(Tabla1[[#This Row],[Aplicación]],14,1)</f>
        <v>6</v>
      </c>
      <c r="R1269" s="35" t="s">
        <v>442</v>
      </c>
      <c r="S1269" s="35" t="str">
        <f>MID(Tabla1[[#This Row],[Aplicación]],6,2)</f>
        <v>02</v>
      </c>
      <c r="T1269" s="35" t="str">
        <f>VLOOKUP(Tabla1[[#This Row],[AREA]],Hoja1!A:B,2,FALSE)</f>
        <v>02. Planeamiento urbanístico y vivienda</v>
      </c>
      <c r="U1269" s="35" t="str">
        <f>MID(Tabla1[[#This Row],[Aplicación]],9,4)</f>
        <v>1511</v>
      </c>
      <c r="V1269" s="35" t="str">
        <f>VLOOKUP(Tabla1[[#This Row],[PROGRAMA]],Hoja1!A:B,2,FALSE)</f>
        <v>1511. Planficación y gestión del urbanismo</v>
      </c>
      <c r="W1269" s="35" t="str">
        <f>MID(Tabla1[[#This Row],[Aplicación]],14,2)</f>
        <v>60</v>
      </c>
      <c r="X1269" s="35" t="str">
        <f>MID(Tabla1[[#This Row],[Aplicación]],14,6)</f>
        <v>609</v>
      </c>
    </row>
    <row r="1270" spans="1:24" x14ac:dyDescent="0.25">
      <c r="A1270" s="49">
        <v>220219000851</v>
      </c>
      <c r="B1270" s="50" t="s">
        <v>9</v>
      </c>
      <c r="C1270" s="57">
        <v>44562</v>
      </c>
      <c r="D1270" s="49">
        <v>22022000610</v>
      </c>
      <c r="E1270" s="50" t="s">
        <v>1368</v>
      </c>
      <c r="F1270" s="58">
        <v>8776.39</v>
      </c>
      <c r="G1270" s="50" t="s">
        <v>103</v>
      </c>
      <c r="H1270" s="50" t="s">
        <v>2705</v>
      </c>
      <c r="I1270" s="49" t="s">
        <v>107</v>
      </c>
      <c r="J1270" s="50" t="s">
        <v>547</v>
      </c>
      <c r="K1270" s="50" t="s">
        <v>109</v>
      </c>
      <c r="L1270" s="50" t="s">
        <v>12</v>
      </c>
      <c r="M1270" s="50" t="s">
        <v>13</v>
      </c>
      <c r="N1270" s="50" t="s">
        <v>14</v>
      </c>
      <c r="O1270" s="48" t="s">
        <v>631</v>
      </c>
      <c r="P1270" s="45" t="s">
        <v>453</v>
      </c>
      <c r="Q1270" s="35" t="str">
        <f>MID(Tabla1[[#This Row],[Aplicación]],14,1)</f>
        <v>6</v>
      </c>
      <c r="R1270" s="35" t="s">
        <v>442</v>
      </c>
      <c r="S1270" s="35" t="str">
        <f>MID(Tabla1[[#This Row],[Aplicación]],6,2)</f>
        <v>08</v>
      </c>
      <c r="T1270" s="35" t="str">
        <f>VLOOKUP(Tabla1[[#This Row],[AREA]],Hoja1!A:B,2,FALSE)</f>
        <v>08. Movilidad y espacio urbano</v>
      </c>
      <c r="U1270" s="35" t="str">
        <f>MID(Tabla1[[#This Row],[Aplicación]],9,4)</f>
        <v>1532</v>
      </c>
      <c r="V1270" s="35" t="str">
        <f>VLOOKUP(Tabla1[[#This Row],[PROGRAMA]],Hoja1!A:B,2,FALSE)</f>
        <v>1532. Pavimentación vias públicas y otros servicios urbanísticos</v>
      </c>
      <c r="W1270" s="35" t="str">
        <f>MID(Tabla1[[#This Row],[Aplicación]],14,2)</f>
        <v>61</v>
      </c>
      <c r="X1270" s="35" t="str">
        <f>MID(Tabla1[[#This Row],[Aplicación]],14,6)</f>
        <v>619</v>
      </c>
    </row>
    <row r="1271" spans="1:24" x14ac:dyDescent="0.25">
      <c r="A1271" s="49">
        <v>220220003945</v>
      </c>
      <c r="B1271" s="50" t="s">
        <v>9</v>
      </c>
      <c r="C1271" s="57">
        <v>44609</v>
      </c>
      <c r="D1271" s="49">
        <v>22022002071</v>
      </c>
      <c r="E1271" s="50" t="s">
        <v>1374</v>
      </c>
      <c r="F1271" s="58">
        <v>16469.54</v>
      </c>
      <c r="G1271" s="50" t="s">
        <v>103</v>
      </c>
      <c r="H1271" s="50" t="s">
        <v>2706</v>
      </c>
      <c r="I1271" s="49" t="s">
        <v>107</v>
      </c>
      <c r="J1271" s="50" t="s">
        <v>547</v>
      </c>
      <c r="K1271" s="50" t="s">
        <v>109</v>
      </c>
      <c r="L1271" s="50" t="s">
        <v>12</v>
      </c>
      <c r="M1271" s="50" t="s">
        <v>13</v>
      </c>
      <c r="N1271" s="50" t="s">
        <v>14</v>
      </c>
      <c r="O1271" s="48" t="s">
        <v>631</v>
      </c>
      <c r="P1271" s="45" t="s">
        <v>453</v>
      </c>
      <c r="Q1271" s="35" t="str">
        <f>MID(Tabla1[[#This Row],[Aplicación]],14,1)</f>
        <v>6</v>
      </c>
      <c r="R1271" s="35" t="s">
        <v>442</v>
      </c>
      <c r="S1271" s="35" t="str">
        <f>MID(Tabla1[[#This Row],[Aplicación]],6,2)</f>
        <v>08</v>
      </c>
      <c r="T1271" s="35" t="str">
        <f>VLOOKUP(Tabla1[[#This Row],[AREA]],Hoja1!A:B,2,FALSE)</f>
        <v>08. Movilidad y espacio urbano</v>
      </c>
      <c r="U1271" s="35" t="str">
        <f>MID(Tabla1[[#This Row],[Aplicación]],9,4)</f>
        <v>1651</v>
      </c>
      <c r="V1271" s="35" t="str">
        <f>VLOOKUP(Tabla1[[#This Row],[PROGRAMA]],Hoja1!A:B,2,FALSE)</f>
        <v>1651. Alumbrado público</v>
      </c>
      <c r="W1271" s="35" t="str">
        <f>MID(Tabla1[[#This Row],[Aplicación]],14,2)</f>
        <v>61</v>
      </c>
      <c r="X1271" s="35" t="str">
        <f>MID(Tabla1[[#This Row],[Aplicación]],14,6)</f>
        <v>619</v>
      </c>
    </row>
    <row r="1272" spans="1:24" x14ac:dyDescent="0.25">
      <c r="A1272" s="49">
        <v>220220003946</v>
      </c>
      <c r="B1272" s="50" t="s">
        <v>9</v>
      </c>
      <c r="C1272" s="57">
        <v>44609</v>
      </c>
      <c r="D1272" s="49">
        <v>22022002095</v>
      </c>
      <c r="E1272" s="50" t="s">
        <v>1368</v>
      </c>
      <c r="F1272" s="58">
        <v>12375.73</v>
      </c>
      <c r="G1272" s="50" t="s">
        <v>103</v>
      </c>
      <c r="H1272" s="50" t="s">
        <v>2707</v>
      </c>
      <c r="I1272" s="49" t="s">
        <v>107</v>
      </c>
      <c r="J1272" s="50" t="s">
        <v>547</v>
      </c>
      <c r="K1272" s="50" t="s">
        <v>109</v>
      </c>
      <c r="L1272" s="50" t="s">
        <v>12</v>
      </c>
      <c r="M1272" s="50" t="s">
        <v>13</v>
      </c>
      <c r="N1272" s="50" t="s">
        <v>14</v>
      </c>
      <c r="O1272" s="48" t="s">
        <v>631</v>
      </c>
      <c r="P1272" s="45" t="s">
        <v>453</v>
      </c>
      <c r="Q1272" s="35" t="str">
        <f>MID(Tabla1[[#This Row],[Aplicación]],14,1)</f>
        <v>6</v>
      </c>
      <c r="R1272" s="35" t="s">
        <v>442</v>
      </c>
      <c r="S1272" s="35" t="str">
        <f>MID(Tabla1[[#This Row],[Aplicación]],6,2)</f>
        <v>08</v>
      </c>
      <c r="T1272" s="35" t="str">
        <f>VLOOKUP(Tabla1[[#This Row],[AREA]],Hoja1!A:B,2,FALSE)</f>
        <v>08. Movilidad y espacio urbano</v>
      </c>
      <c r="U1272" s="35" t="str">
        <f>MID(Tabla1[[#This Row],[Aplicación]],9,4)</f>
        <v>1532</v>
      </c>
      <c r="V1272" s="35" t="str">
        <f>VLOOKUP(Tabla1[[#This Row],[PROGRAMA]],Hoja1!A:B,2,FALSE)</f>
        <v>1532. Pavimentación vias públicas y otros servicios urbanísticos</v>
      </c>
      <c r="W1272" s="35" t="str">
        <f>MID(Tabla1[[#This Row],[Aplicación]],14,2)</f>
        <v>61</v>
      </c>
      <c r="X1272" s="35" t="str">
        <f>MID(Tabla1[[#This Row],[Aplicación]],14,6)</f>
        <v>619</v>
      </c>
    </row>
    <row r="1273" spans="1:24" x14ac:dyDescent="0.25">
      <c r="A1273" s="49">
        <v>220220003947</v>
      </c>
      <c r="B1273" s="50" t="s">
        <v>9</v>
      </c>
      <c r="C1273" s="57">
        <v>44609</v>
      </c>
      <c r="D1273" s="49">
        <v>22022002106</v>
      </c>
      <c r="E1273" s="50" t="s">
        <v>1368</v>
      </c>
      <c r="F1273" s="58">
        <v>24584.69</v>
      </c>
      <c r="G1273" s="50" t="s">
        <v>103</v>
      </c>
      <c r="H1273" s="50" t="s">
        <v>2708</v>
      </c>
      <c r="I1273" s="49" t="s">
        <v>107</v>
      </c>
      <c r="J1273" s="50" t="s">
        <v>547</v>
      </c>
      <c r="K1273" s="50" t="s">
        <v>109</v>
      </c>
      <c r="L1273" s="50" t="s">
        <v>12</v>
      </c>
      <c r="M1273" s="50" t="s">
        <v>13</v>
      </c>
      <c r="N1273" s="50" t="s">
        <v>14</v>
      </c>
      <c r="O1273" s="48" t="s">
        <v>631</v>
      </c>
      <c r="P1273" s="45" t="s">
        <v>453</v>
      </c>
      <c r="Q1273" s="35" t="str">
        <f>MID(Tabla1[[#This Row],[Aplicación]],14,1)</f>
        <v>6</v>
      </c>
      <c r="R1273" s="35" t="s">
        <v>442</v>
      </c>
      <c r="S1273" s="35" t="str">
        <f>MID(Tabla1[[#This Row],[Aplicación]],6,2)</f>
        <v>08</v>
      </c>
      <c r="T1273" s="35" t="str">
        <f>VLOOKUP(Tabla1[[#This Row],[AREA]],Hoja1!A:B,2,FALSE)</f>
        <v>08. Movilidad y espacio urbano</v>
      </c>
      <c r="U1273" s="35" t="str">
        <f>MID(Tabla1[[#This Row],[Aplicación]],9,4)</f>
        <v>1532</v>
      </c>
      <c r="V1273" s="35" t="str">
        <f>VLOOKUP(Tabla1[[#This Row],[PROGRAMA]],Hoja1!A:B,2,FALSE)</f>
        <v>1532. Pavimentación vias públicas y otros servicios urbanísticos</v>
      </c>
      <c r="W1273" s="35" t="str">
        <f>MID(Tabla1[[#This Row],[Aplicación]],14,2)</f>
        <v>61</v>
      </c>
      <c r="X1273" s="35" t="str">
        <f>MID(Tabla1[[#This Row],[Aplicación]],14,6)</f>
        <v>619</v>
      </c>
    </row>
    <row r="1274" spans="1:24" x14ac:dyDescent="0.25">
      <c r="A1274" s="49">
        <v>220220003948</v>
      </c>
      <c r="B1274" s="50" t="s">
        <v>9</v>
      </c>
      <c r="C1274" s="57">
        <v>44609</v>
      </c>
      <c r="D1274" s="49">
        <v>22022002111</v>
      </c>
      <c r="E1274" s="50" t="s">
        <v>1368</v>
      </c>
      <c r="F1274" s="58">
        <v>10652.08</v>
      </c>
      <c r="G1274" s="50" t="s">
        <v>103</v>
      </c>
      <c r="H1274" s="50" t="s">
        <v>2709</v>
      </c>
      <c r="I1274" s="49" t="s">
        <v>107</v>
      </c>
      <c r="J1274" s="50" t="s">
        <v>547</v>
      </c>
      <c r="K1274" s="50" t="s">
        <v>109</v>
      </c>
      <c r="L1274" s="50" t="s">
        <v>12</v>
      </c>
      <c r="M1274" s="50" t="s">
        <v>13</v>
      </c>
      <c r="N1274" s="50" t="s">
        <v>14</v>
      </c>
      <c r="O1274" s="48" t="s">
        <v>631</v>
      </c>
      <c r="P1274" s="45" t="s">
        <v>453</v>
      </c>
      <c r="Q1274" s="35" t="str">
        <f>MID(Tabla1[[#This Row],[Aplicación]],14,1)</f>
        <v>6</v>
      </c>
      <c r="R1274" s="35" t="s">
        <v>442</v>
      </c>
      <c r="S1274" s="35" t="str">
        <f>MID(Tabla1[[#This Row],[Aplicación]],6,2)</f>
        <v>08</v>
      </c>
      <c r="T1274" s="35" t="str">
        <f>VLOOKUP(Tabla1[[#This Row],[AREA]],Hoja1!A:B,2,FALSE)</f>
        <v>08. Movilidad y espacio urbano</v>
      </c>
      <c r="U1274" s="35" t="str">
        <f>MID(Tabla1[[#This Row],[Aplicación]],9,4)</f>
        <v>1532</v>
      </c>
      <c r="V1274" s="35" t="str">
        <f>VLOOKUP(Tabla1[[#This Row],[PROGRAMA]],Hoja1!A:B,2,FALSE)</f>
        <v>1532. Pavimentación vias públicas y otros servicios urbanísticos</v>
      </c>
      <c r="W1274" s="35" t="str">
        <f>MID(Tabla1[[#This Row],[Aplicación]],14,2)</f>
        <v>61</v>
      </c>
      <c r="X1274" s="35" t="str">
        <f>MID(Tabla1[[#This Row],[Aplicación]],14,6)</f>
        <v>619</v>
      </c>
    </row>
    <row r="1275" spans="1:24" x14ac:dyDescent="0.25">
      <c r="A1275" s="49">
        <v>220220003951</v>
      </c>
      <c r="B1275" s="50" t="s">
        <v>9</v>
      </c>
      <c r="C1275" s="57">
        <v>44609</v>
      </c>
      <c r="D1275" s="49">
        <v>22022002255</v>
      </c>
      <c r="E1275" s="50" t="s">
        <v>1381</v>
      </c>
      <c r="F1275" s="58">
        <v>9168.82</v>
      </c>
      <c r="G1275" s="50" t="s">
        <v>103</v>
      </c>
      <c r="H1275" s="50" t="s">
        <v>2710</v>
      </c>
      <c r="I1275" s="49" t="s">
        <v>107</v>
      </c>
      <c r="J1275" s="50" t="s">
        <v>547</v>
      </c>
      <c r="K1275" s="50" t="s">
        <v>109</v>
      </c>
      <c r="L1275" s="50" t="s">
        <v>12</v>
      </c>
      <c r="M1275" s="50" t="s">
        <v>13</v>
      </c>
      <c r="N1275" s="50" t="s">
        <v>14</v>
      </c>
      <c r="O1275" s="48" t="s">
        <v>631</v>
      </c>
      <c r="P1275" s="45" t="s">
        <v>453</v>
      </c>
      <c r="Q1275" s="35" t="str">
        <f>MID(Tabla1[[#This Row],[Aplicación]],14,1)</f>
        <v>6</v>
      </c>
      <c r="R1275" s="35" t="s">
        <v>442</v>
      </c>
      <c r="S1275" s="35" t="str">
        <f>MID(Tabla1[[#This Row],[Aplicación]],6,2)</f>
        <v>08</v>
      </c>
      <c r="T1275" s="35" t="str">
        <f>VLOOKUP(Tabla1[[#This Row],[AREA]],Hoja1!A:B,2,FALSE)</f>
        <v>08. Movilidad y espacio urbano</v>
      </c>
      <c r="U1275" s="35" t="str">
        <f>MID(Tabla1[[#This Row],[Aplicación]],9,4)</f>
        <v>1532</v>
      </c>
      <c r="V1275" s="35" t="str">
        <f>VLOOKUP(Tabla1[[#This Row],[PROGRAMA]],Hoja1!A:B,2,FALSE)</f>
        <v>1532. Pavimentación vias públicas y otros servicios urbanísticos</v>
      </c>
      <c r="W1275" s="35" t="str">
        <f>MID(Tabla1[[#This Row],[Aplicación]],14,2)</f>
        <v>62</v>
      </c>
      <c r="X1275" s="35" t="str">
        <f>MID(Tabla1[[#This Row],[Aplicación]],14,6)</f>
        <v>622</v>
      </c>
    </row>
    <row r="1276" spans="1:24" x14ac:dyDescent="0.25">
      <c r="A1276" s="49">
        <v>220220003952</v>
      </c>
      <c r="B1276" s="50" t="s">
        <v>9</v>
      </c>
      <c r="C1276" s="57">
        <v>44609</v>
      </c>
      <c r="D1276" s="49">
        <v>22022002257</v>
      </c>
      <c r="E1276" s="50" t="s">
        <v>1388</v>
      </c>
      <c r="F1276" s="58">
        <v>6382.8</v>
      </c>
      <c r="G1276" s="50" t="s">
        <v>103</v>
      </c>
      <c r="H1276" s="50" t="s">
        <v>2711</v>
      </c>
      <c r="I1276" s="49" t="s">
        <v>107</v>
      </c>
      <c r="J1276" s="50" t="s">
        <v>547</v>
      </c>
      <c r="K1276" s="50" t="s">
        <v>109</v>
      </c>
      <c r="L1276" s="50" t="s">
        <v>12</v>
      </c>
      <c r="M1276" s="50" t="s">
        <v>13</v>
      </c>
      <c r="N1276" s="50" t="s">
        <v>14</v>
      </c>
      <c r="O1276" s="48" t="s">
        <v>631</v>
      </c>
      <c r="P1276" s="45" t="s">
        <v>453</v>
      </c>
      <c r="Q1276" s="35" t="str">
        <f>MID(Tabla1[[#This Row],[Aplicación]],14,1)</f>
        <v>6</v>
      </c>
      <c r="R1276" s="35" t="s">
        <v>442</v>
      </c>
      <c r="S1276" s="35" t="str">
        <f>MID(Tabla1[[#This Row],[Aplicación]],6,2)</f>
        <v>08</v>
      </c>
      <c r="T1276" s="35" t="str">
        <f>VLOOKUP(Tabla1[[#This Row],[AREA]],Hoja1!A:B,2,FALSE)</f>
        <v>08. Movilidad y espacio urbano</v>
      </c>
      <c r="U1276" s="35" t="str">
        <f>MID(Tabla1[[#This Row],[Aplicación]],9,4)</f>
        <v>1532</v>
      </c>
      <c r="V1276" s="35" t="str">
        <f>VLOOKUP(Tabla1[[#This Row],[PROGRAMA]],Hoja1!A:B,2,FALSE)</f>
        <v>1532. Pavimentación vias públicas y otros servicios urbanísticos</v>
      </c>
      <c r="W1276" s="35" t="str">
        <f>MID(Tabla1[[#This Row],[Aplicación]],14,2)</f>
        <v>60</v>
      </c>
      <c r="X1276" s="35" t="str">
        <f>MID(Tabla1[[#This Row],[Aplicación]],14,6)</f>
        <v>609</v>
      </c>
    </row>
    <row r="1277" spans="1:24" x14ac:dyDescent="0.25">
      <c r="A1277" s="49">
        <v>220220006721</v>
      </c>
      <c r="B1277" s="50" t="s">
        <v>9</v>
      </c>
      <c r="C1277" s="57">
        <v>44620</v>
      </c>
      <c r="D1277" s="49">
        <v>22021000728</v>
      </c>
      <c r="E1277" s="50" t="s">
        <v>1390</v>
      </c>
      <c r="F1277" s="58">
        <v>9107.5</v>
      </c>
      <c r="G1277" s="50" t="s">
        <v>103</v>
      </c>
      <c r="H1277" s="50" t="s">
        <v>744</v>
      </c>
      <c r="I1277" s="49" t="s">
        <v>107</v>
      </c>
      <c r="J1277" s="50" t="s">
        <v>547</v>
      </c>
      <c r="K1277" s="50" t="s">
        <v>109</v>
      </c>
      <c r="L1277" s="50" t="s">
        <v>12</v>
      </c>
      <c r="M1277" s="50" t="s">
        <v>13</v>
      </c>
      <c r="N1277" s="50" t="s">
        <v>14</v>
      </c>
      <c r="O1277" s="48" t="s">
        <v>631</v>
      </c>
      <c r="P1277" s="45" t="s">
        <v>453</v>
      </c>
      <c r="Q1277" s="35" t="str">
        <f>MID(Tabla1[[#This Row],[Aplicación]],14,1)</f>
        <v>6</v>
      </c>
      <c r="R1277" s="35" t="s">
        <v>442</v>
      </c>
      <c r="S1277" s="35" t="str">
        <f>MID(Tabla1[[#This Row],[Aplicación]],6,2)</f>
        <v>10</v>
      </c>
      <c r="T1277" s="35" t="str">
        <f>VLOOKUP(Tabla1[[#This Row],[AREA]],Hoja1!A:B,2,FALSE)</f>
        <v>10. Servicios sociales y mediación comunitaria</v>
      </c>
      <c r="U1277" s="35" t="str">
        <f>MID(Tabla1[[#This Row],[Aplicación]],9,4)</f>
        <v>2312</v>
      </c>
      <c r="V1277" s="35" t="str">
        <f>VLOOKUP(Tabla1[[#This Row],[PROGRAMA]],Hoja1!A:B,2,FALSE)</f>
        <v>2312. Iniciativas sociales</v>
      </c>
      <c r="W1277" s="35" t="str">
        <f>MID(Tabla1[[#This Row],[Aplicación]],14,2)</f>
        <v>62</v>
      </c>
      <c r="X1277" s="35" t="str">
        <f>MID(Tabla1[[#This Row],[Aplicación]],14,6)</f>
        <v>622</v>
      </c>
    </row>
    <row r="1278" spans="1:24" x14ac:dyDescent="0.25">
      <c r="A1278" s="49">
        <v>220210032809</v>
      </c>
      <c r="B1278" s="50" t="s">
        <v>9</v>
      </c>
      <c r="C1278" s="57">
        <v>44620</v>
      </c>
      <c r="D1278" s="49">
        <v>22021002932</v>
      </c>
      <c r="E1278" s="50" t="s">
        <v>1872</v>
      </c>
      <c r="F1278" s="58">
        <v>1227.3900000000001</v>
      </c>
      <c r="G1278" s="50" t="s">
        <v>103</v>
      </c>
      <c r="H1278" s="50" t="s">
        <v>940</v>
      </c>
      <c r="I1278" s="49" t="s">
        <v>107</v>
      </c>
      <c r="J1278" s="50" t="s">
        <v>547</v>
      </c>
      <c r="K1278" s="50" t="s">
        <v>109</v>
      </c>
      <c r="L1278" s="50" t="s">
        <v>25</v>
      </c>
      <c r="M1278" s="50" t="s">
        <v>13</v>
      </c>
      <c r="N1278" s="50" t="s">
        <v>14</v>
      </c>
      <c r="O1278" s="48" t="s">
        <v>631</v>
      </c>
      <c r="P1278" s="45" t="s">
        <v>453</v>
      </c>
      <c r="Q1278" s="35" t="str">
        <f>MID(Tabla1[[#This Row],[Aplicación]],14,1)</f>
        <v>6</v>
      </c>
      <c r="R1278" s="35" t="s">
        <v>442</v>
      </c>
      <c r="S1278" s="35" t="str">
        <f>MID(Tabla1[[#This Row],[Aplicación]],6,2)</f>
        <v>10</v>
      </c>
      <c r="T1278" s="35" t="str">
        <f>VLOOKUP(Tabla1[[#This Row],[AREA]],Hoja1!A:B,2,FALSE)</f>
        <v>10. Servicios sociales y mediación comunitaria</v>
      </c>
      <c r="U1278" s="35" t="str">
        <f>MID(Tabla1[[#This Row],[Aplicación]],9,4)</f>
        <v>2312</v>
      </c>
      <c r="V1278" s="35" t="str">
        <f>VLOOKUP(Tabla1[[#This Row],[PROGRAMA]],Hoja1!A:B,2,FALSE)</f>
        <v>2312. Iniciativas sociales</v>
      </c>
      <c r="W1278" s="35" t="str">
        <f>MID(Tabla1[[#This Row],[Aplicación]],14,2)</f>
        <v>63</v>
      </c>
      <c r="X1278" s="35" t="str">
        <f>MID(Tabla1[[#This Row],[Aplicación]],14,6)</f>
        <v>632</v>
      </c>
    </row>
    <row r="1279" spans="1:24" x14ac:dyDescent="0.25">
      <c r="A1279" s="49">
        <v>220220006719</v>
      </c>
      <c r="B1279" s="50" t="s">
        <v>9</v>
      </c>
      <c r="C1279" s="57">
        <v>44620</v>
      </c>
      <c r="D1279" s="49">
        <v>22021000725</v>
      </c>
      <c r="E1279" s="50" t="s">
        <v>1424</v>
      </c>
      <c r="F1279" s="58">
        <v>6968.14</v>
      </c>
      <c r="G1279" s="50" t="s">
        <v>103</v>
      </c>
      <c r="H1279" s="50" t="s">
        <v>743</v>
      </c>
      <c r="I1279" s="49" t="s">
        <v>107</v>
      </c>
      <c r="J1279" s="50" t="s">
        <v>547</v>
      </c>
      <c r="K1279" s="50" t="s">
        <v>109</v>
      </c>
      <c r="L1279" s="50" t="s">
        <v>12</v>
      </c>
      <c r="M1279" s="50" t="s">
        <v>13</v>
      </c>
      <c r="N1279" s="50" t="s">
        <v>14</v>
      </c>
      <c r="O1279" s="48" t="s">
        <v>631</v>
      </c>
      <c r="P1279" s="45" t="s">
        <v>453</v>
      </c>
      <c r="Q1279" s="35" t="str">
        <f>MID(Tabla1[[#This Row],[Aplicación]],14,1)</f>
        <v>6</v>
      </c>
      <c r="R1279" s="35" t="s">
        <v>442</v>
      </c>
      <c r="S1279" s="35" t="str">
        <f>MID(Tabla1[[#This Row],[Aplicación]],6,2)</f>
        <v>06</v>
      </c>
      <c r="T1279" s="35" t="str">
        <f>VLOOKUP(Tabla1[[#This Row],[AREA]],Hoja1!A:B,2,FALSE)</f>
        <v>06. Educación, infancia, juventud e igualdad</v>
      </c>
      <c r="U1279" s="35" t="str">
        <f>MID(Tabla1[[#This Row],[Aplicación]],9,4)</f>
        <v>3321</v>
      </c>
      <c r="V1279" s="35" t="str">
        <f>VLOOKUP(Tabla1[[#This Row],[PROGRAMA]],Hoja1!A:B,2,FALSE)</f>
        <v>3321. Bibliotecas públicas</v>
      </c>
      <c r="W1279" s="35" t="str">
        <f>MID(Tabla1[[#This Row],[Aplicación]],14,2)</f>
        <v>62</v>
      </c>
      <c r="X1279" s="35" t="str">
        <f>MID(Tabla1[[#This Row],[Aplicación]],14,6)</f>
        <v>622</v>
      </c>
    </row>
    <row r="1280" spans="1:24" x14ac:dyDescent="0.25">
      <c r="A1280" s="49">
        <v>220220006726</v>
      </c>
      <c r="B1280" s="50" t="s">
        <v>9</v>
      </c>
      <c r="C1280" s="57">
        <v>44562</v>
      </c>
      <c r="D1280" s="49">
        <v>22021000704</v>
      </c>
      <c r="E1280" s="50" t="s">
        <v>1383</v>
      </c>
      <c r="F1280" s="58">
        <v>6914.52</v>
      </c>
      <c r="G1280" s="50" t="s">
        <v>103</v>
      </c>
      <c r="H1280" s="50" t="s">
        <v>557</v>
      </c>
      <c r="I1280" s="49" t="s">
        <v>107</v>
      </c>
      <c r="J1280" s="50" t="s">
        <v>547</v>
      </c>
      <c r="K1280" s="50" t="s">
        <v>109</v>
      </c>
      <c r="L1280" s="50" t="s">
        <v>12</v>
      </c>
      <c r="M1280" s="50" t="s">
        <v>13</v>
      </c>
      <c r="N1280" s="50" t="s">
        <v>14</v>
      </c>
      <c r="O1280" s="48" t="s">
        <v>631</v>
      </c>
      <c r="P1280" s="45" t="s">
        <v>453</v>
      </c>
      <c r="Q1280" s="35" t="str">
        <f>MID(Tabla1[[#This Row],[Aplicación]],14,1)</f>
        <v>6</v>
      </c>
      <c r="R1280" s="35" t="s">
        <v>442</v>
      </c>
      <c r="S1280" s="35" t="str">
        <f>MID(Tabla1[[#This Row],[Aplicación]],6,2)</f>
        <v>08</v>
      </c>
      <c r="T1280" s="35" t="str">
        <f>VLOOKUP(Tabla1[[#This Row],[AREA]],Hoja1!A:B,2,FALSE)</f>
        <v>08. Movilidad y espacio urbano</v>
      </c>
      <c r="U1280" s="35" t="str">
        <f>MID(Tabla1[[#This Row],[Aplicación]],9,4)</f>
        <v>1341</v>
      </c>
      <c r="V1280" s="35" t="str">
        <f>VLOOKUP(Tabla1[[#This Row],[PROGRAMA]],Hoja1!A:B,2,FALSE)</f>
        <v>1341. Movilidad</v>
      </c>
      <c r="W1280" s="35" t="str">
        <f>MID(Tabla1[[#This Row],[Aplicación]],14,2)</f>
        <v>61</v>
      </c>
      <c r="X1280" s="35" t="str">
        <f>MID(Tabla1[[#This Row],[Aplicación]],14,6)</f>
        <v>619</v>
      </c>
    </row>
    <row r="1281" spans="1:24" x14ac:dyDescent="0.25">
      <c r="A1281" s="49">
        <v>220220006742</v>
      </c>
      <c r="B1281" s="50" t="s">
        <v>447</v>
      </c>
      <c r="C1281" s="57">
        <v>44621</v>
      </c>
      <c r="D1281" s="49">
        <v>22021000704</v>
      </c>
      <c r="E1281" s="50" t="s">
        <v>1383</v>
      </c>
      <c r="F1281" s="58">
        <v>-6914.52</v>
      </c>
      <c r="G1281" s="50" t="s">
        <v>103</v>
      </c>
      <c r="H1281" s="50" t="s">
        <v>2712</v>
      </c>
      <c r="I1281" s="49" t="s">
        <v>107</v>
      </c>
      <c r="J1281" s="50" t="s">
        <v>547</v>
      </c>
      <c r="K1281" s="50" t="s">
        <v>109</v>
      </c>
      <c r="L1281" s="50" t="s">
        <v>12</v>
      </c>
      <c r="M1281" s="50" t="s">
        <v>13</v>
      </c>
      <c r="N1281" s="50" t="s">
        <v>14</v>
      </c>
      <c r="O1281" s="48" t="s">
        <v>631</v>
      </c>
      <c r="P1281" s="45" t="s">
        <v>453</v>
      </c>
      <c r="Q1281" s="35" t="str">
        <f>MID(Tabla1[[#This Row],[Aplicación]],14,1)</f>
        <v>6</v>
      </c>
      <c r="R1281" s="35" t="s">
        <v>442</v>
      </c>
      <c r="S1281" s="35" t="str">
        <f>MID(Tabla1[[#This Row],[Aplicación]],6,2)</f>
        <v>08</v>
      </c>
      <c r="T1281" s="35" t="str">
        <f>VLOOKUP(Tabla1[[#This Row],[AREA]],Hoja1!A:B,2,FALSE)</f>
        <v>08. Movilidad y espacio urbano</v>
      </c>
      <c r="U1281" s="35" t="str">
        <f>MID(Tabla1[[#This Row],[Aplicación]],9,4)</f>
        <v>1341</v>
      </c>
      <c r="V1281" s="35" t="str">
        <f>VLOOKUP(Tabla1[[#This Row],[PROGRAMA]],Hoja1!A:B,2,FALSE)</f>
        <v>1341. Movilidad</v>
      </c>
      <c r="W1281" s="35" t="str">
        <f>MID(Tabla1[[#This Row],[Aplicación]],14,2)</f>
        <v>61</v>
      </c>
      <c r="X1281" s="35" t="str">
        <f>MID(Tabla1[[#This Row],[Aplicación]],14,6)</f>
        <v>619</v>
      </c>
    </row>
    <row r="1282" spans="1:24" x14ac:dyDescent="0.25">
      <c r="A1282" s="49">
        <v>220220007935</v>
      </c>
      <c r="B1282" s="50" t="s">
        <v>9</v>
      </c>
      <c r="C1282" s="57">
        <v>44627</v>
      </c>
      <c r="D1282" s="49">
        <v>22022002631</v>
      </c>
      <c r="E1282" s="50" t="s">
        <v>1368</v>
      </c>
      <c r="F1282" s="58">
        <v>6231.5</v>
      </c>
      <c r="G1282" s="50" t="s">
        <v>103</v>
      </c>
      <c r="H1282" s="50" t="s">
        <v>2713</v>
      </c>
      <c r="I1282" s="49" t="s">
        <v>107</v>
      </c>
      <c r="J1282" s="50" t="s">
        <v>547</v>
      </c>
      <c r="K1282" s="50" t="s">
        <v>109</v>
      </c>
      <c r="L1282" s="50" t="s">
        <v>12</v>
      </c>
      <c r="M1282" s="50" t="s">
        <v>10</v>
      </c>
      <c r="N1282" s="50" t="s">
        <v>11</v>
      </c>
      <c r="O1282" s="48" t="s">
        <v>632</v>
      </c>
      <c r="P1282" s="45" t="s">
        <v>453</v>
      </c>
      <c r="Q1282" s="35" t="str">
        <f>MID(Tabla1[[#This Row],[Aplicación]],14,1)</f>
        <v>6</v>
      </c>
      <c r="R1282" s="35" t="s">
        <v>442</v>
      </c>
      <c r="S1282" s="35" t="str">
        <f>MID(Tabla1[[#This Row],[Aplicación]],6,2)</f>
        <v>08</v>
      </c>
      <c r="T1282" s="35" t="str">
        <f>VLOOKUP(Tabla1[[#This Row],[AREA]],Hoja1!A:B,2,FALSE)</f>
        <v>08. Movilidad y espacio urbano</v>
      </c>
      <c r="U1282" s="35" t="str">
        <f>MID(Tabla1[[#This Row],[Aplicación]],9,4)</f>
        <v>1532</v>
      </c>
      <c r="V1282" s="35" t="str">
        <f>VLOOKUP(Tabla1[[#This Row],[PROGRAMA]],Hoja1!A:B,2,FALSE)</f>
        <v>1532. Pavimentación vias públicas y otros servicios urbanísticos</v>
      </c>
      <c r="W1282" s="35" t="str">
        <f>MID(Tabla1[[#This Row],[Aplicación]],14,2)</f>
        <v>61</v>
      </c>
      <c r="X1282" s="35" t="str">
        <f>MID(Tabla1[[#This Row],[Aplicación]],14,6)</f>
        <v>619</v>
      </c>
    </row>
    <row r="1283" spans="1:24" x14ac:dyDescent="0.25">
      <c r="A1283" s="49">
        <v>220209000227</v>
      </c>
      <c r="B1283" s="50" t="s">
        <v>9</v>
      </c>
      <c r="C1283" s="57">
        <v>44562</v>
      </c>
      <c r="D1283" s="49">
        <v>22022000179</v>
      </c>
      <c r="E1283" s="50" t="s">
        <v>1429</v>
      </c>
      <c r="F1283" s="58">
        <v>11966.81</v>
      </c>
      <c r="G1283" s="50" t="s">
        <v>84</v>
      </c>
      <c r="H1283" s="50" t="s">
        <v>732</v>
      </c>
      <c r="I1283" s="49" t="s">
        <v>107</v>
      </c>
      <c r="J1283" s="50" t="s">
        <v>109</v>
      </c>
      <c r="K1283" s="50" t="s">
        <v>109</v>
      </c>
      <c r="L1283" s="50" t="s">
        <v>12</v>
      </c>
      <c r="M1283" s="50" t="s">
        <v>13</v>
      </c>
      <c r="N1283" s="50" t="s">
        <v>16</v>
      </c>
      <c r="O1283" s="48" t="s">
        <v>620</v>
      </c>
      <c r="P1283" s="45" t="s">
        <v>453</v>
      </c>
      <c r="Q1283" s="35" t="str">
        <f>MID(Tabla1[[#This Row],[Aplicación]],14,1)</f>
        <v>2</v>
      </c>
      <c r="R1283" s="35" t="s">
        <v>441</v>
      </c>
      <c r="S1283" s="35" t="str">
        <f>MID(Tabla1[[#This Row],[Aplicación]],6,2)</f>
        <v>06</v>
      </c>
      <c r="T1283" s="35" t="str">
        <f>VLOOKUP(Tabla1[[#This Row],[AREA]],Hoja1!A:B,2,FALSE)</f>
        <v>06. Educación, infancia, juventud e igualdad</v>
      </c>
      <c r="U1283" s="35" t="str">
        <f>MID(Tabla1[[#This Row],[Aplicación]],9,4)</f>
        <v>3231</v>
      </c>
      <c r="V1283" s="35" t="str">
        <f>VLOOKUP(Tabla1[[#This Row],[PROGRAMA]],Hoja1!A:B,2,FALSE)</f>
        <v>3231. Escuelas infantiles</v>
      </c>
      <c r="W1283" s="35" t="str">
        <f>MID(Tabla1[[#This Row],[Aplicación]],14,2)</f>
        <v>22</v>
      </c>
      <c r="X1283" s="35" t="str">
        <f>MID(Tabla1[[#This Row],[Aplicación]],14,6)</f>
        <v>22799</v>
      </c>
    </row>
    <row r="1284" spans="1:24" x14ac:dyDescent="0.25">
      <c r="A1284" s="49">
        <v>220219000312</v>
      </c>
      <c r="B1284" s="50" t="s">
        <v>9</v>
      </c>
      <c r="C1284" s="57">
        <v>44562</v>
      </c>
      <c r="D1284" s="49">
        <v>22022000497</v>
      </c>
      <c r="E1284" s="50" t="s">
        <v>1886</v>
      </c>
      <c r="F1284" s="58">
        <v>7666.56</v>
      </c>
      <c r="G1284" s="50" t="s">
        <v>84</v>
      </c>
      <c r="H1284" s="50" t="s">
        <v>2714</v>
      </c>
      <c r="I1284" s="49" t="s">
        <v>107</v>
      </c>
      <c r="J1284" s="50" t="s">
        <v>109</v>
      </c>
      <c r="K1284" s="50" t="s">
        <v>109</v>
      </c>
      <c r="L1284" s="50" t="s">
        <v>12</v>
      </c>
      <c r="M1284" s="50" t="s">
        <v>13</v>
      </c>
      <c r="N1284" s="50" t="s">
        <v>14</v>
      </c>
      <c r="O1284" s="48" t="s">
        <v>620</v>
      </c>
      <c r="P1284" s="45" t="s">
        <v>453</v>
      </c>
      <c r="Q1284" s="35" t="str">
        <f>MID(Tabla1[[#This Row],[Aplicación]],14,1)</f>
        <v>2</v>
      </c>
      <c r="R1284" s="35" t="s">
        <v>441</v>
      </c>
      <c r="S1284" s="35" t="str">
        <f>MID(Tabla1[[#This Row],[Aplicación]],6,2)</f>
        <v>09</v>
      </c>
      <c r="T1284" s="35" t="str">
        <f>VLOOKUP(Tabla1[[#This Row],[AREA]],Hoja1!A:B,2,FALSE)</f>
        <v>09. Cultura y turismo</v>
      </c>
      <c r="U1284" s="35" t="str">
        <f>MID(Tabla1[[#This Row],[Aplicación]],9,4)</f>
        <v>3341</v>
      </c>
      <c r="V1284" s="35" t="str">
        <f>VLOOKUP(Tabla1[[#This Row],[PROGRAMA]],Hoja1!A:B,2,FALSE)</f>
        <v>3341. Coordinación de políticas culturales</v>
      </c>
      <c r="W1284" s="35" t="str">
        <f>MID(Tabla1[[#This Row],[Aplicación]],14,2)</f>
        <v>22</v>
      </c>
      <c r="X1284" s="35" t="str">
        <f>MID(Tabla1[[#This Row],[Aplicación]],14,6)</f>
        <v>22799</v>
      </c>
    </row>
    <row r="1285" spans="1:24" x14ac:dyDescent="0.25">
      <c r="A1285" s="49">
        <v>220209000698</v>
      </c>
      <c r="B1285" s="50" t="s">
        <v>9</v>
      </c>
      <c r="C1285" s="57">
        <v>44562</v>
      </c>
      <c r="D1285" s="49">
        <v>22022000248</v>
      </c>
      <c r="E1285" s="50" t="s">
        <v>2715</v>
      </c>
      <c r="F1285" s="58">
        <v>6161.09</v>
      </c>
      <c r="G1285" s="50" t="s">
        <v>84</v>
      </c>
      <c r="H1285" s="50" t="s">
        <v>889</v>
      </c>
      <c r="I1285" s="49" t="s">
        <v>107</v>
      </c>
      <c r="J1285" s="50" t="s">
        <v>109</v>
      </c>
      <c r="K1285" s="50" t="s">
        <v>109</v>
      </c>
      <c r="L1285" s="50" t="s">
        <v>12</v>
      </c>
      <c r="M1285" s="50" t="s">
        <v>13</v>
      </c>
      <c r="N1285" s="50" t="s">
        <v>14</v>
      </c>
      <c r="O1285" s="48" t="s">
        <v>620</v>
      </c>
      <c r="P1285" s="45" t="s">
        <v>453</v>
      </c>
      <c r="Q1285" s="35" t="str">
        <f>MID(Tabla1[[#This Row],[Aplicación]],14,1)</f>
        <v>2</v>
      </c>
      <c r="R1285" s="35" t="s">
        <v>441</v>
      </c>
      <c r="S1285" s="35" t="str">
        <f>MID(Tabla1[[#This Row],[Aplicación]],6,2)</f>
        <v>08</v>
      </c>
      <c r="T1285" s="35" t="str">
        <f>VLOOKUP(Tabla1[[#This Row],[AREA]],Hoja1!A:B,2,FALSE)</f>
        <v>08. Movilidad y espacio urbano</v>
      </c>
      <c r="U1285" s="35" t="str">
        <f>MID(Tabla1[[#This Row],[Aplicación]],9,4)</f>
        <v>1532</v>
      </c>
      <c r="V1285" s="35" t="str">
        <f>VLOOKUP(Tabla1[[#This Row],[PROGRAMA]],Hoja1!A:B,2,FALSE)</f>
        <v>1532. Pavimentación vias públicas y otros servicios urbanísticos</v>
      </c>
      <c r="W1285" s="35" t="str">
        <f>MID(Tabla1[[#This Row],[Aplicación]],14,2)</f>
        <v>22</v>
      </c>
      <c r="X1285" s="35" t="str">
        <f>MID(Tabla1[[#This Row],[Aplicación]],14,6)</f>
        <v>22700</v>
      </c>
    </row>
    <row r="1286" spans="1:24" x14ac:dyDescent="0.25">
      <c r="A1286" s="49">
        <v>220209000539</v>
      </c>
      <c r="B1286" s="50" t="s">
        <v>9</v>
      </c>
      <c r="C1286" s="57">
        <v>44562</v>
      </c>
      <c r="D1286" s="49">
        <v>22022002097</v>
      </c>
      <c r="E1286" s="50" t="s">
        <v>1676</v>
      </c>
      <c r="F1286" s="58">
        <v>6473.98</v>
      </c>
      <c r="G1286" s="50" t="s">
        <v>188</v>
      </c>
      <c r="H1286" s="50" t="s">
        <v>704</v>
      </c>
      <c r="I1286" s="49" t="s">
        <v>107</v>
      </c>
      <c r="J1286" s="50" t="s">
        <v>544</v>
      </c>
      <c r="K1286" s="50" t="s">
        <v>109</v>
      </c>
      <c r="L1286" s="50" t="s">
        <v>12</v>
      </c>
      <c r="M1286" s="50" t="s">
        <v>23</v>
      </c>
      <c r="N1286" s="50" t="s">
        <v>11</v>
      </c>
      <c r="O1286" s="48" t="s">
        <v>622</v>
      </c>
      <c r="P1286" s="45" t="s">
        <v>453</v>
      </c>
      <c r="Q1286" s="35" t="str">
        <f>MID(Tabla1[[#This Row],[Aplicación]],14,1)</f>
        <v>6</v>
      </c>
      <c r="R1286" s="35" t="s">
        <v>442</v>
      </c>
      <c r="S1286" s="35" t="str">
        <f>MID(Tabla1[[#This Row],[Aplicación]],6,2)</f>
        <v>04</v>
      </c>
      <c r="T1286" s="35" t="str">
        <f>VLOOKUP(Tabla1[[#This Row],[AREA]],Hoja1!A:B,2,FALSE)</f>
        <v>04. Planificación y recursos</v>
      </c>
      <c r="U1286" s="35" t="str">
        <f>MID(Tabla1[[#This Row],[Aplicación]],9,4)</f>
        <v>9204</v>
      </c>
      <c r="V1286" s="35" t="str">
        <f>VLOOKUP(Tabla1[[#This Row],[PROGRAMA]],Hoja1!A:B,2,FALSE)</f>
        <v>9204. Tecnologías de la información y comunicación</v>
      </c>
      <c r="W1286" s="35" t="str">
        <f>MID(Tabla1[[#This Row],[Aplicación]],14,2)</f>
        <v>64</v>
      </c>
      <c r="X1286" s="35" t="str">
        <f>MID(Tabla1[[#This Row],[Aplicación]],14,6)</f>
        <v>641</v>
      </c>
    </row>
    <row r="1287" spans="1:24" x14ac:dyDescent="0.25">
      <c r="A1287" s="49">
        <v>220220001600</v>
      </c>
      <c r="B1287" s="50" t="s">
        <v>9</v>
      </c>
      <c r="C1287" s="57">
        <v>44587</v>
      </c>
      <c r="D1287" s="49">
        <v>22022001363</v>
      </c>
      <c r="E1287" s="50" t="s">
        <v>2694</v>
      </c>
      <c r="F1287" s="58">
        <v>5469.61</v>
      </c>
      <c r="G1287" s="50" t="s">
        <v>84</v>
      </c>
      <c r="H1287" s="50" t="s">
        <v>2697</v>
      </c>
      <c r="I1287" s="49" t="s">
        <v>107</v>
      </c>
      <c r="J1287" s="50" t="s">
        <v>109</v>
      </c>
      <c r="K1287" s="50" t="s">
        <v>109</v>
      </c>
      <c r="L1287" s="50" t="s">
        <v>12</v>
      </c>
      <c r="M1287" s="50" t="s">
        <v>13</v>
      </c>
      <c r="N1287" s="50" t="s">
        <v>14</v>
      </c>
      <c r="O1287" s="48" t="s">
        <v>620</v>
      </c>
      <c r="P1287" s="45" t="s">
        <v>453</v>
      </c>
      <c r="Q1287" s="35" t="str">
        <f>MID(Tabla1[[#This Row],[Aplicación]],14,1)</f>
        <v>2</v>
      </c>
      <c r="R1287" s="35" t="s">
        <v>441</v>
      </c>
      <c r="S1287" s="35" t="str">
        <f>MID(Tabla1[[#This Row],[Aplicación]],6,2)</f>
        <v>10</v>
      </c>
      <c r="T1287" s="35" t="str">
        <f>VLOOKUP(Tabla1[[#This Row],[AREA]],Hoja1!A:B,2,FALSE)</f>
        <v>10. Servicios sociales y mediación comunitaria</v>
      </c>
      <c r="U1287" s="35" t="str">
        <f>MID(Tabla1[[#This Row],[Aplicación]],9,4)</f>
        <v>2412</v>
      </c>
      <c r="V1287" s="35" t="str">
        <f>VLOOKUP(Tabla1[[#This Row],[PROGRAMA]],Hoja1!A:B,2,FALSE)</f>
        <v>2412. Formación para el empleo</v>
      </c>
      <c r="W1287" s="35" t="str">
        <f>MID(Tabla1[[#This Row],[Aplicación]],14,2)</f>
        <v>22</v>
      </c>
      <c r="X1287" s="35" t="str">
        <f>MID(Tabla1[[#This Row],[Aplicación]],14,6)</f>
        <v>22700</v>
      </c>
    </row>
    <row r="1288" spans="1:24" x14ac:dyDescent="0.25">
      <c r="A1288" s="49">
        <v>220209000212</v>
      </c>
      <c r="B1288" s="50" t="s">
        <v>9</v>
      </c>
      <c r="C1288" s="57">
        <v>44562</v>
      </c>
      <c r="D1288" s="49">
        <v>22022000177</v>
      </c>
      <c r="E1288" s="50" t="s">
        <v>1673</v>
      </c>
      <c r="F1288" s="58">
        <v>4072.32</v>
      </c>
      <c r="G1288" s="50" t="s">
        <v>84</v>
      </c>
      <c r="H1288" s="50" t="s">
        <v>730</v>
      </c>
      <c r="I1288" s="49" t="s">
        <v>107</v>
      </c>
      <c r="J1288" s="50" t="s">
        <v>109</v>
      </c>
      <c r="K1288" s="50" t="s">
        <v>109</v>
      </c>
      <c r="L1288" s="50" t="s">
        <v>12</v>
      </c>
      <c r="M1288" s="50" t="s">
        <v>13</v>
      </c>
      <c r="N1288" s="50" t="s">
        <v>14</v>
      </c>
      <c r="O1288" s="48" t="s">
        <v>620</v>
      </c>
      <c r="P1288" s="45" t="s">
        <v>453</v>
      </c>
      <c r="Q1288" s="35" t="str">
        <f>MID(Tabla1[[#This Row],[Aplicación]],14,1)</f>
        <v>2</v>
      </c>
      <c r="R1288" s="35" t="s">
        <v>441</v>
      </c>
      <c r="S1288" s="35" t="str">
        <f>MID(Tabla1[[#This Row],[Aplicación]],6,2)</f>
        <v>06</v>
      </c>
      <c r="T1288" s="35" t="str">
        <f>VLOOKUP(Tabla1[[#This Row],[AREA]],Hoja1!A:B,2,FALSE)</f>
        <v>06. Educación, infancia, juventud e igualdad</v>
      </c>
      <c r="U1288" s="35" t="str">
        <f>MID(Tabla1[[#This Row],[Aplicación]],9,4)</f>
        <v>2315</v>
      </c>
      <c r="V1288" s="35" t="str">
        <f>VLOOKUP(Tabla1[[#This Row],[PROGRAMA]],Hoja1!A:B,2,FALSE)</f>
        <v>2315. Políticas de Igualdad e infancia</v>
      </c>
      <c r="W1288" s="35" t="str">
        <f>MID(Tabla1[[#This Row],[Aplicación]],14,2)</f>
        <v>22</v>
      </c>
      <c r="X1288" s="35" t="str">
        <f>MID(Tabla1[[#This Row],[Aplicación]],14,6)</f>
        <v>22799</v>
      </c>
    </row>
    <row r="1289" spans="1:24" x14ac:dyDescent="0.25">
      <c r="A1289" s="49">
        <v>220220001600</v>
      </c>
      <c r="B1289" s="50" t="s">
        <v>9</v>
      </c>
      <c r="C1289" s="57">
        <v>44587</v>
      </c>
      <c r="D1289" s="49">
        <v>22022001361</v>
      </c>
      <c r="E1289" s="50" t="s">
        <v>2694</v>
      </c>
      <c r="F1289" s="58">
        <v>3337.88</v>
      </c>
      <c r="G1289" s="50" t="s">
        <v>84</v>
      </c>
      <c r="H1289" s="50" t="s">
        <v>2697</v>
      </c>
      <c r="I1289" s="49" t="s">
        <v>107</v>
      </c>
      <c r="J1289" s="50" t="s">
        <v>109</v>
      </c>
      <c r="K1289" s="50" t="s">
        <v>109</v>
      </c>
      <c r="L1289" s="50" t="s">
        <v>12</v>
      </c>
      <c r="M1289" s="50" t="s">
        <v>13</v>
      </c>
      <c r="N1289" s="50" t="s">
        <v>14</v>
      </c>
      <c r="O1289" s="48" t="s">
        <v>620</v>
      </c>
      <c r="P1289" s="45" t="s">
        <v>453</v>
      </c>
      <c r="Q1289" s="35" t="str">
        <f>MID(Tabla1[[#This Row],[Aplicación]],14,1)</f>
        <v>2</v>
      </c>
      <c r="R1289" s="35" t="s">
        <v>441</v>
      </c>
      <c r="S1289" s="35" t="str">
        <f>MID(Tabla1[[#This Row],[Aplicación]],6,2)</f>
        <v>10</v>
      </c>
      <c r="T1289" s="35" t="str">
        <f>VLOOKUP(Tabla1[[#This Row],[AREA]],Hoja1!A:B,2,FALSE)</f>
        <v>10. Servicios sociales y mediación comunitaria</v>
      </c>
      <c r="U1289" s="35" t="str">
        <f>MID(Tabla1[[#This Row],[Aplicación]],9,4)</f>
        <v>2412</v>
      </c>
      <c r="V1289" s="35" t="str">
        <f>VLOOKUP(Tabla1[[#This Row],[PROGRAMA]],Hoja1!A:B,2,FALSE)</f>
        <v>2412. Formación para el empleo</v>
      </c>
      <c r="W1289" s="35" t="str">
        <f>MID(Tabla1[[#This Row],[Aplicación]],14,2)</f>
        <v>22</v>
      </c>
      <c r="X1289" s="35" t="str">
        <f>MID(Tabla1[[#This Row],[Aplicación]],14,6)</f>
        <v>22700</v>
      </c>
    </row>
    <row r="1290" spans="1:24" x14ac:dyDescent="0.25">
      <c r="A1290" s="49">
        <v>220220001600</v>
      </c>
      <c r="B1290" s="50" t="s">
        <v>9</v>
      </c>
      <c r="C1290" s="57">
        <v>44587</v>
      </c>
      <c r="D1290" s="49">
        <v>22022000253</v>
      </c>
      <c r="E1290" s="50" t="s">
        <v>2694</v>
      </c>
      <c r="F1290" s="58">
        <v>3219.17</v>
      </c>
      <c r="G1290" s="50" t="s">
        <v>84</v>
      </c>
      <c r="H1290" s="50" t="s">
        <v>2697</v>
      </c>
      <c r="I1290" s="49" t="s">
        <v>107</v>
      </c>
      <c r="J1290" s="50" t="s">
        <v>109</v>
      </c>
      <c r="K1290" s="50" t="s">
        <v>109</v>
      </c>
      <c r="L1290" s="50" t="s">
        <v>12</v>
      </c>
      <c r="M1290" s="50" t="s">
        <v>13</v>
      </c>
      <c r="N1290" s="50" t="s">
        <v>14</v>
      </c>
      <c r="O1290" s="48" t="s">
        <v>620</v>
      </c>
      <c r="P1290" s="45" t="s">
        <v>453</v>
      </c>
      <c r="Q1290" s="35" t="str">
        <f>MID(Tabla1[[#This Row],[Aplicación]],14,1)</f>
        <v>2</v>
      </c>
      <c r="R1290" s="35" t="s">
        <v>441</v>
      </c>
      <c r="S1290" s="35" t="str">
        <f>MID(Tabla1[[#This Row],[Aplicación]],6,2)</f>
        <v>10</v>
      </c>
      <c r="T1290" s="35" t="str">
        <f>VLOOKUP(Tabla1[[#This Row],[AREA]],Hoja1!A:B,2,FALSE)</f>
        <v>10. Servicios sociales y mediación comunitaria</v>
      </c>
      <c r="U1290" s="35" t="str">
        <f>MID(Tabla1[[#This Row],[Aplicación]],9,4)</f>
        <v>2412</v>
      </c>
      <c r="V1290" s="35" t="str">
        <f>VLOOKUP(Tabla1[[#This Row],[PROGRAMA]],Hoja1!A:B,2,FALSE)</f>
        <v>2412. Formación para el empleo</v>
      </c>
      <c r="W1290" s="35" t="str">
        <f>MID(Tabla1[[#This Row],[Aplicación]],14,2)</f>
        <v>22</v>
      </c>
      <c r="X1290" s="35" t="str">
        <f>MID(Tabla1[[#This Row],[Aplicación]],14,6)</f>
        <v>22700</v>
      </c>
    </row>
    <row r="1291" spans="1:24" x14ac:dyDescent="0.25">
      <c r="A1291" s="49">
        <v>220209000651</v>
      </c>
      <c r="B1291" s="50" t="s">
        <v>9</v>
      </c>
      <c r="C1291" s="57">
        <v>44562</v>
      </c>
      <c r="D1291" s="49">
        <v>22022000224</v>
      </c>
      <c r="E1291" s="50" t="s">
        <v>2716</v>
      </c>
      <c r="F1291" s="58">
        <v>1087.25</v>
      </c>
      <c r="G1291" s="50" t="s">
        <v>84</v>
      </c>
      <c r="H1291" s="50" t="s">
        <v>866</v>
      </c>
      <c r="I1291" s="49" t="s">
        <v>107</v>
      </c>
      <c r="J1291" s="50" t="s">
        <v>109</v>
      </c>
      <c r="K1291" s="50" t="s">
        <v>109</v>
      </c>
      <c r="L1291" s="50" t="s">
        <v>12</v>
      </c>
      <c r="M1291" s="50" t="s">
        <v>13</v>
      </c>
      <c r="N1291" s="50" t="s">
        <v>14</v>
      </c>
      <c r="O1291" s="48" t="s">
        <v>620</v>
      </c>
      <c r="P1291" s="45" t="s">
        <v>453</v>
      </c>
      <c r="Q1291" s="35" t="str">
        <f>MID(Tabla1[[#This Row],[Aplicación]],14,1)</f>
        <v>2</v>
      </c>
      <c r="R1291" s="35" t="s">
        <v>441</v>
      </c>
      <c r="S1291" s="35" t="str">
        <f>MID(Tabla1[[#This Row],[Aplicación]],6,2)</f>
        <v>08</v>
      </c>
      <c r="T1291" s="35" t="str">
        <f>VLOOKUP(Tabla1[[#This Row],[AREA]],Hoja1!A:B,2,FALSE)</f>
        <v>08. Movilidad y espacio urbano</v>
      </c>
      <c r="U1291" s="35" t="str">
        <f>MID(Tabla1[[#This Row],[Aplicación]],9,4)</f>
        <v>1651</v>
      </c>
      <c r="V1291" s="35" t="str">
        <f>VLOOKUP(Tabla1[[#This Row],[PROGRAMA]],Hoja1!A:B,2,FALSE)</f>
        <v>1651. Alumbrado público</v>
      </c>
      <c r="W1291" s="35" t="str">
        <f>MID(Tabla1[[#This Row],[Aplicación]],14,2)</f>
        <v>22</v>
      </c>
      <c r="X1291" s="35" t="str">
        <f>MID(Tabla1[[#This Row],[Aplicación]],14,6)</f>
        <v>22700</v>
      </c>
    </row>
    <row r="1292" spans="1:24" x14ac:dyDescent="0.25">
      <c r="A1292" s="49">
        <v>220220001599</v>
      </c>
      <c r="B1292" s="50" t="s">
        <v>447</v>
      </c>
      <c r="C1292" s="57">
        <v>44587</v>
      </c>
      <c r="D1292" s="49">
        <v>22022000253</v>
      </c>
      <c r="E1292" s="50" t="s">
        <v>2694</v>
      </c>
      <c r="F1292" s="58">
        <v>-25193.72</v>
      </c>
      <c r="G1292" s="50" t="s">
        <v>84</v>
      </c>
      <c r="H1292" s="50" t="s">
        <v>877</v>
      </c>
      <c r="I1292" s="49" t="s">
        <v>107</v>
      </c>
      <c r="J1292" s="50" t="s">
        <v>109</v>
      </c>
      <c r="K1292" s="50" t="s">
        <v>109</v>
      </c>
      <c r="L1292" s="50" t="s">
        <v>12</v>
      </c>
      <c r="M1292" s="50" t="s">
        <v>13</v>
      </c>
      <c r="N1292" s="50" t="s">
        <v>14</v>
      </c>
      <c r="O1292" s="48" t="s">
        <v>620</v>
      </c>
      <c r="P1292" s="45" t="s">
        <v>453</v>
      </c>
      <c r="Q1292" s="35" t="str">
        <f>MID(Tabla1[[#This Row],[Aplicación]],14,1)</f>
        <v>2</v>
      </c>
      <c r="R1292" s="35" t="s">
        <v>441</v>
      </c>
      <c r="S1292" s="35" t="str">
        <f>MID(Tabla1[[#This Row],[Aplicación]],6,2)</f>
        <v>10</v>
      </c>
      <c r="T1292" s="35" t="str">
        <f>VLOOKUP(Tabla1[[#This Row],[AREA]],Hoja1!A:B,2,FALSE)</f>
        <v>10. Servicios sociales y mediación comunitaria</v>
      </c>
      <c r="U1292" s="35" t="str">
        <f>MID(Tabla1[[#This Row],[Aplicación]],9,4)</f>
        <v>2412</v>
      </c>
      <c r="V1292" s="35" t="str">
        <f>VLOOKUP(Tabla1[[#This Row],[PROGRAMA]],Hoja1!A:B,2,FALSE)</f>
        <v>2412. Formación para el empleo</v>
      </c>
      <c r="W1292" s="35" t="str">
        <f>MID(Tabla1[[#This Row],[Aplicación]],14,2)</f>
        <v>22</v>
      </c>
      <c r="X1292" s="35" t="str">
        <f>MID(Tabla1[[#This Row],[Aplicación]],14,6)</f>
        <v>22700</v>
      </c>
    </row>
    <row r="1293" spans="1:24" x14ac:dyDescent="0.25">
      <c r="A1293" s="49">
        <v>220209000854</v>
      </c>
      <c r="B1293" s="50" t="s">
        <v>9</v>
      </c>
      <c r="C1293" s="57">
        <v>44620</v>
      </c>
      <c r="D1293" s="49">
        <v>22021001893</v>
      </c>
      <c r="E1293" s="50" t="s">
        <v>1368</v>
      </c>
      <c r="F1293" s="58">
        <v>5047.0600000000004</v>
      </c>
      <c r="G1293" s="50" t="s">
        <v>102</v>
      </c>
      <c r="H1293" s="50" t="s">
        <v>748</v>
      </c>
      <c r="I1293" s="49" t="s">
        <v>107</v>
      </c>
      <c r="J1293" s="50" t="s">
        <v>108</v>
      </c>
      <c r="K1293" s="50" t="s">
        <v>108</v>
      </c>
      <c r="L1293" s="50" t="s">
        <v>12</v>
      </c>
      <c r="M1293" s="50" t="s">
        <v>13</v>
      </c>
      <c r="N1293" s="50" t="s">
        <v>14</v>
      </c>
      <c r="O1293" s="48" t="s">
        <v>620</v>
      </c>
      <c r="P1293" s="45" t="s">
        <v>453</v>
      </c>
      <c r="Q1293" s="35" t="str">
        <f>MID(Tabla1[[#This Row],[Aplicación]],14,1)</f>
        <v>6</v>
      </c>
      <c r="R1293" s="35" t="s">
        <v>442</v>
      </c>
      <c r="S1293" s="35" t="str">
        <f>MID(Tabla1[[#This Row],[Aplicación]],6,2)</f>
        <v>08</v>
      </c>
      <c r="T1293" s="35" t="str">
        <f>VLOOKUP(Tabla1[[#This Row],[AREA]],Hoja1!A:B,2,FALSE)</f>
        <v>08. Movilidad y espacio urbano</v>
      </c>
      <c r="U1293" s="35" t="str">
        <f>MID(Tabla1[[#This Row],[Aplicación]],9,4)</f>
        <v>1532</v>
      </c>
      <c r="V1293" s="35" t="str">
        <f>VLOOKUP(Tabla1[[#This Row],[PROGRAMA]],Hoja1!A:B,2,FALSE)</f>
        <v>1532. Pavimentación vias públicas y otros servicios urbanísticos</v>
      </c>
      <c r="W1293" s="35" t="str">
        <f>MID(Tabla1[[#This Row],[Aplicación]],14,2)</f>
        <v>61</v>
      </c>
      <c r="X1293" s="35" t="str">
        <f>MID(Tabla1[[#This Row],[Aplicación]],14,6)</f>
        <v>619</v>
      </c>
    </row>
    <row r="1294" spans="1:24" x14ac:dyDescent="0.25">
      <c r="A1294" s="49">
        <v>220220008633</v>
      </c>
      <c r="B1294" s="50" t="s">
        <v>9</v>
      </c>
      <c r="C1294" s="57">
        <v>44631</v>
      </c>
      <c r="D1294" s="49">
        <v>22022002733</v>
      </c>
      <c r="E1294" s="50" t="s">
        <v>1765</v>
      </c>
      <c r="F1294" s="58">
        <v>100.34</v>
      </c>
      <c r="G1294" s="50" t="s">
        <v>74</v>
      </c>
      <c r="H1294" s="50" t="s">
        <v>2717</v>
      </c>
      <c r="I1294" s="49" t="s">
        <v>107</v>
      </c>
      <c r="J1294" s="50" t="s">
        <v>109</v>
      </c>
      <c r="K1294" s="50" t="s">
        <v>109</v>
      </c>
      <c r="L1294" s="50" t="s">
        <v>15</v>
      </c>
      <c r="M1294" s="50" t="s">
        <v>10</v>
      </c>
      <c r="N1294" s="50" t="s">
        <v>11</v>
      </c>
      <c r="O1294" s="48" t="s">
        <v>632</v>
      </c>
      <c r="P1294" s="45" t="s">
        <v>453</v>
      </c>
      <c r="Q1294" s="35" t="str">
        <f>MID(Tabla1[[#This Row],[Aplicación]],14,1)</f>
        <v>2</v>
      </c>
      <c r="R1294" s="35" t="s">
        <v>441</v>
      </c>
      <c r="S1294" s="35" t="str">
        <f>MID(Tabla1[[#This Row],[Aplicación]],6,2)</f>
        <v>11</v>
      </c>
      <c r="T1294" s="35" t="str">
        <f>VLOOKUP(Tabla1[[#This Row],[AREA]],Hoja1!A:B,2,FALSE)</f>
        <v>11. Salud pública y seguridad ciudadana</v>
      </c>
      <c r="U1294" s="35" t="str">
        <f>MID(Tabla1[[#This Row],[Aplicación]],9,4)</f>
        <v>1321</v>
      </c>
      <c r="V1294" s="35" t="str">
        <f>VLOOKUP(Tabla1[[#This Row],[PROGRAMA]],Hoja1!A:B,2,FALSE)</f>
        <v>1321. Policía municipal</v>
      </c>
      <c r="W1294" s="35" t="str">
        <f>MID(Tabla1[[#This Row],[Aplicación]],14,2)</f>
        <v>22</v>
      </c>
      <c r="X1294" s="35" t="str">
        <f>MID(Tabla1[[#This Row],[Aplicación]],14,6)</f>
        <v>22699</v>
      </c>
    </row>
    <row r="1295" spans="1:24" x14ac:dyDescent="0.25">
      <c r="A1295" s="49">
        <v>220220003485</v>
      </c>
      <c r="B1295" s="50" t="s">
        <v>9</v>
      </c>
      <c r="C1295" s="57">
        <v>44606</v>
      </c>
      <c r="D1295" s="49">
        <v>22022001968</v>
      </c>
      <c r="E1295" s="50" t="s">
        <v>1653</v>
      </c>
      <c r="F1295" s="58">
        <v>98.19</v>
      </c>
      <c r="G1295" s="50" t="s">
        <v>74</v>
      </c>
      <c r="H1295" s="50" t="s">
        <v>2718</v>
      </c>
      <c r="I1295" s="49" t="s">
        <v>107</v>
      </c>
      <c r="J1295" s="50" t="s">
        <v>109</v>
      </c>
      <c r="K1295" s="50" t="s">
        <v>109</v>
      </c>
      <c r="L1295" s="50" t="s">
        <v>15</v>
      </c>
      <c r="M1295" s="50" t="s">
        <v>10</v>
      </c>
      <c r="N1295" s="50" t="s">
        <v>11</v>
      </c>
      <c r="O1295" s="48" t="s">
        <v>632</v>
      </c>
      <c r="P1295" s="45" t="s">
        <v>453</v>
      </c>
      <c r="Q1295" s="35" t="str">
        <f>MID(Tabla1[[#This Row],[Aplicación]],14,1)</f>
        <v>2</v>
      </c>
      <c r="R1295" s="35" t="s">
        <v>441</v>
      </c>
      <c r="S1295" s="35" t="str">
        <f>MID(Tabla1[[#This Row],[Aplicación]],6,2)</f>
        <v>10</v>
      </c>
      <c r="T1295" s="35" t="str">
        <f>VLOOKUP(Tabla1[[#This Row],[AREA]],Hoja1!A:B,2,FALSE)</f>
        <v>10. Servicios sociales y mediación comunitaria</v>
      </c>
      <c r="U1295" s="35" t="str">
        <f>MID(Tabla1[[#This Row],[Aplicación]],9,4)</f>
        <v>2311</v>
      </c>
      <c r="V1295" s="35" t="str">
        <f>VLOOKUP(Tabla1[[#This Row],[PROGRAMA]],Hoja1!A:B,2,FALSE)</f>
        <v>2311. Intervención social</v>
      </c>
      <c r="W1295" s="35" t="str">
        <f>MID(Tabla1[[#This Row],[Aplicación]],14,2)</f>
        <v>21</v>
      </c>
      <c r="X1295" s="35" t="str">
        <f>MID(Tabla1[[#This Row],[Aplicación]],14,6)</f>
        <v>212</v>
      </c>
    </row>
    <row r="1296" spans="1:24" x14ac:dyDescent="0.25">
      <c r="A1296" s="49">
        <v>220220000124</v>
      </c>
      <c r="B1296" s="50" t="s">
        <v>9</v>
      </c>
      <c r="C1296" s="57">
        <v>44582</v>
      </c>
      <c r="D1296" s="49">
        <v>22022001266</v>
      </c>
      <c r="E1296" s="50" t="s">
        <v>1635</v>
      </c>
      <c r="F1296" s="58">
        <v>74.400000000000006</v>
      </c>
      <c r="G1296" s="50" t="s">
        <v>74</v>
      </c>
      <c r="H1296" s="50" t="s">
        <v>2719</v>
      </c>
      <c r="I1296" s="49" t="s">
        <v>107</v>
      </c>
      <c r="J1296" s="50" t="s">
        <v>109</v>
      </c>
      <c r="K1296" s="50" t="s">
        <v>109</v>
      </c>
      <c r="L1296" s="50" t="s">
        <v>15</v>
      </c>
      <c r="M1296" s="50" t="s">
        <v>10</v>
      </c>
      <c r="N1296" s="50" t="s">
        <v>11</v>
      </c>
      <c r="O1296" s="48" t="s">
        <v>632</v>
      </c>
      <c r="P1296" s="45" t="s">
        <v>453</v>
      </c>
      <c r="Q1296" s="35" t="str">
        <f>MID(Tabla1[[#This Row],[Aplicación]],14,1)</f>
        <v>2</v>
      </c>
      <c r="R1296" s="35" t="s">
        <v>441</v>
      </c>
      <c r="S1296" s="35" t="str">
        <f>MID(Tabla1[[#This Row],[Aplicación]],6,2)</f>
        <v>03</v>
      </c>
      <c r="T1296" s="35" t="str">
        <f>VLOOKUP(Tabla1[[#This Row],[AREA]],Hoja1!A:B,2,FALSE)</f>
        <v>03. Participación ciudadana y deportes</v>
      </c>
      <c r="U1296" s="35" t="str">
        <f>MID(Tabla1[[#This Row],[Aplicación]],9,4)</f>
        <v>9241</v>
      </c>
      <c r="V1296" s="35" t="str">
        <f>VLOOKUP(Tabla1[[#This Row],[PROGRAMA]],Hoja1!A:B,2,FALSE)</f>
        <v>9241. Participación ciudadana</v>
      </c>
      <c r="W1296" s="35" t="str">
        <f>MID(Tabla1[[#This Row],[Aplicación]],14,2)</f>
        <v>21</v>
      </c>
      <c r="X1296" s="35" t="str">
        <f>MID(Tabla1[[#This Row],[Aplicación]],14,6)</f>
        <v>212</v>
      </c>
    </row>
    <row r="1297" spans="1:24" x14ac:dyDescent="0.25">
      <c r="A1297" s="49">
        <v>220220003486</v>
      </c>
      <c r="B1297" s="50" t="s">
        <v>9</v>
      </c>
      <c r="C1297" s="57">
        <v>44606</v>
      </c>
      <c r="D1297" s="49">
        <v>22022001969</v>
      </c>
      <c r="E1297" s="50" t="s">
        <v>1653</v>
      </c>
      <c r="F1297" s="58">
        <v>52.37</v>
      </c>
      <c r="G1297" s="50" t="s">
        <v>74</v>
      </c>
      <c r="H1297" s="50" t="s">
        <v>2720</v>
      </c>
      <c r="I1297" s="49" t="s">
        <v>107</v>
      </c>
      <c r="J1297" s="50" t="s">
        <v>109</v>
      </c>
      <c r="K1297" s="50" t="s">
        <v>109</v>
      </c>
      <c r="L1297" s="50" t="s">
        <v>15</v>
      </c>
      <c r="M1297" s="50" t="s">
        <v>10</v>
      </c>
      <c r="N1297" s="50" t="s">
        <v>11</v>
      </c>
      <c r="O1297" s="48" t="s">
        <v>632</v>
      </c>
      <c r="P1297" s="45" t="s">
        <v>453</v>
      </c>
      <c r="Q1297" s="35" t="str">
        <f>MID(Tabla1[[#This Row],[Aplicación]],14,1)</f>
        <v>2</v>
      </c>
      <c r="R1297" s="35" t="s">
        <v>441</v>
      </c>
      <c r="S1297" s="35" t="str">
        <f>MID(Tabla1[[#This Row],[Aplicación]],6,2)</f>
        <v>10</v>
      </c>
      <c r="T1297" s="35" t="str">
        <f>VLOOKUP(Tabla1[[#This Row],[AREA]],Hoja1!A:B,2,FALSE)</f>
        <v>10. Servicios sociales y mediación comunitaria</v>
      </c>
      <c r="U1297" s="35" t="str">
        <f>MID(Tabla1[[#This Row],[Aplicación]],9,4)</f>
        <v>2311</v>
      </c>
      <c r="V1297" s="35" t="str">
        <f>VLOOKUP(Tabla1[[#This Row],[PROGRAMA]],Hoja1!A:B,2,FALSE)</f>
        <v>2311. Intervención social</v>
      </c>
      <c r="W1297" s="35" t="str">
        <f>MID(Tabla1[[#This Row],[Aplicación]],14,2)</f>
        <v>21</v>
      </c>
      <c r="X1297" s="35" t="str">
        <f>MID(Tabla1[[#This Row],[Aplicación]],14,6)</f>
        <v>212</v>
      </c>
    </row>
    <row r="1298" spans="1:24" x14ac:dyDescent="0.25">
      <c r="A1298" s="49">
        <v>220220008288</v>
      </c>
      <c r="B1298" s="50" t="s">
        <v>9</v>
      </c>
      <c r="C1298" s="57">
        <v>44630</v>
      </c>
      <c r="D1298" s="49">
        <v>22022002737</v>
      </c>
      <c r="E1298" s="50" t="s">
        <v>2036</v>
      </c>
      <c r="F1298" s="58">
        <v>44.24</v>
      </c>
      <c r="G1298" s="50" t="s">
        <v>74</v>
      </c>
      <c r="H1298" s="50" t="s">
        <v>2721</v>
      </c>
      <c r="I1298" s="49" t="s">
        <v>107</v>
      </c>
      <c r="J1298" s="50" t="s">
        <v>109</v>
      </c>
      <c r="K1298" s="50" t="s">
        <v>109</v>
      </c>
      <c r="L1298" s="50" t="s">
        <v>15</v>
      </c>
      <c r="M1298" s="50" t="s">
        <v>10</v>
      </c>
      <c r="N1298" s="50" t="s">
        <v>11</v>
      </c>
      <c r="O1298" s="48" t="s">
        <v>632</v>
      </c>
      <c r="P1298" s="45" t="s">
        <v>453</v>
      </c>
      <c r="Q1298" s="35" t="str">
        <f>MID(Tabla1[[#This Row],[Aplicación]],14,1)</f>
        <v>2</v>
      </c>
      <c r="R1298" s="35" t="s">
        <v>441</v>
      </c>
      <c r="S1298" s="35" t="str">
        <f>MID(Tabla1[[#This Row],[Aplicación]],6,2)</f>
        <v>11</v>
      </c>
      <c r="T1298" s="35" t="str">
        <f>VLOOKUP(Tabla1[[#This Row],[AREA]],Hoja1!A:B,2,FALSE)</f>
        <v>11. Salud pública y seguridad ciudadana</v>
      </c>
      <c r="U1298" s="35" t="str">
        <f>MID(Tabla1[[#This Row],[Aplicación]],9,4)</f>
        <v>3111</v>
      </c>
      <c r="V1298" s="35" t="str">
        <f>VLOOKUP(Tabla1[[#This Row],[PROGRAMA]],Hoja1!A:B,2,FALSE)</f>
        <v>3111. Protección de la salubridad pública</v>
      </c>
      <c r="W1298" s="35" t="str">
        <f>MID(Tabla1[[#This Row],[Aplicación]],14,2)</f>
        <v>22</v>
      </c>
      <c r="X1298" s="35" t="str">
        <f>MID(Tabla1[[#This Row],[Aplicación]],14,6)</f>
        <v>22199</v>
      </c>
    </row>
    <row r="1299" spans="1:24" x14ac:dyDescent="0.25">
      <c r="A1299" s="49">
        <v>220220006703</v>
      </c>
      <c r="B1299" s="50" t="s">
        <v>9</v>
      </c>
      <c r="C1299" s="57">
        <v>44617</v>
      </c>
      <c r="D1299" s="49">
        <v>22022002508</v>
      </c>
      <c r="E1299" s="50" t="s">
        <v>1975</v>
      </c>
      <c r="F1299" s="58">
        <v>1210</v>
      </c>
      <c r="G1299" s="50" t="s">
        <v>207</v>
      </c>
      <c r="H1299" s="50" t="s">
        <v>588</v>
      </c>
      <c r="I1299" s="49" t="s">
        <v>107</v>
      </c>
      <c r="J1299" s="50" t="s">
        <v>128</v>
      </c>
      <c r="K1299" s="50" t="s">
        <v>128</v>
      </c>
      <c r="L1299" s="50" t="s">
        <v>15</v>
      </c>
      <c r="M1299" s="50" t="s">
        <v>10</v>
      </c>
      <c r="N1299" s="50" t="s">
        <v>11</v>
      </c>
      <c r="O1299" s="48" t="s">
        <v>632</v>
      </c>
      <c r="P1299" s="45" t="s">
        <v>453</v>
      </c>
      <c r="Q1299" s="35" t="str">
        <f>MID(Tabla1[[#This Row],[Aplicación]],14,1)</f>
        <v>2</v>
      </c>
      <c r="R1299" s="35" t="s">
        <v>441</v>
      </c>
      <c r="S1299" s="35" t="str">
        <f>MID(Tabla1[[#This Row],[Aplicación]],6,2)</f>
        <v>08</v>
      </c>
      <c r="T1299" s="35" t="str">
        <f>VLOOKUP(Tabla1[[#This Row],[AREA]],Hoja1!A:B,2,FALSE)</f>
        <v>08. Movilidad y espacio urbano</v>
      </c>
      <c r="U1299" s="35" t="str">
        <f>MID(Tabla1[[#This Row],[Aplicación]],9,4)</f>
        <v>1532</v>
      </c>
      <c r="V1299" s="35" t="str">
        <f>VLOOKUP(Tabla1[[#This Row],[PROGRAMA]],Hoja1!A:B,2,FALSE)</f>
        <v>1532. Pavimentación vias públicas y otros servicios urbanísticos</v>
      </c>
      <c r="W1299" s="35" t="str">
        <f>MID(Tabla1[[#This Row],[Aplicación]],14,2)</f>
        <v>21</v>
      </c>
      <c r="X1299" s="35" t="str">
        <f>MID(Tabla1[[#This Row],[Aplicación]],14,6)</f>
        <v>210</v>
      </c>
    </row>
    <row r="1300" spans="1:24" x14ac:dyDescent="0.25">
      <c r="A1300" s="49">
        <v>220220000066</v>
      </c>
      <c r="B1300" s="50" t="s">
        <v>9</v>
      </c>
      <c r="C1300" s="57">
        <v>44580</v>
      </c>
      <c r="D1300" s="49">
        <v>22022000729</v>
      </c>
      <c r="E1300" s="50" t="s">
        <v>1606</v>
      </c>
      <c r="F1300" s="58">
        <v>605</v>
      </c>
      <c r="G1300" s="50" t="s">
        <v>207</v>
      </c>
      <c r="H1300" s="50" t="s">
        <v>2722</v>
      </c>
      <c r="I1300" s="49" t="s">
        <v>107</v>
      </c>
      <c r="J1300" s="50" t="s">
        <v>128</v>
      </c>
      <c r="K1300" s="50" t="s">
        <v>128</v>
      </c>
      <c r="L1300" s="50" t="s">
        <v>15</v>
      </c>
      <c r="M1300" s="50" t="s">
        <v>10</v>
      </c>
      <c r="N1300" s="50" t="s">
        <v>11</v>
      </c>
      <c r="O1300" s="48" t="s">
        <v>632</v>
      </c>
      <c r="P1300" s="45" t="s">
        <v>453</v>
      </c>
      <c r="Q1300" s="35" t="str">
        <f>MID(Tabla1[[#This Row],[Aplicación]],14,1)</f>
        <v>2</v>
      </c>
      <c r="R1300" s="35" t="s">
        <v>441</v>
      </c>
      <c r="S1300" s="35" t="str">
        <f>MID(Tabla1[[#This Row],[Aplicación]],6,2)</f>
        <v>11</v>
      </c>
      <c r="T1300" s="35" t="str">
        <f>VLOOKUP(Tabla1[[#This Row],[AREA]],Hoja1!A:B,2,FALSE)</f>
        <v>11. Salud pública y seguridad ciudadana</v>
      </c>
      <c r="U1300" s="35" t="str">
        <f>MID(Tabla1[[#This Row],[Aplicación]],9,4)</f>
        <v>1361</v>
      </c>
      <c r="V1300" s="35" t="str">
        <f>VLOOKUP(Tabla1[[#This Row],[PROGRAMA]],Hoja1!A:B,2,FALSE)</f>
        <v>1361. Prevención y extinción de incencios</v>
      </c>
      <c r="W1300" s="35" t="str">
        <f>MID(Tabla1[[#This Row],[Aplicación]],14,2)</f>
        <v>22</v>
      </c>
      <c r="X1300" s="35" t="str">
        <f>MID(Tabla1[[#This Row],[Aplicación]],14,6)</f>
        <v>22199</v>
      </c>
    </row>
    <row r="1301" spans="1:24" x14ac:dyDescent="0.25">
      <c r="A1301" s="49">
        <v>220220002281</v>
      </c>
      <c r="B1301" s="50" t="s">
        <v>9</v>
      </c>
      <c r="C1301" s="57">
        <v>44593</v>
      </c>
      <c r="D1301" s="49">
        <v>22022001784</v>
      </c>
      <c r="E1301" s="50" t="s">
        <v>1765</v>
      </c>
      <c r="F1301" s="58">
        <v>230.17</v>
      </c>
      <c r="G1301" s="50" t="s">
        <v>207</v>
      </c>
      <c r="H1301" s="50" t="s">
        <v>2723</v>
      </c>
      <c r="I1301" s="49" t="s">
        <v>107</v>
      </c>
      <c r="J1301" s="50" t="s">
        <v>128</v>
      </c>
      <c r="K1301" s="50" t="s">
        <v>128</v>
      </c>
      <c r="L1301" s="50" t="s">
        <v>15</v>
      </c>
      <c r="M1301" s="50" t="s">
        <v>10</v>
      </c>
      <c r="N1301" s="50" t="s">
        <v>11</v>
      </c>
      <c r="O1301" s="48" t="s">
        <v>632</v>
      </c>
      <c r="P1301" s="45" t="s">
        <v>453</v>
      </c>
      <c r="Q1301" s="35" t="str">
        <f>MID(Tabla1[[#This Row],[Aplicación]],14,1)</f>
        <v>2</v>
      </c>
      <c r="R1301" s="35" t="s">
        <v>441</v>
      </c>
      <c r="S1301" s="35" t="str">
        <f>MID(Tabla1[[#This Row],[Aplicación]],6,2)</f>
        <v>11</v>
      </c>
      <c r="T1301" s="35" t="str">
        <f>VLOOKUP(Tabla1[[#This Row],[AREA]],Hoja1!A:B,2,FALSE)</f>
        <v>11. Salud pública y seguridad ciudadana</v>
      </c>
      <c r="U1301" s="35" t="str">
        <f>MID(Tabla1[[#This Row],[Aplicación]],9,4)</f>
        <v>1321</v>
      </c>
      <c r="V1301" s="35" t="str">
        <f>VLOOKUP(Tabla1[[#This Row],[PROGRAMA]],Hoja1!A:B,2,FALSE)</f>
        <v>1321. Policía municipal</v>
      </c>
      <c r="W1301" s="35" t="str">
        <f>MID(Tabla1[[#This Row],[Aplicación]],14,2)</f>
        <v>22</v>
      </c>
      <c r="X1301" s="35" t="str">
        <f>MID(Tabla1[[#This Row],[Aplicación]],14,6)</f>
        <v>22699</v>
      </c>
    </row>
    <row r="1302" spans="1:24" x14ac:dyDescent="0.25">
      <c r="A1302" s="49">
        <v>220220005795</v>
      </c>
      <c r="B1302" s="50" t="s">
        <v>9</v>
      </c>
      <c r="C1302" s="57">
        <v>44615</v>
      </c>
      <c r="D1302" s="49">
        <v>22022002384</v>
      </c>
      <c r="E1302" s="50" t="s">
        <v>1614</v>
      </c>
      <c r="F1302" s="58">
        <v>5000</v>
      </c>
      <c r="G1302" s="50" t="s">
        <v>585</v>
      </c>
      <c r="H1302" s="50" t="s">
        <v>2724</v>
      </c>
      <c r="I1302" s="49" t="s">
        <v>107</v>
      </c>
      <c r="J1302" s="50" t="s">
        <v>586</v>
      </c>
      <c r="K1302" s="50" t="s">
        <v>128</v>
      </c>
      <c r="L1302" s="50" t="s">
        <v>15</v>
      </c>
      <c r="M1302" s="50" t="s">
        <v>10</v>
      </c>
      <c r="N1302" s="50" t="s">
        <v>11</v>
      </c>
      <c r="O1302" s="48" t="s">
        <v>632</v>
      </c>
      <c r="P1302" s="45" t="s">
        <v>453</v>
      </c>
      <c r="Q1302" s="35" t="str">
        <f>MID(Tabla1[[#This Row],[Aplicación]],14,1)</f>
        <v>2</v>
      </c>
      <c r="R1302" s="35" t="s">
        <v>441</v>
      </c>
      <c r="S1302" s="35" t="str">
        <f>MID(Tabla1[[#This Row],[Aplicación]],6,2)</f>
        <v>07</v>
      </c>
      <c r="T1302" s="35" t="str">
        <f>VLOOKUP(Tabla1[[#This Row],[AREA]],Hoja1!A:B,2,FALSE)</f>
        <v>07. Medio ambiente y desarrollo sostenible</v>
      </c>
      <c r="U1302" s="35" t="str">
        <f>MID(Tabla1[[#This Row],[Aplicación]],9,4)</f>
        <v>1721</v>
      </c>
      <c r="V1302" s="35" t="str">
        <f>VLOOKUP(Tabla1[[#This Row],[PROGRAMA]],Hoja1!A:B,2,FALSE)</f>
        <v>1721. Protección del medio ambiente</v>
      </c>
      <c r="W1302" s="35" t="str">
        <f>MID(Tabla1[[#This Row],[Aplicación]],14,2)</f>
        <v>22</v>
      </c>
      <c r="X1302" s="35" t="str">
        <f>MID(Tabla1[[#This Row],[Aplicación]],14,6)</f>
        <v>22199</v>
      </c>
    </row>
    <row r="1303" spans="1:24" x14ac:dyDescent="0.25">
      <c r="A1303" s="49">
        <v>220209000718</v>
      </c>
      <c r="B1303" s="50" t="s">
        <v>9</v>
      </c>
      <c r="C1303" s="57">
        <v>44562</v>
      </c>
      <c r="D1303" s="49">
        <v>22022000255</v>
      </c>
      <c r="E1303" s="50" t="s">
        <v>1397</v>
      </c>
      <c r="F1303" s="58">
        <v>100421</v>
      </c>
      <c r="G1303" s="50" t="s">
        <v>149</v>
      </c>
      <c r="H1303" s="50" t="s">
        <v>777</v>
      </c>
      <c r="I1303" s="49" t="s">
        <v>107</v>
      </c>
      <c r="J1303" s="50" t="s">
        <v>527</v>
      </c>
      <c r="K1303" s="50" t="s">
        <v>150</v>
      </c>
      <c r="L1303" s="50" t="s">
        <v>12</v>
      </c>
      <c r="M1303" s="50" t="s">
        <v>13</v>
      </c>
      <c r="N1303" s="50" t="s">
        <v>14</v>
      </c>
      <c r="O1303" s="48" t="s">
        <v>620</v>
      </c>
      <c r="P1303" s="45" t="s">
        <v>453</v>
      </c>
      <c r="Q1303" s="35" t="str">
        <f>MID(Tabla1[[#This Row],[Aplicación]],14,1)</f>
        <v>2</v>
      </c>
      <c r="R1303" s="35" t="s">
        <v>441</v>
      </c>
      <c r="S1303" s="35" t="str">
        <f>MID(Tabla1[[#This Row],[Aplicación]],6,2)</f>
        <v>10</v>
      </c>
      <c r="T1303" s="35" t="str">
        <f>VLOOKUP(Tabla1[[#This Row],[AREA]],Hoja1!A:B,2,FALSE)</f>
        <v>10. Servicios sociales y mediación comunitaria</v>
      </c>
      <c r="U1303" s="35" t="str">
        <f>MID(Tabla1[[#This Row],[Aplicación]],9,4)</f>
        <v>2312</v>
      </c>
      <c r="V1303" s="35" t="str">
        <f>VLOOKUP(Tabla1[[#This Row],[PROGRAMA]],Hoja1!A:B,2,FALSE)</f>
        <v>2312. Iniciativas sociales</v>
      </c>
      <c r="W1303" s="35" t="str">
        <f>MID(Tabla1[[#This Row],[Aplicación]],14,2)</f>
        <v>22</v>
      </c>
      <c r="X1303" s="35" t="str">
        <f>MID(Tabla1[[#This Row],[Aplicación]],14,6)</f>
        <v>22799</v>
      </c>
    </row>
    <row r="1304" spans="1:24" x14ac:dyDescent="0.25">
      <c r="A1304" s="49">
        <v>220210083441</v>
      </c>
      <c r="B1304" s="50" t="s">
        <v>9</v>
      </c>
      <c r="C1304" s="57">
        <v>44620</v>
      </c>
      <c r="D1304" s="49">
        <v>22021006198</v>
      </c>
      <c r="E1304" s="50" t="s">
        <v>1836</v>
      </c>
      <c r="F1304" s="58">
        <v>97243.83</v>
      </c>
      <c r="G1304" s="50" t="s">
        <v>1296</v>
      </c>
      <c r="H1304" s="50" t="s">
        <v>1297</v>
      </c>
      <c r="I1304" s="49" t="s">
        <v>107</v>
      </c>
      <c r="J1304" s="50" t="s">
        <v>109</v>
      </c>
      <c r="K1304" s="50" t="s">
        <v>109</v>
      </c>
      <c r="L1304" s="50" t="s">
        <v>15</v>
      </c>
      <c r="M1304" s="50" t="s">
        <v>13</v>
      </c>
      <c r="N1304" s="50" t="s">
        <v>14</v>
      </c>
      <c r="O1304" s="48" t="s">
        <v>620</v>
      </c>
      <c r="P1304" s="45" t="s">
        <v>453</v>
      </c>
      <c r="Q1304" s="35" t="str">
        <f>MID(Tabla1[[#This Row],[Aplicación]],14,1)</f>
        <v>6</v>
      </c>
      <c r="R1304" s="35" t="s">
        <v>442</v>
      </c>
      <c r="S1304" s="35" t="str">
        <f>MID(Tabla1[[#This Row],[Aplicación]],6,2)</f>
        <v>05</v>
      </c>
      <c r="T1304" s="35" t="str">
        <f>VLOOKUP(Tabla1[[#This Row],[AREA]],Hoja1!A:B,2,FALSE)</f>
        <v>05. Innovación, desarrollo económico, empleo y comercio</v>
      </c>
      <c r="U1304" s="35" t="str">
        <f>MID(Tabla1[[#This Row],[Aplicación]],9,4)</f>
        <v>4331</v>
      </c>
      <c r="V1304" s="35" t="str">
        <f>VLOOKUP(Tabla1[[#This Row],[PROGRAMA]],Hoja1!A:B,2,FALSE)</f>
        <v>4331. Desarrollo empresarial</v>
      </c>
      <c r="W1304" s="35" t="str">
        <f>MID(Tabla1[[#This Row],[Aplicación]],14,2)</f>
        <v>62</v>
      </c>
      <c r="X1304" s="35" t="str">
        <f>MID(Tabla1[[#This Row],[Aplicación]],14,6)</f>
        <v>625</v>
      </c>
    </row>
    <row r="1305" spans="1:24" x14ac:dyDescent="0.25">
      <c r="A1305" s="49">
        <v>220210085338</v>
      </c>
      <c r="B1305" s="50" t="s">
        <v>9</v>
      </c>
      <c r="C1305" s="57">
        <v>44620</v>
      </c>
      <c r="D1305" s="49">
        <v>22021005525</v>
      </c>
      <c r="E1305" s="50" t="s">
        <v>2725</v>
      </c>
      <c r="F1305" s="58">
        <v>84651.6</v>
      </c>
      <c r="G1305" s="50" t="s">
        <v>1299</v>
      </c>
      <c r="H1305" s="50" t="s">
        <v>1300</v>
      </c>
      <c r="I1305" s="49" t="s">
        <v>107</v>
      </c>
      <c r="J1305" s="50" t="s">
        <v>1301</v>
      </c>
      <c r="K1305" s="50" t="s">
        <v>127</v>
      </c>
      <c r="L1305" s="50" t="s">
        <v>15</v>
      </c>
      <c r="M1305" s="50" t="s">
        <v>13</v>
      </c>
      <c r="N1305" s="50" t="s">
        <v>14</v>
      </c>
      <c r="O1305" s="48" t="s">
        <v>620</v>
      </c>
      <c r="P1305" s="45" t="s">
        <v>453</v>
      </c>
      <c r="Q1305" s="35" t="str">
        <f>MID(Tabla1[[#This Row],[Aplicación]],14,1)</f>
        <v>6</v>
      </c>
      <c r="R1305" s="35" t="s">
        <v>442</v>
      </c>
      <c r="S1305" s="35" t="str">
        <f>MID(Tabla1[[#This Row],[Aplicación]],6,2)</f>
        <v>02</v>
      </c>
      <c r="T1305" s="35" t="str">
        <f>VLOOKUP(Tabla1[[#This Row],[AREA]],Hoja1!A:B,2,FALSE)</f>
        <v>02. Planeamiento urbanístico y vivienda</v>
      </c>
      <c r="U1305" s="35" t="str">
        <f>MID(Tabla1[[#This Row],[Aplicación]],9,4)</f>
        <v>9332</v>
      </c>
      <c r="V1305" s="35" t="str">
        <f>VLOOKUP(Tabla1[[#This Row],[PROGRAMA]],Hoja1!A:B,2,FALSE)</f>
        <v>9332. Mantenimiento de edificios e instalaciones municipales</v>
      </c>
      <c r="W1305" s="35" t="str">
        <f>MID(Tabla1[[#This Row],[Aplicación]],14,2)</f>
        <v>62</v>
      </c>
      <c r="X1305" s="35" t="str">
        <f>MID(Tabla1[[#This Row],[Aplicación]],14,6)</f>
        <v>624</v>
      </c>
    </row>
    <row r="1306" spans="1:24" x14ac:dyDescent="0.25">
      <c r="A1306" s="49">
        <v>220220002256</v>
      </c>
      <c r="B1306" s="50" t="s">
        <v>9</v>
      </c>
      <c r="C1306" s="57">
        <v>44592</v>
      </c>
      <c r="D1306" s="49">
        <v>22022001629</v>
      </c>
      <c r="E1306" s="50" t="s">
        <v>2726</v>
      </c>
      <c r="F1306" s="58">
        <v>3400</v>
      </c>
      <c r="G1306" s="50" t="s">
        <v>1351</v>
      </c>
      <c r="H1306" s="50" t="s">
        <v>2727</v>
      </c>
      <c r="I1306" s="49" t="s">
        <v>107</v>
      </c>
      <c r="J1306" s="50" t="s">
        <v>573</v>
      </c>
      <c r="K1306" s="50" t="s">
        <v>109</v>
      </c>
      <c r="L1306" s="50" t="s">
        <v>12</v>
      </c>
      <c r="M1306" s="50" t="s">
        <v>10</v>
      </c>
      <c r="N1306" s="50" t="s">
        <v>11</v>
      </c>
      <c r="O1306" s="48" t="s">
        <v>632</v>
      </c>
      <c r="P1306" s="45" t="s">
        <v>453</v>
      </c>
      <c r="Q1306" s="35" t="str">
        <f>MID(Tabla1[[#This Row],[Aplicación]],14,1)</f>
        <v>2</v>
      </c>
      <c r="R1306" s="35" t="s">
        <v>441</v>
      </c>
      <c r="S1306" s="35" t="str">
        <f>MID(Tabla1[[#This Row],[Aplicación]],6,2)</f>
        <v>06</v>
      </c>
      <c r="T1306" s="35" t="str">
        <f>VLOOKUP(Tabla1[[#This Row],[AREA]],Hoja1!A:B,2,FALSE)</f>
        <v>06. Educación, infancia, juventud e igualdad</v>
      </c>
      <c r="U1306" s="35" t="str">
        <f>MID(Tabla1[[#This Row],[Aplicación]],9,4)</f>
        <v>2315</v>
      </c>
      <c r="V1306" s="35" t="str">
        <f>VLOOKUP(Tabla1[[#This Row],[PROGRAMA]],Hoja1!A:B,2,FALSE)</f>
        <v>2315. Políticas de Igualdad e infancia</v>
      </c>
      <c r="W1306" s="35" t="str">
        <f>MID(Tabla1[[#This Row],[Aplicación]],14,2)</f>
        <v>22</v>
      </c>
      <c r="X1306" s="35" t="str">
        <f>MID(Tabla1[[#This Row],[Aplicación]],14,6)</f>
        <v>22619</v>
      </c>
    </row>
    <row r="1307" spans="1:24" x14ac:dyDescent="0.25">
      <c r="A1307" s="49">
        <v>220210050361</v>
      </c>
      <c r="B1307" s="50" t="s">
        <v>9</v>
      </c>
      <c r="C1307" s="57">
        <v>44620</v>
      </c>
      <c r="D1307" s="49">
        <v>22021003738</v>
      </c>
      <c r="E1307" s="50" t="s">
        <v>1410</v>
      </c>
      <c r="F1307" s="58">
        <v>47294.1</v>
      </c>
      <c r="G1307" s="50" t="s">
        <v>764</v>
      </c>
      <c r="H1307" s="50" t="s">
        <v>1051</v>
      </c>
      <c r="I1307" s="49" t="s">
        <v>107</v>
      </c>
      <c r="J1307" s="50" t="s">
        <v>533</v>
      </c>
      <c r="K1307" s="50" t="s">
        <v>109</v>
      </c>
      <c r="L1307" s="50" t="s">
        <v>25</v>
      </c>
      <c r="M1307" s="50" t="s">
        <v>13</v>
      </c>
      <c r="N1307" s="50" t="s">
        <v>16</v>
      </c>
      <c r="O1307" s="48" t="s">
        <v>620</v>
      </c>
      <c r="P1307" s="45" t="s">
        <v>453</v>
      </c>
      <c r="Q1307" s="35" t="str">
        <f>MID(Tabla1[[#This Row],[Aplicación]],14,1)</f>
        <v>6</v>
      </c>
      <c r="R1307" s="35" t="s">
        <v>442</v>
      </c>
      <c r="S1307" s="35" t="str">
        <f>MID(Tabla1[[#This Row],[Aplicación]],6,2)</f>
        <v>03</v>
      </c>
      <c r="T1307" s="35" t="str">
        <f>VLOOKUP(Tabla1[[#This Row],[AREA]],Hoja1!A:B,2,FALSE)</f>
        <v>03. Participación ciudadana y deportes</v>
      </c>
      <c r="U1307" s="35" t="str">
        <f>MID(Tabla1[[#This Row],[Aplicación]],9,4)</f>
        <v>9241</v>
      </c>
      <c r="V1307" s="35" t="str">
        <f>VLOOKUP(Tabla1[[#This Row],[PROGRAMA]],Hoja1!A:B,2,FALSE)</f>
        <v>9241. Participación ciudadana</v>
      </c>
      <c r="W1307" s="35" t="str">
        <f>MID(Tabla1[[#This Row],[Aplicación]],14,2)</f>
        <v>63</v>
      </c>
      <c r="X1307" s="35" t="str">
        <f>MID(Tabla1[[#This Row],[Aplicación]],14,6)</f>
        <v>632</v>
      </c>
    </row>
    <row r="1308" spans="1:24" x14ac:dyDescent="0.25">
      <c r="A1308" s="49">
        <v>220200016732</v>
      </c>
      <c r="B1308" s="50" t="s">
        <v>9</v>
      </c>
      <c r="C1308" s="57">
        <v>44620</v>
      </c>
      <c r="D1308" s="49">
        <v>22020002100</v>
      </c>
      <c r="E1308" s="50" t="s">
        <v>1399</v>
      </c>
      <c r="F1308" s="58">
        <v>43804.3</v>
      </c>
      <c r="G1308" s="50" t="s">
        <v>764</v>
      </c>
      <c r="H1308" s="50" t="s">
        <v>856</v>
      </c>
      <c r="I1308" s="49" t="s">
        <v>107</v>
      </c>
      <c r="J1308" s="50" t="s">
        <v>533</v>
      </c>
      <c r="K1308" s="50" t="s">
        <v>109</v>
      </c>
      <c r="L1308" s="50" t="s">
        <v>25</v>
      </c>
      <c r="M1308" s="50" t="s">
        <v>13</v>
      </c>
      <c r="N1308" s="50" t="s">
        <v>14</v>
      </c>
      <c r="O1308" s="48" t="s">
        <v>620</v>
      </c>
      <c r="P1308" s="45" t="s">
        <v>453</v>
      </c>
      <c r="Q1308" s="35" t="str">
        <f>MID(Tabla1[[#This Row],[Aplicación]],14,1)</f>
        <v>6</v>
      </c>
      <c r="R1308" s="35" t="s">
        <v>442</v>
      </c>
      <c r="S1308" s="35" t="str">
        <f>MID(Tabla1[[#This Row],[Aplicación]],6,2)</f>
        <v>02</v>
      </c>
      <c r="T1308" s="35" t="str">
        <f>VLOOKUP(Tabla1[[#This Row],[AREA]],Hoja1!A:B,2,FALSE)</f>
        <v>02. Planeamiento urbanístico y vivienda</v>
      </c>
      <c r="U1308" s="35" t="str">
        <f>MID(Tabla1[[#This Row],[Aplicación]],9,4)</f>
        <v>1511</v>
      </c>
      <c r="V1308" s="35" t="str">
        <f>VLOOKUP(Tabla1[[#This Row],[PROGRAMA]],Hoja1!A:B,2,FALSE)</f>
        <v>1511. Planficación y gestión del urbanismo</v>
      </c>
      <c r="W1308" s="35" t="str">
        <f>MID(Tabla1[[#This Row],[Aplicación]],14,2)</f>
        <v>60</v>
      </c>
      <c r="X1308" s="35" t="str">
        <f>MID(Tabla1[[#This Row],[Aplicación]],14,6)</f>
        <v>609</v>
      </c>
    </row>
    <row r="1309" spans="1:24" x14ac:dyDescent="0.25">
      <c r="A1309" s="49">
        <v>220210085339</v>
      </c>
      <c r="B1309" s="50" t="s">
        <v>9</v>
      </c>
      <c r="C1309" s="57">
        <v>44620</v>
      </c>
      <c r="D1309" s="49">
        <v>22021008912</v>
      </c>
      <c r="E1309" s="50" t="s">
        <v>1665</v>
      </c>
      <c r="F1309" s="58">
        <v>16933.95</v>
      </c>
      <c r="G1309" s="50" t="s">
        <v>103</v>
      </c>
      <c r="H1309" s="50" t="s">
        <v>1335</v>
      </c>
      <c r="I1309" s="49" t="s">
        <v>107</v>
      </c>
      <c r="J1309" s="50" t="s">
        <v>547</v>
      </c>
      <c r="K1309" s="50" t="s">
        <v>109</v>
      </c>
      <c r="L1309" s="50" t="s">
        <v>12</v>
      </c>
      <c r="M1309" s="50" t="s">
        <v>10</v>
      </c>
      <c r="N1309" s="50" t="s">
        <v>11</v>
      </c>
      <c r="O1309" s="48" t="s">
        <v>632</v>
      </c>
      <c r="P1309" s="45" t="s">
        <v>453</v>
      </c>
      <c r="Q1309" s="35" t="str">
        <f>MID(Tabla1[[#This Row],[Aplicación]],14,1)</f>
        <v>6</v>
      </c>
      <c r="R1309" s="35" t="s">
        <v>442</v>
      </c>
      <c r="S1309" s="35" t="str">
        <f>MID(Tabla1[[#This Row],[Aplicación]],6,2)</f>
        <v>02</v>
      </c>
      <c r="T1309" s="35" t="str">
        <f>VLOOKUP(Tabla1[[#This Row],[AREA]],Hoja1!A:B,2,FALSE)</f>
        <v>02. Planeamiento urbanístico y vivienda</v>
      </c>
      <c r="U1309" s="35" t="str">
        <f>MID(Tabla1[[#This Row],[Aplicación]],9,4)</f>
        <v>9332</v>
      </c>
      <c r="V1309" s="35" t="str">
        <f>VLOOKUP(Tabla1[[#This Row],[PROGRAMA]],Hoja1!A:B,2,FALSE)</f>
        <v>9332. Mantenimiento de edificios e instalaciones municipales</v>
      </c>
      <c r="W1309" s="35" t="str">
        <f>MID(Tabla1[[#This Row],[Aplicación]],14,2)</f>
        <v>63</v>
      </c>
      <c r="X1309" s="35" t="str">
        <f>MID(Tabla1[[#This Row],[Aplicación]],14,6)</f>
        <v>632</v>
      </c>
    </row>
    <row r="1310" spans="1:24" x14ac:dyDescent="0.25">
      <c r="A1310" s="49">
        <v>220220000073</v>
      </c>
      <c r="B1310" s="50" t="s">
        <v>9</v>
      </c>
      <c r="C1310" s="57">
        <v>44580</v>
      </c>
      <c r="D1310" s="49">
        <v>22022000896</v>
      </c>
      <c r="E1310" s="50" t="s">
        <v>2007</v>
      </c>
      <c r="F1310" s="58">
        <v>440.44</v>
      </c>
      <c r="G1310" s="50" t="s">
        <v>870</v>
      </c>
      <c r="H1310" s="50" t="s">
        <v>2728</v>
      </c>
      <c r="I1310" s="49" t="s">
        <v>107</v>
      </c>
      <c r="J1310" s="50" t="s">
        <v>547</v>
      </c>
      <c r="K1310" s="50" t="s">
        <v>109</v>
      </c>
      <c r="L1310" s="50" t="s">
        <v>15</v>
      </c>
      <c r="M1310" s="50" t="s">
        <v>10</v>
      </c>
      <c r="N1310" s="50" t="s">
        <v>11</v>
      </c>
      <c r="O1310" s="48" t="s">
        <v>632</v>
      </c>
      <c r="P1310" s="45" t="s">
        <v>453</v>
      </c>
      <c r="Q1310" s="35" t="str">
        <f>MID(Tabla1[[#This Row],[Aplicación]],14,1)</f>
        <v>2</v>
      </c>
      <c r="R1310" s="35" t="s">
        <v>441</v>
      </c>
      <c r="S1310" s="35" t="str">
        <f>MID(Tabla1[[#This Row],[Aplicación]],6,2)</f>
        <v>11</v>
      </c>
      <c r="T1310" s="35" t="str">
        <f>VLOOKUP(Tabla1[[#This Row],[AREA]],Hoja1!A:B,2,FALSE)</f>
        <v>11. Salud pública y seguridad ciudadana</v>
      </c>
      <c r="U1310" s="35" t="str">
        <f>MID(Tabla1[[#This Row],[Aplicación]],9,4)</f>
        <v>1621</v>
      </c>
      <c r="V1310" s="35" t="str">
        <f>VLOOKUP(Tabla1[[#This Row],[PROGRAMA]],Hoja1!A:B,2,FALSE)</f>
        <v>1621. Servicio de limpieza</v>
      </c>
      <c r="W1310" s="35" t="str">
        <f>MID(Tabla1[[#This Row],[Aplicación]],14,2)</f>
        <v>22</v>
      </c>
      <c r="X1310" s="35" t="str">
        <f>MID(Tabla1[[#This Row],[Aplicación]],14,6)</f>
        <v>22199</v>
      </c>
    </row>
    <row r="1311" spans="1:24" x14ac:dyDescent="0.25">
      <c r="A1311" s="49">
        <v>220220002604</v>
      </c>
      <c r="B1311" s="50" t="s">
        <v>9</v>
      </c>
      <c r="C1311" s="57">
        <v>44599</v>
      </c>
      <c r="D1311" s="49">
        <v>22022001864</v>
      </c>
      <c r="E1311" s="50" t="s">
        <v>2007</v>
      </c>
      <c r="F1311" s="58">
        <v>165.77</v>
      </c>
      <c r="G1311" s="50" t="s">
        <v>870</v>
      </c>
      <c r="H1311" s="50" t="s">
        <v>2729</v>
      </c>
      <c r="I1311" s="49" t="s">
        <v>107</v>
      </c>
      <c r="J1311" s="50" t="s">
        <v>547</v>
      </c>
      <c r="K1311" s="50" t="s">
        <v>109</v>
      </c>
      <c r="L1311" s="50" t="s">
        <v>15</v>
      </c>
      <c r="M1311" s="50" t="s">
        <v>10</v>
      </c>
      <c r="N1311" s="50" t="s">
        <v>11</v>
      </c>
      <c r="O1311" s="48" t="s">
        <v>632</v>
      </c>
      <c r="P1311" s="45" t="s">
        <v>453</v>
      </c>
      <c r="Q1311" s="35" t="str">
        <f>MID(Tabla1[[#This Row],[Aplicación]],14,1)</f>
        <v>2</v>
      </c>
      <c r="R1311" s="35" t="s">
        <v>441</v>
      </c>
      <c r="S1311" s="35" t="str">
        <f>MID(Tabla1[[#This Row],[Aplicación]],6,2)</f>
        <v>11</v>
      </c>
      <c r="T1311" s="35" t="str">
        <f>VLOOKUP(Tabla1[[#This Row],[AREA]],Hoja1!A:B,2,FALSE)</f>
        <v>11. Salud pública y seguridad ciudadana</v>
      </c>
      <c r="U1311" s="35" t="str">
        <f>MID(Tabla1[[#This Row],[Aplicación]],9,4)</f>
        <v>1621</v>
      </c>
      <c r="V1311" s="35" t="str">
        <f>VLOOKUP(Tabla1[[#This Row],[PROGRAMA]],Hoja1!A:B,2,FALSE)</f>
        <v>1621. Servicio de limpieza</v>
      </c>
      <c r="W1311" s="35" t="str">
        <f>MID(Tabla1[[#This Row],[Aplicación]],14,2)</f>
        <v>22</v>
      </c>
      <c r="X1311" s="35" t="str">
        <f>MID(Tabla1[[#This Row],[Aplicación]],14,6)</f>
        <v>22199</v>
      </c>
    </row>
    <row r="1312" spans="1:24" x14ac:dyDescent="0.25">
      <c r="A1312" s="49">
        <v>220220008282</v>
      </c>
      <c r="B1312" s="50" t="s">
        <v>9</v>
      </c>
      <c r="C1312" s="57">
        <v>44630</v>
      </c>
      <c r="D1312" s="49">
        <v>22022002695</v>
      </c>
      <c r="E1312" s="50" t="s">
        <v>1765</v>
      </c>
      <c r="F1312" s="58">
        <v>5899</v>
      </c>
      <c r="G1312" s="50" t="s">
        <v>2730</v>
      </c>
      <c r="H1312" s="50" t="s">
        <v>2731</v>
      </c>
      <c r="I1312" s="49" t="s">
        <v>107</v>
      </c>
      <c r="J1312" s="50" t="s">
        <v>170</v>
      </c>
      <c r="K1312" s="50" t="s">
        <v>129</v>
      </c>
      <c r="L1312" s="50" t="s">
        <v>15</v>
      </c>
      <c r="M1312" s="50" t="s">
        <v>10</v>
      </c>
      <c r="N1312" s="50" t="s">
        <v>11</v>
      </c>
      <c r="O1312" s="48" t="s">
        <v>632</v>
      </c>
      <c r="P1312" s="45" t="s">
        <v>453</v>
      </c>
      <c r="Q1312" s="35" t="str">
        <f>MID(Tabla1[[#This Row],[Aplicación]],14,1)</f>
        <v>2</v>
      </c>
      <c r="R1312" s="35" t="s">
        <v>441</v>
      </c>
      <c r="S1312" s="35" t="str">
        <f>MID(Tabla1[[#This Row],[Aplicación]],6,2)</f>
        <v>11</v>
      </c>
      <c r="T1312" s="35" t="str">
        <f>VLOOKUP(Tabla1[[#This Row],[AREA]],Hoja1!A:B,2,FALSE)</f>
        <v>11. Salud pública y seguridad ciudadana</v>
      </c>
      <c r="U1312" s="35" t="str">
        <f>MID(Tabla1[[#This Row],[Aplicación]],9,4)</f>
        <v>1321</v>
      </c>
      <c r="V1312" s="35" t="str">
        <f>VLOOKUP(Tabla1[[#This Row],[PROGRAMA]],Hoja1!A:B,2,FALSE)</f>
        <v>1321. Policía municipal</v>
      </c>
      <c r="W1312" s="35" t="str">
        <f>MID(Tabla1[[#This Row],[Aplicación]],14,2)</f>
        <v>22</v>
      </c>
      <c r="X1312" s="35" t="str">
        <f>MID(Tabla1[[#This Row],[Aplicación]],14,6)</f>
        <v>22699</v>
      </c>
    </row>
    <row r="1313" spans="1:24" x14ac:dyDescent="0.25">
      <c r="A1313" s="49">
        <v>220220007109</v>
      </c>
      <c r="B1313" s="50" t="s">
        <v>9</v>
      </c>
      <c r="C1313" s="57">
        <v>44623</v>
      </c>
      <c r="D1313" s="49">
        <v>22022002569</v>
      </c>
      <c r="E1313" s="50" t="s">
        <v>1629</v>
      </c>
      <c r="F1313" s="58">
        <v>4000</v>
      </c>
      <c r="G1313" s="50" t="s">
        <v>2732</v>
      </c>
      <c r="H1313" s="50" t="s">
        <v>2733</v>
      </c>
      <c r="I1313" s="49" t="s">
        <v>107</v>
      </c>
      <c r="J1313" s="50" t="s">
        <v>109</v>
      </c>
      <c r="K1313" s="50" t="s">
        <v>109</v>
      </c>
      <c r="L1313" s="50" t="s">
        <v>12</v>
      </c>
      <c r="M1313" s="50" t="s">
        <v>10</v>
      </c>
      <c r="N1313" s="50" t="s">
        <v>11</v>
      </c>
      <c r="O1313" s="48" t="s">
        <v>632</v>
      </c>
      <c r="P1313" s="45" t="s">
        <v>453</v>
      </c>
      <c r="Q1313" s="35" t="str">
        <f>MID(Tabla1[[#This Row],[Aplicación]],14,1)</f>
        <v>2</v>
      </c>
      <c r="R1313" s="35" t="s">
        <v>441</v>
      </c>
      <c r="S1313" s="35" t="str">
        <f>MID(Tabla1[[#This Row],[Aplicación]],6,2)</f>
        <v>06</v>
      </c>
      <c r="T1313" s="35" t="str">
        <f>VLOOKUP(Tabla1[[#This Row],[AREA]],Hoja1!A:B,2,FALSE)</f>
        <v>06. Educación, infancia, juventud e igualdad</v>
      </c>
      <c r="U1313" s="35" t="str">
        <f>MID(Tabla1[[#This Row],[Aplicación]],9,4)</f>
        <v>2315</v>
      </c>
      <c r="V1313" s="35" t="str">
        <f>VLOOKUP(Tabla1[[#This Row],[PROGRAMA]],Hoja1!A:B,2,FALSE)</f>
        <v>2315. Políticas de Igualdad e infancia</v>
      </c>
      <c r="W1313" s="35" t="str">
        <f>MID(Tabla1[[#This Row],[Aplicación]],14,2)</f>
        <v>22</v>
      </c>
      <c r="X1313" s="35" t="str">
        <f>MID(Tabla1[[#This Row],[Aplicación]],14,6)</f>
        <v>22611</v>
      </c>
    </row>
    <row r="1314" spans="1:24" x14ac:dyDescent="0.25">
      <c r="A1314" s="49">
        <v>220220000127</v>
      </c>
      <c r="B1314" s="50" t="s">
        <v>9</v>
      </c>
      <c r="C1314" s="57">
        <v>44582</v>
      </c>
      <c r="D1314" s="49">
        <v>22022001267</v>
      </c>
      <c r="E1314" s="50" t="s">
        <v>1461</v>
      </c>
      <c r="F1314" s="58">
        <v>1490</v>
      </c>
      <c r="G1314" s="50" t="s">
        <v>65</v>
      </c>
      <c r="H1314" s="50" t="s">
        <v>2734</v>
      </c>
      <c r="I1314" s="49" t="s">
        <v>107</v>
      </c>
      <c r="J1314" s="50" t="s">
        <v>567</v>
      </c>
      <c r="K1314" s="50" t="s">
        <v>108</v>
      </c>
      <c r="L1314" s="50" t="s">
        <v>12</v>
      </c>
      <c r="M1314" s="50" t="s">
        <v>10</v>
      </c>
      <c r="N1314" s="50" t="s">
        <v>11</v>
      </c>
      <c r="O1314" s="48" t="s">
        <v>632</v>
      </c>
      <c r="P1314" s="45" t="s">
        <v>453</v>
      </c>
      <c r="Q1314" s="35" t="str">
        <f>MID(Tabla1[[#This Row],[Aplicación]],14,1)</f>
        <v>2</v>
      </c>
      <c r="R1314" s="35" t="s">
        <v>441</v>
      </c>
      <c r="S1314" s="35" t="str">
        <f>MID(Tabla1[[#This Row],[Aplicación]],6,2)</f>
        <v>11</v>
      </c>
      <c r="T1314" s="35" t="str">
        <f>VLOOKUP(Tabla1[[#This Row],[AREA]],Hoja1!A:B,2,FALSE)</f>
        <v>11. Salud pública y seguridad ciudadana</v>
      </c>
      <c r="U1314" s="35" t="str">
        <f>MID(Tabla1[[#This Row],[Aplicación]],9,4)</f>
        <v>1621</v>
      </c>
      <c r="V1314" s="35" t="str">
        <f>VLOOKUP(Tabla1[[#This Row],[PROGRAMA]],Hoja1!A:B,2,FALSE)</f>
        <v>1621. Servicio de limpieza</v>
      </c>
      <c r="W1314" s="35" t="str">
        <f>MID(Tabla1[[#This Row],[Aplicación]],14,2)</f>
        <v>21</v>
      </c>
      <c r="X1314" s="35" t="str">
        <f>MID(Tabla1[[#This Row],[Aplicación]],14,6)</f>
        <v>213</v>
      </c>
    </row>
    <row r="1315" spans="1:24" x14ac:dyDescent="0.25">
      <c r="A1315" s="49">
        <v>220220003496</v>
      </c>
      <c r="B1315" s="50" t="s">
        <v>9</v>
      </c>
      <c r="C1315" s="57">
        <v>44606</v>
      </c>
      <c r="D1315" s="49">
        <v>22022002138</v>
      </c>
      <c r="E1315" s="50" t="s">
        <v>2410</v>
      </c>
      <c r="F1315" s="58">
        <v>595.53</v>
      </c>
      <c r="G1315" s="50" t="s">
        <v>830</v>
      </c>
      <c r="H1315" s="50" t="s">
        <v>2735</v>
      </c>
      <c r="I1315" s="49" t="s">
        <v>107</v>
      </c>
      <c r="J1315" s="50" t="s">
        <v>109</v>
      </c>
      <c r="K1315" s="50" t="s">
        <v>109</v>
      </c>
      <c r="L1315" s="50" t="s">
        <v>12</v>
      </c>
      <c r="M1315" s="50" t="s">
        <v>10</v>
      </c>
      <c r="N1315" s="50" t="s">
        <v>11</v>
      </c>
      <c r="O1315" s="48" t="s">
        <v>632</v>
      </c>
      <c r="P1315" s="45" t="s">
        <v>453</v>
      </c>
      <c r="Q1315" s="35" t="str">
        <f>MID(Tabla1[[#This Row],[Aplicación]],14,1)</f>
        <v>2</v>
      </c>
      <c r="R1315" s="35" t="s">
        <v>441</v>
      </c>
      <c r="S1315" s="35" t="str">
        <f>MID(Tabla1[[#This Row],[Aplicación]],6,2)</f>
        <v>06</v>
      </c>
      <c r="T1315" s="35" t="str">
        <f>VLOOKUP(Tabla1[[#This Row],[AREA]],Hoja1!A:B,2,FALSE)</f>
        <v>06. Educación, infancia, juventud e igualdad</v>
      </c>
      <c r="U1315" s="35" t="str">
        <f>MID(Tabla1[[#This Row],[Aplicación]],9,4)</f>
        <v>3232</v>
      </c>
      <c r="V1315" s="35" t="str">
        <f>VLOOKUP(Tabla1[[#This Row],[PROGRAMA]],Hoja1!A:B,2,FALSE)</f>
        <v>3232. Conservación y mantenimiento centros educación infantil y primaria</v>
      </c>
      <c r="W1315" s="35" t="str">
        <f>MID(Tabla1[[#This Row],[Aplicación]],14,2)</f>
        <v>22</v>
      </c>
      <c r="X1315" s="35" t="str">
        <f>MID(Tabla1[[#This Row],[Aplicación]],14,6)</f>
        <v>22799</v>
      </c>
    </row>
    <row r="1316" spans="1:24" x14ac:dyDescent="0.25">
      <c r="A1316" s="49">
        <v>220220006708</v>
      </c>
      <c r="B1316" s="50" t="s">
        <v>9</v>
      </c>
      <c r="C1316" s="57">
        <v>44617</v>
      </c>
      <c r="D1316" s="49">
        <v>22022002138</v>
      </c>
      <c r="E1316" s="50" t="s">
        <v>2410</v>
      </c>
      <c r="F1316" s="58">
        <v>1</v>
      </c>
      <c r="G1316" s="50" t="s">
        <v>830</v>
      </c>
      <c r="H1316" s="50" t="s">
        <v>2736</v>
      </c>
      <c r="I1316" s="49" t="s">
        <v>107</v>
      </c>
      <c r="J1316" s="50" t="s">
        <v>109</v>
      </c>
      <c r="K1316" s="50" t="s">
        <v>109</v>
      </c>
      <c r="L1316" s="50" t="s">
        <v>12</v>
      </c>
      <c r="M1316" s="50" t="s">
        <v>10</v>
      </c>
      <c r="N1316" s="50" t="s">
        <v>11</v>
      </c>
      <c r="O1316" s="48" t="s">
        <v>632</v>
      </c>
      <c r="P1316" s="45" t="s">
        <v>453</v>
      </c>
      <c r="Q1316" s="35" t="str">
        <f>MID(Tabla1[[#This Row],[Aplicación]],14,1)</f>
        <v>2</v>
      </c>
      <c r="R1316" s="35" t="s">
        <v>441</v>
      </c>
      <c r="S1316" s="35" t="str">
        <f>MID(Tabla1[[#This Row],[Aplicación]],6,2)</f>
        <v>06</v>
      </c>
      <c r="T1316" s="35" t="str">
        <f>VLOOKUP(Tabla1[[#This Row],[AREA]],Hoja1!A:B,2,FALSE)</f>
        <v>06. Educación, infancia, juventud e igualdad</v>
      </c>
      <c r="U1316" s="35" t="str">
        <f>MID(Tabla1[[#This Row],[Aplicación]],9,4)</f>
        <v>3232</v>
      </c>
      <c r="V1316" s="35" t="str">
        <f>VLOOKUP(Tabla1[[#This Row],[PROGRAMA]],Hoja1!A:B,2,FALSE)</f>
        <v>3232. Conservación y mantenimiento centros educación infantil y primaria</v>
      </c>
      <c r="W1316" s="35" t="str">
        <f>MID(Tabla1[[#This Row],[Aplicación]],14,2)</f>
        <v>22</v>
      </c>
      <c r="X1316" s="35" t="str">
        <f>MID(Tabla1[[#This Row],[Aplicación]],14,6)</f>
        <v>22799</v>
      </c>
    </row>
    <row r="1317" spans="1:24" x14ac:dyDescent="0.25">
      <c r="A1317" s="49">
        <v>220220000105</v>
      </c>
      <c r="B1317" s="50" t="s">
        <v>9</v>
      </c>
      <c r="C1317" s="57">
        <v>44581</v>
      </c>
      <c r="D1317" s="49">
        <v>22022001193</v>
      </c>
      <c r="E1317" s="50" t="s">
        <v>1684</v>
      </c>
      <c r="F1317" s="58">
        <v>6981.7</v>
      </c>
      <c r="G1317" s="50" t="s">
        <v>68</v>
      </c>
      <c r="H1317" s="50" t="s">
        <v>2737</v>
      </c>
      <c r="I1317" s="49" t="s">
        <v>107</v>
      </c>
      <c r="J1317" s="50" t="s">
        <v>109</v>
      </c>
      <c r="K1317" s="50" t="s">
        <v>109</v>
      </c>
      <c r="L1317" s="50" t="s">
        <v>15</v>
      </c>
      <c r="M1317" s="50" t="s">
        <v>10</v>
      </c>
      <c r="N1317" s="50" t="s">
        <v>11</v>
      </c>
      <c r="O1317" s="48" t="s">
        <v>632</v>
      </c>
      <c r="P1317" s="45" t="s">
        <v>453</v>
      </c>
      <c r="Q1317" s="35" t="str">
        <f>MID(Tabla1[[#This Row],[Aplicación]],14,1)</f>
        <v>2</v>
      </c>
      <c r="R1317" s="35" t="s">
        <v>441</v>
      </c>
      <c r="S1317" s="35" t="str">
        <f>MID(Tabla1[[#This Row],[Aplicación]],6,2)</f>
        <v>01</v>
      </c>
      <c r="T1317" s="35" t="str">
        <f>VLOOKUP(Tabla1[[#This Row],[AREA]],Hoja1!A:B,2,FALSE)</f>
        <v>01. Alcaldía</v>
      </c>
      <c r="U1317" s="35" t="str">
        <f>MID(Tabla1[[#This Row],[Aplicación]],9,4)</f>
        <v>9205</v>
      </c>
      <c r="V1317" s="35" t="str">
        <f>VLOOKUP(Tabla1[[#This Row],[PROGRAMA]],Hoja1!A:B,2,FALSE)</f>
        <v>9205. Imprenta municipal</v>
      </c>
      <c r="W1317" s="35" t="str">
        <f>MID(Tabla1[[#This Row],[Aplicación]],14,2)</f>
        <v>22</v>
      </c>
      <c r="X1317" s="35" t="str">
        <f>MID(Tabla1[[#This Row],[Aplicación]],14,6)</f>
        <v>22199</v>
      </c>
    </row>
    <row r="1318" spans="1:24" x14ac:dyDescent="0.25">
      <c r="A1318" s="49">
        <v>220220003453</v>
      </c>
      <c r="B1318" s="50" t="s">
        <v>9</v>
      </c>
      <c r="C1318" s="57">
        <v>44603</v>
      </c>
      <c r="D1318" s="49">
        <v>22022001788</v>
      </c>
      <c r="E1318" s="50" t="s">
        <v>2738</v>
      </c>
      <c r="F1318" s="58">
        <v>35280</v>
      </c>
      <c r="G1318" s="50" t="s">
        <v>938</v>
      </c>
      <c r="H1318" s="50" t="s">
        <v>2739</v>
      </c>
      <c r="I1318" s="49" t="s">
        <v>107</v>
      </c>
      <c r="J1318" s="50" t="s">
        <v>109</v>
      </c>
      <c r="K1318" s="50" t="s">
        <v>109</v>
      </c>
      <c r="L1318" s="50" t="s">
        <v>12</v>
      </c>
      <c r="M1318" s="50" t="s">
        <v>13</v>
      </c>
      <c r="N1318" s="50" t="s">
        <v>14</v>
      </c>
      <c r="O1318" s="48" t="s">
        <v>620</v>
      </c>
      <c r="P1318" s="45" t="s">
        <v>453</v>
      </c>
      <c r="Q1318" s="35" t="str">
        <f>MID(Tabla1[[#This Row],[Aplicación]],14,1)</f>
        <v>2</v>
      </c>
      <c r="R1318" s="35" t="s">
        <v>441</v>
      </c>
      <c r="S1318" s="35" t="str">
        <f>MID(Tabla1[[#This Row],[Aplicación]],6,2)</f>
        <v>10</v>
      </c>
      <c r="T1318" s="35" t="str">
        <f>VLOOKUP(Tabla1[[#This Row],[AREA]],Hoja1!A:B,2,FALSE)</f>
        <v>10. Servicios sociales y mediación comunitaria</v>
      </c>
      <c r="U1318" s="35" t="str">
        <f>MID(Tabla1[[#This Row],[Aplicación]],9,4)</f>
        <v>2412</v>
      </c>
      <c r="V1318" s="35" t="str">
        <f>VLOOKUP(Tabla1[[#This Row],[PROGRAMA]],Hoja1!A:B,2,FALSE)</f>
        <v>2412. Formación para el empleo</v>
      </c>
      <c r="W1318" s="35" t="str">
        <f>MID(Tabla1[[#This Row],[Aplicación]],14,2)</f>
        <v>22</v>
      </c>
      <c r="X1318" s="35" t="str">
        <f>MID(Tabla1[[#This Row],[Aplicación]],14,6)</f>
        <v>22799</v>
      </c>
    </row>
    <row r="1319" spans="1:24" x14ac:dyDescent="0.25">
      <c r="A1319" s="49">
        <v>220219001115</v>
      </c>
      <c r="B1319" s="50" t="s">
        <v>9</v>
      </c>
      <c r="C1319" s="57">
        <v>44562</v>
      </c>
      <c r="D1319" s="49">
        <v>22022000524</v>
      </c>
      <c r="E1319" s="50" t="s">
        <v>2738</v>
      </c>
      <c r="F1319" s="58">
        <v>5863.19</v>
      </c>
      <c r="G1319" s="50" t="s">
        <v>938</v>
      </c>
      <c r="H1319" s="50" t="s">
        <v>2740</v>
      </c>
      <c r="I1319" s="49" t="s">
        <v>107</v>
      </c>
      <c r="J1319" s="50" t="s">
        <v>109</v>
      </c>
      <c r="K1319" s="50" t="s">
        <v>109</v>
      </c>
      <c r="L1319" s="50" t="s">
        <v>12</v>
      </c>
      <c r="M1319" s="50" t="s">
        <v>13</v>
      </c>
      <c r="N1319" s="50" t="s">
        <v>14</v>
      </c>
      <c r="O1319" s="48" t="s">
        <v>620</v>
      </c>
      <c r="P1319" s="45" t="s">
        <v>453</v>
      </c>
      <c r="Q1319" s="35" t="str">
        <f>MID(Tabla1[[#This Row],[Aplicación]],14,1)</f>
        <v>2</v>
      </c>
      <c r="R1319" s="35" t="s">
        <v>441</v>
      </c>
      <c r="S1319" s="35" t="str">
        <f>MID(Tabla1[[#This Row],[Aplicación]],6,2)</f>
        <v>10</v>
      </c>
      <c r="T1319" s="35" t="str">
        <f>VLOOKUP(Tabla1[[#This Row],[AREA]],Hoja1!A:B,2,FALSE)</f>
        <v>10. Servicios sociales y mediación comunitaria</v>
      </c>
      <c r="U1319" s="35" t="str">
        <f>MID(Tabla1[[#This Row],[Aplicación]],9,4)</f>
        <v>2412</v>
      </c>
      <c r="V1319" s="35" t="str">
        <f>VLOOKUP(Tabla1[[#This Row],[PROGRAMA]],Hoja1!A:B,2,FALSE)</f>
        <v>2412. Formación para el empleo</v>
      </c>
      <c r="W1319" s="35" t="str">
        <f>MID(Tabla1[[#This Row],[Aplicación]],14,2)</f>
        <v>22</v>
      </c>
      <c r="X1319" s="35" t="str">
        <f>MID(Tabla1[[#This Row],[Aplicación]],14,6)</f>
        <v>22799</v>
      </c>
    </row>
    <row r="1320" spans="1:24" x14ac:dyDescent="0.25">
      <c r="A1320" s="49">
        <v>220220010329</v>
      </c>
      <c r="B1320" s="50" t="s">
        <v>9</v>
      </c>
      <c r="C1320" s="57">
        <v>44641</v>
      </c>
      <c r="D1320" s="49">
        <v>22022002906</v>
      </c>
      <c r="E1320" s="50" t="s">
        <v>1436</v>
      </c>
      <c r="F1320" s="58">
        <v>800</v>
      </c>
      <c r="G1320" s="50" t="s">
        <v>1350</v>
      </c>
      <c r="H1320" s="50" t="s">
        <v>2741</v>
      </c>
      <c r="I1320" s="49" t="s">
        <v>107</v>
      </c>
      <c r="J1320" s="50" t="s">
        <v>1019</v>
      </c>
      <c r="K1320" s="50" t="s">
        <v>109</v>
      </c>
      <c r="L1320" s="50" t="s">
        <v>12</v>
      </c>
      <c r="M1320" s="50" t="s">
        <v>10</v>
      </c>
      <c r="N1320" s="50" t="s">
        <v>11</v>
      </c>
      <c r="O1320" s="48" t="s">
        <v>632</v>
      </c>
      <c r="P1320" s="45" t="s">
        <v>453</v>
      </c>
      <c r="Q1320" s="35" t="str">
        <f>MID(Tabla1[[#This Row],[Aplicación]],14,1)</f>
        <v>2</v>
      </c>
      <c r="R1320" s="35" t="s">
        <v>441</v>
      </c>
      <c r="S1320" s="35" t="str">
        <f>MID(Tabla1[[#This Row],[Aplicación]],6,2)</f>
        <v>03</v>
      </c>
      <c r="T1320" s="35" t="str">
        <f>VLOOKUP(Tabla1[[#This Row],[AREA]],Hoja1!A:B,2,FALSE)</f>
        <v>03. Participación ciudadana y deportes</v>
      </c>
      <c r="U1320" s="35" t="str">
        <f>MID(Tabla1[[#This Row],[Aplicación]],9,4)</f>
        <v>9241</v>
      </c>
      <c r="V1320" s="35" t="str">
        <f>VLOOKUP(Tabla1[[#This Row],[PROGRAMA]],Hoja1!A:B,2,FALSE)</f>
        <v>9241. Participación ciudadana</v>
      </c>
      <c r="W1320" s="35" t="str">
        <f>MID(Tabla1[[#This Row],[Aplicación]],14,2)</f>
        <v>22</v>
      </c>
      <c r="X1320" s="35" t="str">
        <f>MID(Tabla1[[#This Row],[Aplicación]],14,6)</f>
        <v>22609</v>
      </c>
    </row>
    <row r="1321" spans="1:24" x14ac:dyDescent="0.25">
      <c r="A1321" s="49">
        <v>220220001787</v>
      </c>
      <c r="B1321" s="50" t="s">
        <v>9</v>
      </c>
      <c r="C1321" s="57">
        <v>44589</v>
      </c>
      <c r="D1321" s="49">
        <v>22022001519</v>
      </c>
      <c r="E1321" s="50" t="s">
        <v>1611</v>
      </c>
      <c r="F1321" s="58">
        <v>1818</v>
      </c>
      <c r="G1321" s="50" t="s">
        <v>61</v>
      </c>
      <c r="H1321" s="50" t="s">
        <v>2742</v>
      </c>
      <c r="I1321" s="49" t="s">
        <v>107</v>
      </c>
      <c r="J1321" s="50" t="s">
        <v>109</v>
      </c>
      <c r="K1321" s="50" t="s">
        <v>109</v>
      </c>
      <c r="L1321" s="50" t="s">
        <v>15</v>
      </c>
      <c r="M1321" s="50" t="s">
        <v>10</v>
      </c>
      <c r="N1321" s="50" t="s">
        <v>11</v>
      </c>
      <c r="O1321" s="48" t="s">
        <v>632</v>
      </c>
      <c r="P1321" s="45" t="s">
        <v>453</v>
      </c>
      <c r="Q1321" s="35" t="str">
        <f>MID(Tabla1[[#This Row],[Aplicación]],14,1)</f>
        <v>2</v>
      </c>
      <c r="R1321" s="35" t="s">
        <v>441</v>
      </c>
      <c r="S1321" s="35" t="str">
        <f>MID(Tabla1[[#This Row],[Aplicación]],6,2)</f>
        <v>01</v>
      </c>
      <c r="T1321" s="35" t="str">
        <f>VLOOKUP(Tabla1[[#This Row],[AREA]],Hoja1!A:B,2,FALSE)</f>
        <v>01. Alcaldía</v>
      </c>
      <c r="U1321" s="35" t="str">
        <f>MID(Tabla1[[#This Row],[Aplicación]],9,4)</f>
        <v>9207</v>
      </c>
      <c r="V1321" s="35" t="str">
        <f>VLOOKUP(Tabla1[[#This Row],[PROGRAMA]],Hoja1!A:B,2,FALSE)</f>
        <v>9207. Gobierno y relaciones</v>
      </c>
      <c r="W1321" s="35" t="str">
        <f>MID(Tabla1[[#This Row],[Aplicación]],14,2)</f>
        <v>22</v>
      </c>
      <c r="X1321" s="35" t="str">
        <f>MID(Tabla1[[#This Row],[Aplicación]],14,6)</f>
        <v>22001</v>
      </c>
    </row>
    <row r="1322" spans="1:24" x14ac:dyDescent="0.25">
      <c r="A1322" s="49">
        <v>220219000852</v>
      </c>
      <c r="B1322" s="50" t="s">
        <v>9</v>
      </c>
      <c r="C1322" s="57">
        <v>44562</v>
      </c>
      <c r="D1322" s="49">
        <v>22022000097</v>
      </c>
      <c r="E1322" s="50" t="s">
        <v>1619</v>
      </c>
      <c r="F1322" s="58">
        <v>48400</v>
      </c>
      <c r="G1322" s="50" t="s">
        <v>907</v>
      </c>
      <c r="H1322" s="50" t="s">
        <v>1053</v>
      </c>
      <c r="I1322" s="49" t="s">
        <v>107</v>
      </c>
      <c r="J1322" s="50" t="s">
        <v>908</v>
      </c>
      <c r="K1322" s="50" t="s">
        <v>909</v>
      </c>
      <c r="L1322" s="50" t="s">
        <v>15</v>
      </c>
      <c r="M1322" s="50" t="s">
        <v>13</v>
      </c>
      <c r="N1322" s="50" t="s">
        <v>14</v>
      </c>
      <c r="O1322" s="48" t="s">
        <v>620</v>
      </c>
      <c r="P1322" s="45" t="s">
        <v>453</v>
      </c>
      <c r="Q1322" s="35" t="str">
        <f>MID(Tabla1[[#This Row],[Aplicación]],14,1)</f>
        <v>2</v>
      </c>
      <c r="R1322" s="35" t="s">
        <v>441</v>
      </c>
      <c r="S1322" s="35" t="str">
        <f>MID(Tabla1[[#This Row],[Aplicación]],6,2)</f>
        <v>11</v>
      </c>
      <c r="T1322" s="35" t="str">
        <f>VLOOKUP(Tabla1[[#This Row],[AREA]],Hoja1!A:B,2,FALSE)</f>
        <v>11. Salud pública y seguridad ciudadana</v>
      </c>
      <c r="U1322" s="35" t="str">
        <f>MID(Tabla1[[#This Row],[Aplicación]],9,4)</f>
        <v>1631</v>
      </c>
      <c r="V1322" s="35" t="str">
        <f>VLOOKUP(Tabla1[[#This Row],[PROGRAMA]],Hoja1!A:B,2,FALSE)</f>
        <v>1631. Limpieza viaria</v>
      </c>
      <c r="W1322" s="35" t="str">
        <f>MID(Tabla1[[#This Row],[Aplicación]],14,2)</f>
        <v>22</v>
      </c>
      <c r="X1322" s="35" t="str">
        <f>MID(Tabla1[[#This Row],[Aplicación]],14,6)</f>
        <v>22110</v>
      </c>
    </row>
    <row r="1323" spans="1:24" x14ac:dyDescent="0.25">
      <c r="A1323" s="49">
        <v>220220012376</v>
      </c>
      <c r="B1323" s="50" t="s">
        <v>9</v>
      </c>
      <c r="C1323" s="57">
        <v>44643</v>
      </c>
      <c r="D1323" s="49">
        <v>22022002930</v>
      </c>
      <c r="E1323" s="50" t="s">
        <v>1780</v>
      </c>
      <c r="F1323" s="58">
        <v>1419</v>
      </c>
      <c r="G1323" s="50" t="s">
        <v>1145</v>
      </c>
      <c r="H1323" s="50" t="s">
        <v>2743</v>
      </c>
      <c r="I1323" s="49" t="s">
        <v>107</v>
      </c>
      <c r="J1323" s="50" t="s">
        <v>109</v>
      </c>
      <c r="K1323" s="50" t="s">
        <v>109</v>
      </c>
      <c r="L1323" s="50" t="s">
        <v>12</v>
      </c>
      <c r="M1323" s="50" t="s">
        <v>10</v>
      </c>
      <c r="N1323" s="50" t="s">
        <v>11</v>
      </c>
      <c r="O1323" s="48" t="s">
        <v>632</v>
      </c>
      <c r="P1323" s="45" t="s">
        <v>453</v>
      </c>
      <c r="Q1323" s="35" t="str">
        <f>MID(Tabla1[[#This Row],[Aplicación]],14,1)</f>
        <v>2</v>
      </c>
      <c r="R1323" s="35" t="s">
        <v>441</v>
      </c>
      <c r="S1323" s="35" t="str">
        <f>MID(Tabla1[[#This Row],[Aplicación]],6,2)</f>
        <v>10</v>
      </c>
      <c r="T1323" s="35" t="str">
        <f>VLOOKUP(Tabla1[[#This Row],[AREA]],Hoja1!A:B,2,FALSE)</f>
        <v>10. Servicios sociales y mediación comunitaria</v>
      </c>
      <c r="U1323" s="35" t="str">
        <f>MID(Tabla1[[#This Row],[Aplicación]],9,4)</f>
        <v>2316</v>
      </c>
      <c r="V1323" s="35" t="str">
        <f>VLOOKUP(Tabla1[[#This Row],[PROGRAMA]],Hoja1!A:B,2,FALSE)</f>
        <v>2316. Mediación comunitaria</v>
      </c>
      <c r="W1323" s="35" t="str">
        <f>MID(Tabla1[[#This Row],[Aplicación]],14,2)</f>
        <v>22</v>
      </c>
      <c r="X1323" s="35" t="str">
        <f>MID(Tabla1[[#This Row],[Aplicación]],14,6)</f>
        <v>22799</v>
      </c>
    </row>
    <row r="1324" spans="1:24" x14ac:dyDescent="0.25">
      <c r="A1324" s="49">
        <v>220220009341</v>
      </c>
      <c r="B1324" s="50" t="s">
        <v>9</v>
      </c>
      <c r="C1324" s="57">
        <v>44636</v>
      </c>
      <c r="D1324" s="49">
        <v>22022002629</v>
      </c>
      <c r="E1324" s="50" t="s">
        <v>2744</v>
      </c>
      <c r="F1324" s="58">
        <v>272.25</v>
      </c>
      <c r="G1324" s="50" t="s">
        <v>1026</v>
      </c>
      <c r="H1324" s="50" t="s">
        <v>2745</v>
      </c>
      <c r="I1324" s="49" t="s">
        <v>107</v>
      </c>
      <c r="J1324" s="50" t="s">
        <v>109</v>
      </c>
      <c r="K1324" s="50" t="s">
        <v>109</v>
      </c>
      <c r="L1324" s="50" t="s">
        <v>12</v>
      </c>
      <c r="M1324" s="50" t="s">
        <v>10</v>
      </c>
      <c r="N1324" s="50" t="s">
        <v>11</v>
      </c>
      <c r="O1324" s="48" t="s">
        <v>632</v>
      </c>
      <c r="P1324" s="45" t="s">
        <v>453</v>
      </c>
      <c r="Q1324" s="35" t="str">
        <f>MID(Tabla1[[#This Row],[Aplicación]],14,1)</f>
        <v>2</v>
      </c>
      <c r="R1324" s="35" t="s">
        <v>441</v>
      </c>
      <c r="S1324" s="35" t="str">
        <f>MID(Tabla1[[#This Row],[Aplicación]],6,2)</f>
        <v>01</v>
      </c>
      <c r="T1324" s="35" t="str">
        <f>VLOOKUP(Tabla1[[#This Row],[AREA]],Hoja1!A:B,2,FALSE)</f>
        <v>01. Alcaldía</v>
      </c>
      <c r="U1324" s="35" t="str">
        <f>MID(Tabla1[[#This Row],[Aplicación]],9,4)</f>
        <v>9207</v>
      </c>
      <c r="V1324" s="35" t="str">
        <f>VLOOKUP(Tabla1[[#This Row],[PROGRAMA]],Hoja1!A:B,2,FALSE)</f>
        <v>9207. Gobierno y relaciones</v>
      </c>
      <c r="W1324" s="35" t="str">
        <f>MID(Tabla1[[#This Row],[Aplicación]],14,2)</f>
        <v>22</v>
      </c>
      <c r="X1324" s="35" t="str">
        <f>MID(Tabla1[[#This Row],[Aplicación]],14,6)</f>
        <v>22699</v>
      </c>
    </row>
    <row r="1325" spans="1:24" x14ac:dyDescent="0.25">
      <c r="A1325" s="49">
        <v>220220003102</v>
      </c>
      <c r="B1325" s="50" t="s">
        <v>9</v>
      </c>
      <c r="C1325" s="57">
        <v>44601</v>
      </c>
      <c r="D1325" s="49">
        <v>22022001843</v>
      </c>
      <c r="E1325" s="50" t="s">
        <v>1827</v>
      </c>
      <c r="F1325" s="58">
        <v>3729.28</v>
      </c>
      <c r="G1325" s="50" t="s">
        <v>2746</v>
      </c>
      <c r="H1325" s="50" t="s">
        <v>2747</v>
      </c>
      <c r="I1325" s="49" t="s">
        <v>107</v>
      </c>
      <c r="J1325" s="50" t="s">
        <v>108</v>
      </c>
      <c r="K1325" s="50" t="s">
        <v>108</v>
      </c>
      <c r="L1325" s="50" t="s">
        <v>12</v>
      </c>
      <c r="M1325" s="50" t="s">
        <v>10</v>
      </c>
      <c r="N1325" s="50" t="s">
        <v>11</v>
      </c>
      <c r="O1325" s="48" t="s">
        <v>632</v>
      </c>
      <c r="P1325" s="45" t="s">
        <v>453</v>
      </c>
      <c r="Q1325" s="35" t="str">
        <f>MID(Tabla1[[#This Row],[Aplicación]],14,1)</f>
        <v>2</v>
      </c>
      <c r="R1325" s="35" t="s">
        <v>441</v>
      </c>
      <c r="S1325" s="35" t="str">
        <f>MID(Tabla1[[#This Row],[Aplicación]],6,2)</f>
        <v>11</v>
      </c>
      <c r="T1325" s="35" t="str">
        <f>VLOOKUP(Tabla1[[#This Row],[AREA]],Hoja1!A:B,2,FALSE)</f>
        <v>11. Salud pública y seguridad ciudadana</v>
      </c>
      <c r="U1325" s="35" t="str">
        <f>MID(Tabla1[[#This Row],[Aplicación]],9,4)</f>
        <v>1361</v>
      </c>
      <c r="V1325" s="35" t="str">
        <f>VLOOKUP(Tabla1[[#This Row],[PROGRAMA]],Hoja1!A:B,2,FALSE)</f>
        <v>1361. Prevención y extinción de incencios</v>
      </c>
      <c r="W1325" s="35" t="str">
        <f>MID(Tabla1[[#This Row],[Aplicación]],14,2)</f>
        <v>21</v>
      </c>
      <c r="X1325" s="35" t="str">
        <f>MID(Tabla1[[#This Row],[Aplicación]],14,6)</f>
        <v>214</v>
      </c>
    </row>
    <row r="1326" spans="1:24" x14ac:dyDescent="0.25">
      <c r="A1326" s="49">
        <v>220220000070</v>
      </c>
      <c r="B1326" s="50" t="s">
        <v>9</v>
      </c>
      <c r="C1326" s="57">
        <v>44580</v>
      </c>
      <c r="D1326" s="49">
        <v>22022000891</v>
      </c>
      <c r="E1326" s="50" t="s">
        <v>1644</v>
      </c>
      <c r="F1326" s="58">
        <v>7000</v>
      </c>
      <c r="G1326" s="50" t="s">
        <v>96</v>
      </c>
      <c r="H1326" s="50" t="s">
        <v>2748</v>
      </c>
      <c r="I1326" s="49" t="s">
        <v>107</v>
      </c>
      <c r="J1326" s="50" t="s">
        <v>538</v>
      </c>
      <c r="K1326" s="50" t="s">
        <v>183</v>
      </c>
      <c r="L1326" s="50" t="s">
        <v>15</v>
      </c>
      <c r="M1326" s="50" t="s">
        <v>10</v>
      </c>
      <c r="N1326" s="50" t="s">
        <v>11</v>
      </c>
      <c r="O1326" s="48" t="s">
        <v>632</v>
      </c>
      <c r="P1326" s="45" t="s">
        <v>453</v>
      </c>
      <c r="Q1326" s="35" t="str">
        <f>MID(Tabla1[[#This Row],[Aplicación]],14,1)</f>
        <v>2</v>
      </c>
      <c r="R1326" s="35" t="s">
        <v>441</v>
      </c>
      <c r="S1326" s="35" t="str">
        <f>MID(Tabla1[[#This Row],[Aplicación]],6,2)</f>
        <v>11</v>
      </c>
      <c r="T1326" s="35" t="str">
        <f>VLOOKUP(Tabla1[[#This Row],[AREA]],Hoja1!A:B,2,FALSE)</f>
        <v>11. Salud pública y seguridad ciudadana</v>
      </c>
      <c r="U1326" s="35" t="str">
        <f>MID(Tabla1[[#This Row],[Aplicación]],9,4)</f>
        <v>1621</v>
      </c>
      <c r="V1326" s="35" t="str">
        <f>VLOOKUP(Tabla1[[#This Row],[PROGRAMA]],Hoja1!A:B,2,FALSE)</f>
        <v>1621. Servicio de limpieza</v>
      </c>
      <c r="W1326" s="35" t="str">
        <f>MID(Tabla1[[#This Row],[Aplicación]],14,2)</f>
        <v>21</v>
      </c>
      <c r="X1326" s="35" t="str">
        <f>MID(Tabla1[[#This Row],[Aplicación]],14,6)</f>
        <v>214</v>
      </c>
    </row>
    <row r="1327" spans="1:24" x14ac:dyDescent="0.25">
      <c r="A1327" s="49">
        <v>220219000189</v>
      </c>
      <c r="B1327" s="50" t="s">
        <v>9</v>
      </c>
      <c r="C1327" s="57">
        <v>44562</v>
      </c>
      <c r="D1327" s="49">
        <v>22022000391</v>
      </c>
      <c r="E1327" s="50" t="s">
        <v>1587</v>
      </c>
      <c r="F1327" s="58">
        <v>83675.56</v>
      </c>
      <c r="G1327" s="50" t="s">
        <v>101</v>
      </c>
      <c r="H1327" s="50" t="s">
        <v>1391</v>
      </c>
      <c r="I1327" s="49" t="s">
        <v>107</v>
      </c>
      <c r="J1327" s="50" t="s">
        <v>109</v>
      </c>
      <c r="K1327" s="50" t="s">
        <v>109</v>
      </c>
      <c r="L1327" s="50" t="s">
        <v>12</v>
      </c>
      <c r="M1327" s="50" t="s">
        <v>13</v>
      </c>
      <c r="N1327" s="50" t="s">
        <v>14</v>
      </c>
      <c r="O1327" s="48" t="s">
        <v>620</v>
      </c>
      <c r="P1327" s="45" t="s">
        <v>453</v>
      </c>
      <c r="Q1327" s="35" t="str">
        <f>MID(Tabla1[[#This Row],[Aplicación]],14,1)</f>
        <v>2</v>
      </c>
      <c r="R1327" s="35" t="s">
        <v>441</v>
      </c>
      <c r="S1327" s="35" t="str">
        <f>MID(Tabla1[[#This Row],[Aplicación]],6,2)</f>
        <v>07</v>
      </c>
      <c r="T1327" s="35" t="str">
        <f>VLOOKUP(Tabla1[[#This Row],[AREA]],Hoja1!A:B,2,FALSE)</f>
        <v>07. Medio ambiente y desarrollo sostenible</v>
      </c>
      <c r="U1327" s="35" t="str">
        <f>MID(Tabla1[[#This Row],[Aplicación]],9,4)</f>
        <v>1711</v>
      </c>
      <c r="V1327" s="35" t="str">
        <f>VLOOKUP(Tabla1[[#This Row],[PROGRAMA]],Hoja1!A:B,2,FALSE)</f>
        <v>1711. Parques y jardines</v>
      </c>
      <c r="W1327" s="35" t="str">
        <f>MID(Tabla1[[#This Row],[Aplicación]],14,2)</f>
        <v>22</v>
      </c>
      <c r="X1327" s="35" t="str">
        <f>MID(Tabla1[[#This Row],[Aplicación]],14,6)</f>
        <v>22799</v>
      </c>
    </row>
    <row r="1328" spans="1:24" x14ac:dyDescent="0.25">
      <c r="A1328" s="49">
        <v>220219000658</v>
      </c>
      <c r="B1328" s="50" t="s">
        <v>9</v>
      </c>
      <c r="C1328" s="57">
        <v>44562</v>
      </c>
      <c r="D1328" s="49">
        <v>22022000574</v>
      </c>
      <c r="E1328" s="50" t="s">
        <v>1361</v>
      </c>
      <c r="F1328" s="58">
        <v>76377.66</v>
      </c>
      <c r="G1328" s="50" t="s">
        <v>462</v>
      </c>
      <c r="H1328" s="50" t="s">
        <v>2749</v>
      </c>
      <c r="I1328" s="49" t="s">
        <v>107</v>
      </c>
      <c r="J1328" s="50" t="s">
        <v>109</v>
      </c>
      <c r="K1328" s="50" t="s">
        <v>109</v>
      </c>
      <c r="L1328" s="50" t="s">
        <v>12</v>
      </c>
      <c r="M1328" s="50" t="s">
        <v>13</v>
      </c>
      <c r="N1328" s="50" t="s">
        <v>14</v>
      </c>
      <c r="O1328" s="48" t="s">
        <v>620</v>
      </c>
      <c r="P1328" s="45" t="s">
        <v>453</v>
      </c>
      <c r="Q1328" s="35" t="str">
        <f>MID(Tabla1[[#This Row],[Aplicación]],14,1)</f>
        <v>2</v>
      </c>
      <c r="R1328" s="35" t="s">
        <v>441</v>
      </c>
      <c r="S1328" s="35" t="str">
        <f>MID(Tabla1[[#This Row],[Aplicación]],6,2)</f>
        <v>10</v>
      </c>
      <c r="T1328" s="35" t="str">
        <f>VLOOKUP(Tabla1[[#This Row],[AREA]],Hoja1!A:B,2,FALSE)</f>
        <v>10. Servicios sociales y mediación comunitaria</v>
      </c>
      <c r="U1328" s="35" t="str">
        <f>MID(Tabla1[[#This Row],[Aplicación]],9,4)</f>
        <v>2311</v>
      </c>
      <c r="V1328" s="35" t="str">
        <f>VLOOKUP(Tabla1[[#This Row],[PROGRAMA]],Hoja1!A:B,2,FALSE)</f>
        <v>2311. Intervención social</v>
      </c>
      <c r="W1328" s="35" t="str">
        <f>MID(Tabla1[[#This Row],[Aplicación]],14,2)</f>
        <v>22</v>
      </c>
      <c r="X1328" s="35" t="str">
        <f>MID(Tabla1[[#This Row],[Aplicación]],14,6)</f>
        <v>22799</v>
      </c>
    </row>
    <row r="1329" spans="1:24" x14ac:dyDescent="0.25">
      <c r="A1329" s="49">
        <v>220210073418</v>
      </c>
      <c r="B1329" s="50" t="s">
        <v>9</v>
      </c>
      <c r="C1329" s="57">
        <v>44631</v>
      </c>
      <c r="D1329" s="49">
        <v>22021003352</v>
      </c>
      <c r="E1329" s="50" t="s">
        <v>2750</v>
      </c>
      <c r="F1329" s="58">
        <v>74090.03</v>
      </c>
      <c r="G1329" s="50" t="s">
        <v>1143</v>
      </c>
      <c r="H1329" s="50" t="s">
        <v>1192</v>
      </c>
      <c r="I1329" s="49" t="s">
        <v>107</v>
      </c>
      <c r="J1329" s="50" t="s">
        <v>109</v>
      </c>
      <c r="K1329" s="50" t="s">
        <v>109</v>
      </c>
      <c r="L1329" s="50" t="s">
        <v>25</v>
      </c>
      <c r="M1329" s="50" t="s">
        <v>13</v>
      </c>
      <c r="N1329" s="50" t="s">
        <v>14</v>
      </c>
      <c r="O1329" s="48" t="s">
        <v>620</v>
      </c>
      <c r="P1329" s="45" t="s">
        <v>453</v>
      </c>
      <c r="Q1329" s="35" t="str">
        <f>MID(Tabla1[[#This Row],[Aplicación]],14,1)</f>
        <v>6</v>
      </c>
      <c r="R1329" s="35" t="s">
        <v>442</v>
      </c>
      <c r="S1329" s="35" t="str">
        <f>MID(Tabla1[[#This Row],[Aplicación]],6,2)</f>
        <v>11</v>
      </c>
      <c r="T1329" s="35" t="str">
        <f>VLOOKUP(Tabla1[[#This Row],[AREA]],Hoja1!A:B,2,FALSE)</f>
        <v>11. Salud pública y seguridad ciudadana</v>
      </c>
      <c r="U1329" s="35" t="str">
        <f>MID(Tabla1[[#This Row],[Aplicación]],9,4)</f>
        <v>1361</v>
      </c>
      <c r="V1329" s="35" t="str">
        <f>VLOOKUP(Tabla1[[#This Row],[PROGRAMA]],Hoja1!A:B,2,FALSE)</f>
        <v>1361. Prevención y extinción de incencios</v>
      </c>
      <c r="W1329" s="35" t="str">
        <f>MID(Tabla1[[#This Row],[Aplicación]],14,2)</f>
        <v>63</v>
      </c>
      <c r="X1329" s="35" t="str">
        <f>MID(Tabla1[[#This Row],[Aplicación]],14,6)</f>
        <v>632</v>
      </c>
    </row>
    <row r="1330" spans="1:24" x14ac:dyDescent="0.25">
      <c r="A1330" s="49">
        <v>220219000525</v>
      </c>
      <c r="B1330" s="50" t="s">
        <v>9</v>
      </c>
      <c r="C1330" s="57">
        <v>44562</v>
      </c>
      <c r="D1330" s="49">
        <v>22022002191</v>
      </c>
      <c r="E1330" s="50" t="s">
        <v>1676</v>
      </c>
      <c r="F1330" s="58">
        <v>73852.47</v>
      </c>
      <c r="G1330" s="50" t="s">
        <v>750</v>
      </c>
      <c r="H1330" s="50" t="s">
        <v>2751</v>
      </c>
      <c r="I1330" s="49" t="s">
        <v>107</v>
      </c>
      <c r="J1330" s="50" t="s">
        <v>491</v>
      </c>
      <c r="K1330" s="50" t="s">
        <v>108</v>
      </c>
      <c r="L1330" s="50" t="s">
        <v>12</v>
      </c>
      <c r="M1330" s="50" t="s">
        <v>13</v>
      </c>
      <c r="N1330" s="50" t="s">
        <v>14</v>
      </c>
      <c r="O1330" s="48" t="s">
        <v>620</v>
      </c>
      <c r="P1330" s="45" t="s">
        <v>453</v>
      </c>
      <c r="Q1330" s="35" t="str">
        <f>MID(Tabla1[[#This Row],[Aplicación]],14,1)</f>
        <v>6</v>
      </c>
      <c r="R1330" s="35" t="s">
        <v>442</v>
      </c>
      <c r="S1330" s="35" t="str">
        <f>MID(Tabla1[[#This Row],[Aplicación]],6,2)</f>
        <v>04</v>
      </c>
      <c r="T1330" s="35" t="str">
        <f>VLOOKUP(Tabla1[[#This Row],[AREA]],Hoja1!A:B,2,FALSE)</f>
        <v>04. Planificación y recursos</v>
      </c>
      <c r="U1330" s="35" t="str">
        <f>MID(Tabla1[[#This Row],[Aplicación]],9,4)</f>
        <v>9204</v>
      </c>
      <c r="V1330" s="35" t="str">
        <f>VLOOKUP(Tabla1[[#This Row],[PROGRAMA]],Hoja1!A:B,2,FALSE)</f>
        <v>9204. Tecnologías de la información y comunicación</v>
      </c>
      <c r="W1330" s="35" t="str">
        <f>MID(Tabla1[[#This Row],[Aplicación]],14,2)</f>
        <v>64</v>
      </c>
      <c r="X1330" s="35" t="str">
        <f>MID(Tabla1[[#This Row],[Aplicación]],14,6)</f>
        <v>641</v>
      </c>
    </row>
    <row r="1331" spans="1:24" x14ac:dyDescent="0.25">
      <c r="A1331" s="49">
        <v>220219001167</v>
      </c>
      <c r="B1331" s="50" t="s">
        <v>9</v>
      </c>
      <c r="C1331" s="57">
        <v>44562</v>
      </c>
      <c r="D1331" s="49">
        <v>22022000530</v>
      </c>
      <c r="E1331" s="50" t="s">
        <v>1578</v>
      </c>
      <c r="F1331" s="58">
        <v>72329.7</v>
      </c>
      <c r="G1331" s="50" t="s">
        <v>93</v>
      </c>
      <c r="H1331" s="50" t="s">
        <v>2752</v>
      </c>
      <c r="I1331" s="49" t="s">
        <v>107</v>
      </c>
      <c r="J1331" s="50" t="s">
        <v>109</v>
      </c>
      <c r="K1331" s="50" t="s">
        <v>109</v>
      </c>
      <c r="L1331" s="50" t="s">
        <v>12</v>
      </c>
      <c r="M1331" s="50" t="s">
        <v>13</v>
      </c>
      <c r="N1331" s="50" t="s">
        <v>14</v>
      </c>
      <c r="O1331" s="48" t="s">
        <v>620</v>
      </c>
      <c r="P1331" s="45" t="s">
        <v>453</v>
      </c>
      <c r="Q1331" s="35" t="str">
        <f>MID(Tabla1[[#This Row],[Aplicación]],14,1)</f>
        <v>2</v>
      </c>
      <c r="R1331" s="35" t="s">
        <v>441</v>
      </c>
      <c r="S1331" s="35" t="str">
        <f>MID(Tabla1[[#This Row],[Aplicación]],6,2)</f>
        <v>11</v>
      </c>
      <c r="T1331" s="35" t="str">
        <f>VLOOKUP(Tabla1[[#This Row],[AREA]],Hoja1!A:B,2,FALSE)</f>
        <v>11. Salud pública y seguridad ciudadana</v>
      </c>
      <c r="U1331" s="35" t="str">
        <f>MID(Tabla1[[#This Row],[Aplicación]],9,4)</f>
        <v>1621</v>
      </c>
      <c r="V1331" s="35" t="str">
        <f>VLOOKUP(Tabla1[[#This Row],[PROGRAMA]],Hoja1!A:B,2,FALSE)</f>
        <v>1621. Servicio de limpieza</v>
      </c>
      <c r="W1331" s="35" t="str">
        <f>MID(Tabla1[[#This Row],[Aplicación]],14,2)</f>
        <v>22</v>
      </c>
      <c r="X1331" s="35" t="str">
        <f>MID(Tabla1[[#This Row],[Aplicación]],14,6)</f>
        <v>22799</v>
      </c>
    </row>
    <row r="1332" spans="1:24" x14ac:dyDescent="0.25">
      <c r="A1332" s="49">
        <v>220219001213</v>
      </c>
      <c r="B1332" s="50" t="s">
        <v>9</v>
      </c>
      <c r="C1332" s="57">
        <v>44562</v>
      </c>
      <c r="D1332" s="49">
        <v>22022001830</v>
      </c>
      <c r="E1332" s="50" t="s">
        <v>1776</v>
      </c>
      <c r="F1332" s="58">
        <v>66620.3</v>
      </c>
      <c r="G1332" s="50" t="s">
        <v>1354</v>
      </c>
      <c r="H1332" s="50" t="s">
        <v>2753</v>
      </c>
      <c r="I1332" s="49" t="s">
        <v>107</v>
      </c>
      <c r="J1332" s="50" t="s">
        <v>108</v>
      </c>
      <c r="K1332" s="50" t="s">
        <v>108</v>
      </c>
      <c r="L1332" s="50" t="s">
        <v>12</v>
      </c>
      <c r="M1332" s="50" t="s">
        <v>13</v>
      </c>
      <c r="N1332" s="50" t="s">
        <v>14</v>
      </c>
      <c r="O1332" s="48" t="s">
        <v>620</v>
      </c>
      <c r="P1332" s="45" t="s">
        <v>453</v>
      </c>
      <c r="Q1332" s="35" t="str">
        <f>MID(Tabla1[[#This Row],[Aplicación]],14,1)</f>
        <v>2</v>
      </c>
      <c r="R1332" s="35" t="s">
        <v>441</v>
      </c>
      <c r="S1332" s="35" t="str">
        <f>MID(Tabla1[[#This Row],[Aplicación]],6,2)</f>
        <v>11</v>
      </c>
      <c r="T1332" s="35" t="str">
        <f>VLOOKUP(Tabla1[[#This Row],[AREA]],Hoja1!A:B,2,FALSE)</f>
        <v>11. Salud pública y seguridad ciudadana</v>
      </c>
      <c r="U1332" s="35" t="str">
        <f>MID(Tabla1[[#This Row],[Aplicación]],9,4)</f>
        <v>1631</v>
      </c>
      <c r="V1332" s="35" t="str">
        <f>VLOOKUP(Tabla1[[#This Row],[PROGRAMA]],Hoja1!A:B,2,FALSE)</f>
        <v>1631. Limpieza viaria</v>
      </c>
      <c r="W1332" s="35" t="str">
        <f>MID(Tabla1[[#This Row],[Aplicación]],14,2)</f>
        <v>22</v>
      </c>
      <c r="X1332" s="35" t="str">
        <f>MID(Tabla1[[#This Row],[Aplicación]],14,6)</f>
        <v>22700</v>
      </c>
    </row>
    <row r="1333" spans="1:24" x14ac:dyDescent="0.25">
      <c r="A1333" s="49">
        <v>220219000639</v>
      </c>
      <c r="B1333" s="50" t="s">
        <v>9</v>
      </c>
      <c r="C1333" s="57">
        <v>44562</v>
      </c>
      <c r="D1333" s="49">
        <v>22022000085</v>
      </c>
      <c r="E1333" s="50" t="s">
        <v>2726</v>
      </c>
      <c r="F1333" s="58">
        <v>62617.279999999999</v>
      </c>
      <c r="G1333" s="50" t="s">
        <v>182</v>
      </c>
      <c r="H1333" s="50" t="s">
        <v>2754</v>
      </c>
      <c r="I1333" s="49" t="s">
        <v>107</v>
      </c>
      <c r="J1333" s="50" t="s">
        <v>539</v>
      </c>
      <c r="K1333" s="50" t="s">
        <v>109</v>
      </c>
      <c r="L1333" s="50" t="s">
        <v>12</v>
      </c>
      <c r="M1333" s="50" t="s">
        <v>13</v>
      </c>
      <c r="N1333" s="50" t="s">
        <v>14</v>
      </c>
      <c r="O1333" s="48" t="s">
        <v>620</v>
      </c>
      <c r="P1333" s="45" t="s">
        <v>453</v>
      </c>
      <c r="Q1333" s="35" t="str">
        <f>MID(Tabla1[[#This Row],[Aplicación]],14,1)</f>
        <v>2</v>
      </c>
      <c r="R1333" s="35" t="s">
        <v>441</v>
      </c>
      <c r="S1333" s="35" t="str">
        <f>MID(Tabla1[[#This Row],[Aplicación]],6,2)</f>
        <v>06</v>
      </c>
      <c r="T1333" s="35" t="str">
        <f>VLOOKUP(Tabla1[[#This Row],[AREA]],Hoja1!A:B,2,FALSE)</f>
        <v>06. Educación, infancia, juventud e igualdad</v>
      </c>
      <c r="U1333" s="35" t="str">
        <f>MID(Tabla1[[#This Row],[Aplicación]],9,4)</f>
        <v>2315</v>
      </c>
      <c r="V1333" s="35" t="str">
        <f>VLOOKUP(Tabla1[[#This Row],[PROGRAMA]],Hoja1!A:B,2,FALSE)</f>
        <v>2315. Políticas de Igualdad e infancia</v>
      </c>
      <c r="W1333" s="35" t="str">
        <f>MID(Tabla1[[#This Row],[Aplicación]],14,2)</f>
        <v>22</v>
      </c>
      <c r="X1333" s="35" t="str">
        <f>MID(Tabla1[[#This Row],[Aplicación]],14,6)</f>
        <v>22619</v>
      </c>
    </row>
    <row r="1334" spans="1:24" x14ac:dyDescent="0.25">
      <c r="A1334" s="49">
        <v>220219000152</v>
      </c>
      <c r="B1334" s="50" t="s">
        <v>9</v>
      </c>
      <c r="C1334" s="57">
        <v>44562</v>
      </c>
      <c r="D1334" s="49">
        <v>22022002184</v>
      </c>
      <c r="E1334" s="50" t="s">
        <v>1676</v>
      </c>
      <c r="F1334" s="58">
        <v>59533.75</v>
      </c>
      <c r="G1334" s="50" t="s">
        <v>914</v>
      </c>
      <c r="H1334" s="50" t="s">
        <v>966</v>
      </c>
      <c r="I1334" s="49" t="s">
        <v>107</v>
      </c>
      <c r="J1334" s="50" t="s">
        <v>118</v>
      </c>
      <c r="K1334" s="50" t="s">
        <v>118</v>
      </c>
      <c r="L1334" s="50" t="s">
        <v>12</v>
      </c>
      <c r="M1334" s="50" t="s">
        <v>13</v>
      </c>
      <c r="N1334" s="50" t="s">
        <v>14</v>
      </c>
      <c r="O1334" s="48" t="s">
        <v>620</v>
      </c>
      <c r="P1334" s="45" t="s">
        <v>453</v>
      </c>
      <c r="Q1334" s="35" t="str">
        <f>MID(Tabla1[[#This Row],[Aplicación]],14,1)</f>
        <v>6</v>
      </c>
      <c r="R1334" s="35" t="s">
        <v>442</v>
      </c>
      <c r="S1334" s="35" t="str">
        <f>MID(Tabla1[[#This Row],[Aplicación]],6,2)</f>
        <v>04</v>
      </c>
      <c r="T1334" s="35" t="str">
        <f>VLOOKUP(Tabla1[[#This Row],[AREA]],Hoja1!A:B,2,FALSE)</f>
        <v>04. Planificación y recursos</v>
      </c>
      <c r="U1334" s="35" t="str">
        <f>MID(Tabla1[[#This Row],[Aplicación]],9,4)</f>
        <v>9204</v>
      </c>
      <c r="V1334" s="35" t="str">
        <f>VLOOKUP(Tabla1[[#This Row],[PROGRAMA]],Hoja1!A:B,2,FALSE)</f>
        <v>9204. Tecnologías de la información y comunicación</v>
      </c>
      <c r="W1334" s="35" t="str">
        <f>MID(Tabla1[[#This Row],[Aplicación]],14,2)</f>
        <v>64</v>
      </c>
      <c r="X1334" s="35" t="str">
        <f>MID(Tabla1[[#This Row],[Aplicación]],14,6)</f>
        <v>641</v>
      </c>
    </row>
    <row r="1335" spans="1:24" x14ac:dyDescent="0.25">
      <c r="A1335" s="49">
        <v>220209000660</v>
      </c>
      <c r="B1335" s="50" t="s">
        <v>9</v>
      </c>
      <c r="C1335" s="57">
        <v>44562</v>
      </c>
      <c r="D1335" s="49">
        <v>22022000228</v>
      </c>
      <c r="E1335" s="50" t="s">
        <v>1886</v>
      </c>
      <c r="F1335" s="58">
        <v>53699.8</v>
      </c>
      <c r="G1335" s="50" t="s">
        <v>159</v>
      </c>
      <c r="H1335" s="50" t="s">
        <v>786</v>
      </c>
      <c r="I1335" s="49" t="s">
        <v>107</v>
      </c>
      <c r="J1335" s="50" t="s">
        <v>128</v>
      </c>
      <c r="K1335" s="50" t="s">
        <v>128</v>
      </c>
      <c r="L1335" s="50" t="s">
        <v>12</v>
      </c>
      <c r="M1335" s="50" t="s">
        <v>13</v>
      </c>
      <c r="N1335" s="50" t="s">
        <v>14</v>
      </c>
      <c r="O1335" s="48" t="s">
        <v>620</v>
      </c>
      <c r="P1335" s="45" t="s">
        <v>453</v>
      </c>
      <c r="Q1335" s="35" t="str">
        <f>MID(Tabla1[[#This Row],[Aplicación]],14,1)</f>
        <v>2</v>
      </c>
      <c r="R1335" s="35" t="s">
        <v>441</v>
      </c>
      <c r="S1335" s="35" t="str">
        <f>MID(Tabla1[[#This Row],[Aplicación]],6,2)</f>
        <v>09</v>
      </c>
      <c r="T1335" s="35" t="str">
        <f>VLOOKUP(Tabla1[[#This Row],[AREA]],Hoja1!A:B,2,FALSE)</f>
        <v>09. Cultura y turismo</v>
      </c>
      <c r="U1335" s="35" t="str">
        <f>MID(Tabla1[[#This Row],[Aplicación]],9,4)</f>
        <v>3341</v>
      </c>
      <c r="V1335" s="35" t="str">
        <f>VLOOKUP(Tabla1[[#This Row],[PROGRAMA]],Hoja1!A:B,2,FALSE)</f>
        <v>3341. Coordinación de políticas culturales</v>
      </c>
      <c r="W1335" s="35" t="str">
        <f>MID(Tabla1[[#This Row],[Aplicación]],14,2)</f>
        <v>22</v>
      </c>
      <c r="X1335" s="35" t="str">
        <f>MID(Tabla1[[#This Row],[Aplicación]],14,6)</f>
        <v>22799</v>
      </c>
    </row>
    <row r="1336" spans="1:24" x14ac:dyDescent="0.25">
      <c r="A1336" s="49">
        <v>220219000971</v>
      </c>
      <c r="B1336" s="50" t="s">
        <v>9</v>
      </c>
      <c r="C1336" s="57">
        <v>44562</v>
      </c>
      <c r="D1336" s="49">
        <v>22022000620</v>
      </c>
      <c r="E1336" s="50" t="s">
        <v>1373</v>
      </c>
      <c r="F1336" s="58">
        <v>85184</v>
      </c>
      <c r="G1336" s="50" t="s">
        <v>741</v>
      </c>
      <c r="H1336" s="50" t="s">
        <v>2755</v>
      </c>
      <c r="I1336" s="49" t="s">
        <v>107</v>
      </c>
      <c r="J1336" s="50" t="s">
        <v>108</v>
      </c>
      <c r="K1336" s="50" t="s">
        <v>108</v>
      </c>
      <c r="L1336" s="50" t="s">
        <v>12</v>
      </c>
      <c r="M1336" s="50" t="s">
        <v>13</v>
      </c>
      <c r="N1336" s="50" t="s">
        <v>14</v>
      </c>
      <c r="O1336" s="48" t="s">
        <v>620</v>
      </c>
      <c r="P1336" s="45" t="s">
        <v>453</v>
      </c>
      <c r="Q1336" s="35" t="str">
        <f>MID(Tabla1[[#This Row],[Aplicación]],14,1)</f>
        <v>2</v>
      </c>
      <c r="R1336" s="35" t="s">
        <v>441</v>
      </c>
      <c r="S1336" s="35" t="str">
        <f>MID(Tabla1[[#This Row],[Aplicación]],6,2)</f>
        <v>06</v>
      </c>
      <c r="T1336" s="35" t="str">
        <f>VLOOKUP(Tabla1[[#This Row],[AREA]],Hoja1!A:B,2,FALSE)</f>
        <v>06. Educación, infancia, juventud e igualdad</v>
      </c>
      <c r="U1336" s="35" t="str">
        <f>MID(Tabla1[[#This Row],[Aplicación]],9,4)</f>
        <v>3232</v>
      </c>
      <c r="V1336" s="35" t="str">
        <f>VLOOKUP(Tabla1[[#This Row],[PROGRAMA]],Hoja1!A:B,2,FALSE)</f>
        <v>3232. Conservación y mantenimiento centros educación infantil y primaria</v>
      </c>
      <c r="W1336" s="35" t="str">
        <f>MID(Tabla1[[#This Row],[Aplicación]],14,2)</f>
        <v>22</v>
      </c>
      <c r="X1336" s="35" t="str">
        <f>MID(Tabla1[[#This Row],[Aplicación]],14,6)</f>
        <v>22700</v>
      </c>
    </row>
    <row r="1337" spans="1:24" x14ac:dyDescent="0.25">
      <c r="A1337" s="49">
        <v>220209000702</v>
      </c>
      <c r="B1337" s="50" t="s">
        <v>9</v>
      </c>
      <c r="C1337" s="57">
        <v>44562</v>
      </c>
      <c r="D1337" s="49">
        <v>22022000250</v>
      </c>
      <c r="E1337" s="50" t="s">
        <v>1361</v>
      </c>
      <c r="F1337" s="58">
        <v>52047.25</v>
      </c>
      <c r="G1337" s="50" t="s">
        <v>46</v>
      </c>
      <c r="H1337" s="50" t="s">
        <v>781</v>
      </c>
      <c r="I1337" s="49" t="s">
        <v>107</v>
      </c>
      <c r="J1337" s="50" t="s">
        <v>109</v>
      </c>
      <c r="K1337" s="50" t="s">
        <v>109</v>
      </c>
      <c r="L1337" s="50" t="s">
        <v>12</v>
      </c>
      <c r="M1337" s="50" t="s">
        <v>13</v>
      </c>
      <c r="N1337" s="50" t="s">
        <v>14</v>
      </c>
      <c r="O1337" s="48" t="s">
        <v>620</v>
      </c>
      <c r="P1337" s="45" t="s">
        <v>453</v>
      </c>
      <c r="Q1337" s="35" t="str">
        <f>MID(Tabla1[[#This Row],[Aplicación]],14,1)</f>
        <v>2</v>
      </c>
      <c r="R1337" s="35" t="s">
        <v>441</v>
      </c>
      <c r="S1337" s="35" t="str">
        <f>MID(Tabla1[[#This Row],[Aplicación]],6,2)</f>
        <v>10</v>
      </c>
      <c r="T1337" s="35" t="str">
        <f>VLOOKUP(Tabla1[[#This Row],[AREA]],Hoja1!A:B,2,FALSE)</f>
        <v>10. Servicios sociales y mediación comunitaria</v>
      </c>
      <c r="U1337" s="35" t="str">
        <f>MID(Tabla1[[#This Row],[Aplicación]],9,4)</f>
        <v>2311</v>
      </c>
      <c r="V1337" s="35" t="str">
        <f>VLOOKUP(Tabla1[[#This Row],[PROGRAMA]],Hoja1!A:B,2,FALSE)</f>
        <v>2311. Intervención social</v>
      </c>
      <c r="W1337" s="35" t="str">
        <f>MID(Tabla1[[#This Row],[Aplicación]],14,2)</f>
        <v>22</v>
      </c>
      <c r="X1337" s="35" t="str">
        <f>MID(Tabla1[[#This Row],[Aplicación]],14,6)</f>
        <v>22799</v>
      </c>
    </row>
    <row r="1338" spans="1:24" x14ac:dyDescent="0.25">
      <c r="A1338" s="49">
        <v>220210069698</v>
      </c>
      <c r="B1338" s="50" t="s">
        <v>9</v>
      </c>
      <c r="C1338" s="57">
        <v>44620</v>
      </c>
      <c r="D1338" s="49">
        <v>22021005812</v>
      </c>
      <c r="E1338" s="50" t="s">
        <v>1789</v>
      </c>
      <c r="F1338" s="58">
        <v>47190.15</v>
      </c>
      <c r="G1338" s="50" t="s">
        <v>1195</v>
      </c>
      <c r="H1338" s="50" t="s">
        <v>1196</v>
      </c>
      <c r="I1338" s="49" t="s">
        <v>107</v>
      </c>
      <c r="J1338" s="50" t="s">
        <v>109</v>
      </c>
      <c r="K1338" s="50" t="s">
        <v>109</v>
      </c>
      <c r="L1338" s="50" t="s">
        <v>25</v>
      </c>
      <c r="M1338" s="50" t="s">
        <v>13</v>
      </c>
      <c r="N1338" s="50" t="s">
        <v>14</v>
      </c>
      <c r="O1338" s="48" t="s">
        <v>620</v>
      </c>
      <c r="P1338" s="45" t="s">
        <v>453</v>
      </c>
      <c r="Q1338" s="35" t="str">
        <f>MID(Tabla1[[#This Row],[Aplicación]],14,1)</f>
        <v>6</v>
      </c>
      <c r="R1338" s="35" t="s">
        <v>442</v>
      </c>
      <c r="S1338" s="35" t="str">
        <f>MID(Tabla1[[#This Row],[Aplicación]],6,2)</f>
        <v>10</v>
      </c>
      <c r="T1338" s="35" t="str">
        <f>VLOOKUP(Tabla1[[#This Row],[AREA]],Hoja1!A:B,2,FALSE)</f>
        <v>10. Servicios sociales y mediación comunitaria</v>
      </c>
      <c r="U1338" s="35" t="str">
        <f>MID(Tabla1[[#This Row],[Aplicación]],9,4)</f>
        <v>2311</v>
      </c>
      <c r="V1338" s="35" t="str">
        <f>VLOOKUP(Tabla1[[#This Row],[PROGRAMA]],Hoja1!A:B,2,FALSE)</f>
        <v>2311. Intervención social</v>
      </c>
      <c r="W1338" s="35" t="str">
        <f>MID(Tabla1[[#This Row],[Aplicación]],14,2)</f>
        <v>63</v>
      </c>
      <c r="X1338" s="35" t="str">
        <f>MID(Tabla1[[#This Row],[Aplicación]],14,6)</f>
        <v>632</v>
      </c>
    </row>
    <row r="1339" spans="1:24" x14ac:dyDescent="0.25">
      <c r="A1339" s="49">
        <v>220219001214</v>
      </c>
      <c r="B1339" s="50" t="s">
        <v>9</v>
      </c>
      <c r="C1339" s="57">
        <v>44562</v>
      </c>
      <c r="D1339" s="49">
        <v>22022002193</v>
      </c>
      <c r="E1339" s="50" t="s">
        <v>1676</v>
      </c>
      <c r="F1339" s="58">
        <v>45828.75</v>
      </c>
      <c r="G1339" s="50" t="s">
        <v>194</v>
      </c>
      <c r="H1339" s="50" t="s">
        <v>2756</v>
      </c>
      <c r="I1339" s="49" t="s">
        <v>107</v>
      </c>
      <c r="J1339" s="50" t="s">
        <v>108</v>
      </c>
      <c r="K1339" s="50" t="s">
        <v>108</v>
      </c>
      <c r="L1339" s="50" t="s">
        <v>15</v>
      </c>
      <c r="M1339" s="50" t="s">
        <v>13</v>
      </c>
      <c r="N1339" s="50" t="s">
        <v>14</v>
      </c>
      <c r="O1339" s="48" t="s">
        <v>620</v>
      </c>
      <c r="P1339" s="45" t="s">
        <v>453</v>
      </c>
      <c r="Q1339" s="35" t="str">
        <f>MID(Tabla1[[#This Row],[Aplicación]],14,1)</f>
        <v>6</v>
      </c>
      <c r="R1339" s="35" t="s">
        <v>442</v>
      </c>
      <c r="S1339" s="35" t="str">
        <f>MID(Tabla1[[#This Row],[Aplicación]],6,2)</f>
        <v>04</v>
      </c>
      <c r="T1339" s="35" t="str">
        <f>VLOOKUP(Tabla1[[#This Row],[AREA]],Hoja1!A:B,2,FALSE)</f>
        <v>04. Planificación y recursos</v>
      </c>
      <c r="U1339" s="35" t="str">
        <f>MID(Tabla1[[#This Row],[Aplicación]],9,4)</f>
        <v>9204</v>
      </c>
      <c r="V1339" s="35" t="str">
        <f>VLOOKUP(Tabla1[[#This Row],[PROGRAMA]],Hoja1!A:B,2,FALSE)</f>
        <v>9204. Tecnologías de la información y comunicación</v>
      </c>
      <c r="W1339" s="35" t="str">
        <f>MID(Tabla1[[#This Row],[Aplicación]],14,2)</f>
        <v>64</v>
      </c>
      <c r="X1339" s="35" t="str">
        <f>MID(Tabla1[[#This Row],[Aplicación]],14,6)</f>
        <v>641</v>
      </c>
    </row>
    <row r="1340" spans="1:24" x14ac:dyDescent="0.25">
      <c r="A1340" s="49">
        <v>220219000594</v>
      </c>
      <c r="B1340" s="50" t="s">
        <v>9</v>
      </c>
      <c r="C1340" s="57">
        <v>44562</v>
      </c>
      <c r="D1340" s="49">
        <v>22022002002</v>
      </c>
      <c r="E1340" s="50" t="s">
        <v>1374</v>
      </c>
      <c r="F1340" s="58">
        <v>100793</v>
      </c>
      <c r="G1340" s="50" t="s">
        <v>1048</v>
      </c>
      <c r="H1340" s="50" t="s">
        <v>2757</v>
      </c>
      <c r="I1340" s="49" t="s">
        <v>107</v>
      </c>
      <c r="J1340" s="50" t="s">
        <v>108</v>
      </c>
      <c r="K1340" s="50" t="s">
        <v>108</v>
      </c>
      <c r="L1340" s="50" t="s">
        <v>12</v>
      </c>
      <c r="M1340" s="50" t="s">
        <v>13</v>
      </c>
      <c r="N1340" s="50" t="s">
        <v>14</v>
      </c>
      <c r="O1340" s="48" t="s">
        <v>620</v>
      </c>
      <c r="P1340" s="45" t="s">
        <v>453</v>
      </c>
      <c r="Q1340" s="35" t="str">
        <f>MID(Tabla1[[#This Row],[Aplicación]],14,1)</f>
        <v>6</v>
      </c>
      <c r="R1340" s="35" t="s">
        <v>442</v>
      </c>
      <c r="S1340" s="35" t="str">
        <f>MID(Tabla1[[#This Row],[Aplicación]],6,2)</f>
        <v>08</v>
      </c>
      <c r="T1340" s="35" t="str">
        <f>VLOOKUP(Tabla1[[#This Row],[AREA]],Hoja1!A:B,2,FALSE)</f>
        <v>08. Movilidad y espacio urbano</v>
      </c>
      <c r="U1340" s="35" t="str">
        <f>MID(Tabla1[[#This Row],[Aplicación]],9,4)</f>
        <v>1651</v>
      </c>
      <c r="V1340" s="35" t="str">
        <f>VLOOKUP(Tabla1[[#This Row],[PROGRAMA]],Hoja1!A:B,2,FALSE)</f>
        <v>1651. Alumbrado público</v>
      </c>
      <c r="W1340" s="35" t="str">
        <f>MID(Tabla1[[#This Row],[Aplicación]],14,2)</f>
        <v>61</v>
      </c>
      <c r="X1340" s="35" t="str">
        <f>MID(Tabla1[[#This Row],[Aplicación]],14,6)</f>
        <v>619</v>
      </c>
    </row>
    <row r="1341" spans="1:24" x14ac:dyDescent="0.25">
      <c r="A1341" s="49">
        <v>220220010685</v>
      </c>
      <c r="B1341" s="50" t="s">
        <v>9</v>
      </c>
      <c r="C1341" s="57">
        <v>44642</v>
      </c>
      <c r="D1341" s="49">
        <v>22022002847</v>
      </c>
      <c r="E1341" s="50" t="s">
        <v>1844</v>
      </c>
      <c r="F1341" s="58">
        <v>44199.23</v>
      </c>
      <c r="G1341" s="50" t="s">
        <v>903</v>
      </c>
      <c r="H1341" s="50" t="s">
        <v>2758</v>
      </c>
      <c r="I1341" s="49" t="s">
        <v>107</v>
      </c>
      <c r="J1341" s="50" t="s">
        <v>109</v>
      </c>
      <c r="K1341" s="50" t="s">
        <v>109</v>
      </c>
      <c r="L1341" s="50" t="s">
        <v>25</v>
      </c>
      <c r="M1341" s="50" t="s">
        <v>10</v>
      </c>
      <c r="N1341" s="50" t="s">
        <v>11</v>
      </c>
      <c r="O1341" s="48" t="s">
        <v>632</v>
      </c>
      <c r="P1341" s="45" t="s">
        <v>453</v>
      </c>
      <c r="Q1341" s="35" t="str">
        <f>MID(Tabla1[[#This Row],[Aplicación]],14,1)</f>
        <v>6</v>
      </c>
      <c r="R1341" s="35" t="s">
        <v>442</v>
      </c>
      <c r="S1341" s="35" t="str">
        <f>MID(Tabla1[[#This Row],[Aplicación]],6,2)</f>
        <v>06</v>
      </c>
      <c r="T1341" s="35" t="str">
        <f>VLOOKUP(Tabla1[[#This Row],[AREA]],Hoja1!A:B,2,FALSE)</f>
        <v>06. Educación, infancia, juventud e igualdad</v>
      </c>
      <c r="U1341" s="35" t="str">
        <f>MID(Tabla1[[#This Row],[Aplicación]],9,4)</f>
        <v>3261</v>
      </c>
      <c r="V1341" s="35" t="str">
        <f>VLOOKUP(Tabla1[[#This Row],[PROGRAMA]],Hoja1!A:B,2,FALSE)</f>
        <v>3261. Servicios complementarios de educación</v>
      </c>
      <c r="W1341" s="35" t="str">
        <f>MID(Tabla1[[#This Row],[Aplicación]],14,2)</f>
        <v>63</v>
      </c>
      <c r="X1341" s="35" t="str">
        <f>MID(Tabla1[[#This Row],[Aplicación]],14,6)</f>
        <v>632</v>
      </c>
    </row>
    <row r="1342" spans="1:24" x14ac:dyDescent="0.25">
      <c r="A1342" s="49">
        <v>220209000720</v>
      </c>
      <c r="B1342" s="50" t="s">
        <v>9</v>
      </c>
      <c r="C1342" s="57">
        <v>44562</v>
      </c>
      <c r="D1342" s="49">
        <v>22022000257</v>
      </c>
      <c r="E1342" s="50" t="s">
        <v>2759</v>
      </c>
      <c r="F1342" s="58">
        <v>43297.08</v>
      </c>
      <c r="G1342" s="50" t="s">
        <v>149</v>
      </c>
      <c r="H1342" s="50" t="s">
        <v>799</v>
      </c>
      <c r="I1342" s="49" t="s">
        <v>107</v>
      </c>
      <c r="J1342" s="50" t="s">
        <v>527</v>
      </c>
      <c r="K1342" s="50" t="s">
        <v>150</v>
      </c>
      <c r="L1342" s="55" t="s">
        <v>12</v>
      </c>
      <c r="M1342" s="55" t="s">
        <v>13</v>
      </c>
      <c r="N1342" s="55" t="s">
        <v>14</v>
      </c>
      <c r="O1342" s="48" t="s">
        <v>620</v>
      </c>
      <c r="P1342" s="45" t="s">
        <v>453</v>
      </c>
      <c r="Q1342" s="35" t="str">
        <f>MID(Tabla1[[#This Row],[Aplicación]],14,1)</f>
        <v>2</v>
      </c>
      <c r="R1342" s="35" t="s">
        <v>441</v>
      </c>
      <c r="S1342" s="35" t="str">
        <f>MID(Tabla1[[#This Row],[Aplicación]],6,2)</f>
        <v>05</v>
      </c>
      <c r="T1342" s="35" t="str">
        <f>VLOOKUP(Tabla1[[#This Row],[AREA]],Hoja1!A:B,2,FALSE)</f>
        <v>05. Innovación, desarrollo económico, empleo y comercio</v>
      </c>
      <c r="U1342" s="35" t="str">
        <f>MID(Tabla1[[#This Row],[Aplicación]],9,4)</f>
        <v>4331</v>
      </c>
      <c r="V1342" s="35" t="str">
        <f>VLOOKUP(Tabla1[[#This Row],[PROGRAMA]],Hoja1!A:B,2,FALSE)</f>
        <v>4331. Desarrollo empresarial</v>
      </c>
      <c r="W1342" s="35" t="str">
        <f>MID(Tabla1[[#This Row],[Aplicación]],14,2)</f>
        <v>22</v>
      </c>
      <c r="X1342" s="35" t="str">
        <f>MID(Tabla1[[#This Row],[Aplicación]],14,6)</f>
        <v>22700</v>
      </c>
    </row>
    <row r="1343" spans="1:24" x14ac:dyDescent="0.25">
      <c r="A1343" s="49">
        <v>220209000686</v>
      </c>
      <c r="B1343" s="50" t="s">
        <v>9</v>
      </c>
      <c r="C1343" s="57">
        <v>44562</v>
      </c>
      <c r="D1343" s="49">
        <v>22022000240</v>
      </c>
      <c r="E1343" s="50" t="s">
        <v>1639</v>
      </c>
      <c r="F1343" s="58">
        <v>40277.06</v>
      </c>
      <c r="G1343" s="50" t="s">
        <v>800</v>
      </c>
      <c r="H1343" s="50" t="s">
        <v>801</v>
      </c>
      <c r="I1343" s="49" t="s">
        <v>107</v>
      </c>
      <c r="J1343" s="50" t="s">
        <v>109</v>
      </c>
      <c r="K1343" s="50" t="s">
        <v>109</v>
      </c>
      <c r="L1343" s="50" t="s">
        <v>12</v>
      </c>
      <c r="M1343" s="50" t="s">
        <v>13</v>
      </c>
      <c r="N1343" s="50" t="s">
        <v>14</v>
      </c>
      <c r="O1343" s="48" t="s">
        <v>620</v>
      </c>
      <c r="P1343" s="45" t="s">
        <v>453</v>
      </c>
      <c r="Q1343" s="35" t="str">
        <f>MID(Tabla1[[#This Row],[Aplicación]],14,1)</f>
        <v>2</v>
      </c>
      <c r="R1343" s="35" t="s">
        <v>441</v>
      </c>
      <c r="S1343" s="35" t="str">
        <f>MID(Tabla1[[#This Row],[Aplicación]],6,2)</f>
        <v>03</v>
      </c>
      <c r="T1343" s="35" t="str">
        <f>VLOOKUP(Tabla1[[#This Row],[AREA]],Hoja1!A:B,2,FALSE)</f>
        <v>03. Participación ciudadana y deportes</v>
      </c>
      <c r="U1343" s="35" t="str">
        <f>MID(Tabla1[[#This Row],[Aplicación]],9,4)</f>
        <v>9241</v>
      </c>
      <c r="V1343" s="35" t="str">
        <f>VLOOKUP(Tabla1[[#This Row],[PROGRAMA]],Hoja1!A:B,2,FALSE)</f>
        <v>9241. Participación ciudadana</v>
      </c>
      <c r="W1343" s="35" t="str">
        <f>MID(Tabla1[[#This Row],[Aplicación]],14,2)</f>
        <v>22</v>
      </c>
      <c r="X1343" s="35" t="str">
        <f>MID(Tabla1[[#This Row],[Aplicación]],14,6)</f>
        <v>22799</v>
      </c>
    </row>
    <row r="1344" spans="1:24" x14ac:dyDescent="0.25">
      <c r="A1344" s="49">
        <v>220209000559</v>
      </c>
      <c r="B1344" s="50" t="s">
        <v>9</v>
      </c>
      <c r="C1344" s="57">
        <v>44562</v>
      </c>
      <c r="D1344" s="49">
        <v>22022000217</v>
      </c>
      <c r="E1344" s="50" t="s">
        <v>1408</v>
      </c>
      <c r="F1344" s="58">
        <v>40090.35</v>
      </c>
      <c r="G1344" s="50" t="s">
        <v>116</v>
      </c>
      <c r="H1344" s="50" t="s">
        <v>802</v>
      </c>
      <c r="I1344" s="49" t="s">
        <v>107</v>
      </c>
      <c r="J1344" s="50" t="s">
        <v>542</v>
      </c>
      <c r="K1344" s="50" t="s">
        <v>109</v>
      </c>
      <c r="L1344" s="50" t="s">
        <v>12</v>
      </c>
      <c r="M1344" s="50" t="s">
        <v>13</v>
      </c>
      <c r="N1344" s="50" t="s">
        <v>14</v>
      </c>
      <c r="O1344" s="48" t="s">
        <v>620</v>
      </c>
      <c r="P1344" s="45" t="s">
        <v>453</v>
      </c>
      <c r="Q1344" s="35" t="str">
        <f>MID(Tabla1[[#This Row],[Aplicación]],14,1)</f>
        <v>2</v>
      </c>
      <c r="R1344" s="35" t="s">
        <v>441</v>
      </c>
      <c r="S1344" s="35" t="str">
        <f>MID(Tabla1[[#This Row],[Aplicación]],6,2)</f>
        <v>04</v>
      </c>
      <c r="T1344" s="35" t="str">
        <f>VLOOKUP(Tabla1[[#This Row],[AREA]],Hoja1!A:B,2,FALSE)</f>
        <v>04. Planificación y recursos</v>
      </c>
      <c r="U1344" s="35" t="str">
        <f>MID(Tabla1[[#This Row],[Aplicación]],9,4)</f>
        <v>9204</v>
      </c>
      <c r="V1344" s="35" t="str">
        <f>VLOOKUP(Tabla1[[#This Row],[PROGRAMA]],Hoja1!A:B,2,FALSE)</f>
        <v>9204. Tecnologías de la información y comunicación</v>
      </c>
      <c r="W1344" s="35" t="str">
        <f>MID(Tabla1[[#This Row],[Aplicación]],14,2)</f>
        <v>21</v>
      </c>
      <c r="X1344" s="35" t="str">
        <f>MID(Tabla1[[#This Row],[Aplicación]],14,6)</f>
        <v>216</v>
      </c>
    </row>
    <row r="1345" spans="1:24" x14ac:dyDescent="0.25">
      <c r="A1345" s="49">
        <v>220220012884</v>
      </c>
      <c r="B1345" s="50" t="s">
        <v>9</v>
      </c>
      <c r="C1345" s="57">
        <v>44645</v>
      </c>
      <c r="D1345" s="49">
        <v>22022002955</v>
      </c>
      <c r="E1345" s="50" t="s">
        <v>1399</v>
      </c>
      <c r="F1345" s="58">
        <v>37684.49</v>
      </c>
      <c r="G1345" s="50" t="s">
        <v>955</v>
      </c>
      <c r="H1345" s="50" t="s">
        <v>2760</v>
      </c>
      <c r="I1345" s="49" t="s">
        <v>107</v>
      </c>
      <c r="J1345" s="50" t="s">
        <v>1224</v>
      </c>
      <c r="K1345" s="50" t="s">
        <v>109</v>
      </c>
      <c r="L1345" s="50" t="s">
        <v>25</v>
      </c>
      <c r="M1345" s="50" t="s">
        <v>10</v>
      </c>
      <c r="N1345" s="50" t="s">
        <v>11</v>
      </c>
      <c r="O1345" s="48" t="s">
        <v>632</v>
      </c>
      <c r="P1345" s="45" t="s">
        <v>453</v>
      </c>
      <c r="Q1345" s="35" t="str">
        <f>MID(Tabla1[[#This Row],[Aplicación]],14,1)</f>
        <v>6</v>
      </c>
      <c r="R1345" s="35" t="s">
        <v>442</v>
      </c>
      <c r="S1345" s="35" t="str">
        <f>MID(Tabla1[[#This Row],[Aplicación]],6,2)</f>
        <v>02</v>
      </c>
      <c r="T1345" s="35" t="str">
        <f>VLOOKUP(Tabla1[[#This Row],[AREA]],Hoja1!A:B,2,FALSE)</f>
        <v>02. Planeamiento urbanístico y vivienda</v>
      </c>
      <c r="U1345" s="35" t="str">
        <f>MID(Tabla1[[#This Row],[Aplicación]],9,4)</f>
        <v>1511</v>
      </c>
      <c r="V1345" s="35" t="str">
        <f>VLOOKUP(Tabla1[[#This Row],[PROGRAMA]],Hoja1!A:B,2,FALSE)</f>
        <v>1511. Planficación y gestión del urbanismo</v>
      </c>
      <c r="W1345" s="35" t="str">
        <f>MID(Tabla1[[#This Row],[Aplicación]],14,2)</f>
        <v>60</v>
      </c>
      <c r="X1345" s="35" t="str">
        <f>MID(Tabla1[[#This Row],[Aplicación]],14,6)</f>
        <v>609</v>
      </c>
    </row>
    <row r="1346" spans="1:24" x14ac:dyDescent="0.25">
      <c r="A1346" s="49">
        <v>220220006731</v>
      </c>
      <c r="B1346" s="50" t="s">
        <v>9</v>
      </c>
      <c r="C1346" s="57">
        <v>44621</v>
      </c>
      <c r="D1346" s="49">
        <v>22022002072</v>
      </c>
      <c r="E1346" s="50" t="s">
        <v>1676</v>
      </c>
      <c r="F1346" s="58">
        <v>34165.43</v>
      </c>
      <c r="G1346" s="50" t="s">
        <v>784</v>
      </c>
      <c r="H1346" s="50" t="s">
        <v>2761</v>
      </c>
      <c r="I1346" s="49" t="s">
        <v>107</v>
      </c>
      <c r="J1346" s="50" t="s">
        <v>108</v>
      </c>
      <c r="K1346" s="50" t="s">
        <v>108</v>
      </c>
      <c r="L1346" s="50" t="s">
        <v>15</v>
      </c>
      <c r="M1346" s="50" t="s">
        <v>13</v>
      </c>
      <c r="N1346" s="50" t="s">
        <v>14</v>
      </c>
      <c r="O1346" s="48" t="s">
        <v>620</v>
      </c>
      <c r="P1346" s="45" t="s">
        <v>453</v>
      </c>
      <c r="Q1346" s="35" t="str">
        <f>MID(Tabla1[[#This Row],[Aplicación]],14,1)</f>
        <v>6</v>
      </c>
      <c r="R1346" s="35" t="s">
        <v>442</v>
      </c>
      <c r="S1346" s="35" t="str">
        <f>MID(Tabla1[[#This Row],[Aplicación]],6,2)</f>
        <v>04</v>
      </c>
      <c r="T1346" s="35" t="str">
        <f>VLOOKUP(Tabla1[[#This Row],[AREA]],Hoja1!A:B,2,FALSE)</f>
        <v>04. Planificación y recursos</v>
      </c>
      <c r="U1346" s="35" t="str">
        <f>MID(Tabla1[[#This Row],[Aplicación]],9,4)</f>
        <v>9204</v>
      </c>
      <c r="V1346" s="35" t="str">
        <f>VLOOKUP(Tabla1[[#This Row],[PROGRAMA]],Hoja1!A:B,2,FALSE)</f>
        <v>9204. Tecnologías de la información y comunicación</v>
      </c>
      <c r="W1346" s="35" t="str">
        <f>MID(Tabla1[[#This Row],[Aplicación]],14,2)</f>
        <v>64</v>
      </c>
      <c r="X1346" s="35" t="str">
        <f>MID(Tabla1[[#This Row],[Aplicación]],14,6)</f>
        <v>641</v>
      </c>
    </row>
    <row r="1347" spans="1:24" x14ac:dyDescent="0.25">
      <c r="A1347" s="49">
        <v>220209000616</v>
      </c>
      <c r="B1347" s="50" t="s">
        <v>9</v>
      </c>
      <c r="C1347" s="57">
        <v>44562</v>
      </c>
      <c r="D1347" s="49">
        <v>22022000221</v>
      </c>
      <c r="E1347" s="50" t="s">
        <v>2762</v>
      </c>
      <c r="F1347" s="58">
        <v>33880</v>
      </c>
      <c r="G1347" s="50" t="s">
        <v>79</v>
      </c>
      <c r="H1347" s="50" t="s">
        <v>915</v>
      </c>
      <c r="I1347" s="49" t="s">
        <v>107</v>
      </c>
      <c r="J1347" s="50" t="s">
        <v>109</v>
      </c>
      <c r="K1347" s="50" t="s">
        <v>109</v>
      </c>
      <c r="L1347" s="50" t="s">
        <v>12</v>
      </c>
      <c r="M1347" s="50" t="s">
        <v>13</v>
      </c>
      <c r="N1347" s="50" t="s">
        <v>16</v>
      </c>
      <c r="O1347" s="48" t="s">
        <v>620</v>
      </c>
      <c r="P1347" s="45" t="s">
        <v>453</v>
      </c>
      <c r="Q1347" s="35" t="str">
        <f>MID(Tabla1[[#This Row],[Aplicación]],14,1)</f>
        <v>2</v>
      </c>
      <c r="R1347" s="35" t="s">
        <v>441</v>
      </c>
      <c r="S1347" s="35" t="str">
        <f>MID(Tabla1[[#This Row],[Aplicación]],6,2)</f>
        <v>04</v>
      </c>
      <c r="T1347" s="35" t="str">
        <f>VLOOKUP(Tabla1[[#This Row],[AREA]],Hoja1!A:B,2,FALSE)</f>
        <v>04. Planificación y recursos</v>
      </c>
      <c r="U1347" s="35" t="str">
        <f>MID(Tabla1[[#This Row],[Aplicación]],9,4)</f>
        <v>9204</v>
      </c>
      <c r="V1347" s="35" t="str">
        <f>VLOOKUP(Tabla1[[#This Row],[PROGRAMA]],Hoja1!A:B,2,FALSE)</f>
        <v>9204. Tecnologías de la información y comunicación</v>
      </c>
      <c r="W1347" s="35" t="str">
        <f>MID(Tabla1[[#This Row],[Aplicación]],14,2)</f>
        <v>22</v>
      </c>
      <c r="X1347" s="35" t="str">
        <f>MID(Tabla1[[#This Row],[Aplicación]],14,6)</f>
        <v>22701</v>
      </c>
    </row>
    <row r="1348" spans="1:24" x14ac:dyDescent="0.25">
      <c r="A1348" s="49">
        <v>220219000134</v>
      </c>
      <c r="B1348" s="50" t="s">
        <v>9</v>
      </c>
      <c r="C1348" s="57">
        <v>44562</v>
      </c>
      <c r="D1348" s="49">
        <v>22022000383</v>
      </c>
      <c r="E1348" s="50" t="s">
        <v>2763</v>
      </c>
      <c r="F1348" s="58">
        <v>31653.08</v>
      </c>
      <c r="G1348" s="50" t="s">
        <v>177</v>
      </c>
      <c r="H1348" s="50" t="s">
        <v>913</v>
      </c>
      <c r="I1348" s="49" t="s">
        <v>107</v>
      </c>
      <c r="J1348" s="50" t="s">
        <v>109</v>
      </c>
      <c r="K1348" s="50" t="s">
        <v>109</v>
      </c>
      <c r="L1348" s="50" t="s">
        <v>12</v>
      </c>
      <c r="M1348" s="50" t="s">
        <v>13</v>
      </c>
      <c r="N1348" s="50" t="s">
        <v>14</v>
      </c>
      <c r="O1348" s="48" t="s">
        <v>620</v>
      </c>
      <c r="P1348" s="45" t="s">
        <v>453</v>
      </c>
      <c r="Q1348" s="35" t="str">
        <f>MID(Tabla1[[#This Row],[Aplicación]],14,1)</f>
        <v>2</v>
      </c>
      <c r="R1348" s="35" t="s">
        <v>441</v>
      </c>
      <c r="S1348" s="35" t="str">
        <f>MID(Tabla1[[#This Row],[Aplicación]],6,2)</f>
        <v>11</v>
      </c>
      <c r="T1348" s="35" t="str">
        <f>VLOOKUP(Tabla1[[#This Row],[AREA]],Hoja1!A:B,2,FALSE)</f>
        <v>11. Salud pública y seguridad ciudadana</v>
      </c>
      <c r="U1348" s="35" t="str">
        <f>MID(Tabla1[[#This Row],[Aplicación]],9,4)</f>
        <v>3111</v>
      </c>
      <c r="V1348" s="35" t="str">
        <f>VLOOKUP(Tabla1[[#This Row],[PROGRAMA]],Hoja1!A:B,2,FALSE)</f>
        <v>3111. Protección de la salubridad pública</v>
      </c>
      <c r="W1348" s="35" t="str">
        <f>MID(Tabla1[[#This Row],[Aplicación]],14,2)</f>
        <v>22</v>
      </c>
      <c r="X1348" s="35" t="str">
        <f>MID(Tabla1[[#This Row],[Aplicación]],14,6)</f>
        <v>22706</v>
      </c>
    </row>
    <row r="1349" spans="1:24" x14ac:dyDescent="0.25">
      <c r="A1349" s="49">
        <v>220219001211</v>
      </c>
      <c r="B1349" s="50" t="s">
        <v>9</v>
      </c>
      <c r="C1349" s="57">
        <v>44562</v>
      </c>
      <c r="D1349" s="49">
        <v>22022001828</v>
      </c>
      <c r="E1349" s="50" t="s">
        <v>1417</v>
      </c>
      <c r="F1349" s="58">
        <v>30179.7</v>
      </c>
      <c r="G1349" s="50" t="s">
        <v>1354</v>
      </c>
      <c r="H1349" s="50" t="s">
        <v>2764</v>
      </c>
      <c r="I1349" s="49" t="s">
        <v>107</v>
      </c>
      <c r="J1349" s="50" t="s">
        <v>108</v>
      </c>
      <c r="K1349" s="50" t="s">
        <v>108</v>
      </c>
      <c r="L1349" s="50" t="s">
        <v>12</v>
      </c>
      <c r="M1349" s="50" t="s">
        <v>13</v>
      </c>
      <c r="N1349" s="50" t="s">
        <v>14</v>
      </c>
      <c r="O1349" s="48" t="s">
        <v>620</v>
      </c>
      <c r="P1349" s="45" t="s">
        <v>453</v>
      </c>
      <c r="Q1349" s="35" t="str">
        <f>MID(Tabla1[[#This Row],[Aplicación]],14,1)</f>
        <v>2</v>
      </c>
      <c r="R1349" s="35" t="s">
        <v>441</v>
      </c>
      <c r="S1349" s="35" t="str">
        <f>MID(Tabla1[[#This Row],[Aplicación]],6,2)</f>
        <v>11</v>
      </c>
      <c r="T1349" s="35" t="str">
        <f>VLOOKUP(Tabla1[[#This Row],[AREA]],Hoja1!A:B,2,FALSE)</f>
        <v>11. Salud pública y seguridad ciudadana</v>
      </c>
      <c r="U1349" s="35" t="str">
        <f>MID(Tabla1[[#This Row],[Aplicación]],9,4)</f>
        <v>1621</v>
      </c>
      <c r="V1349" s="35" t="str">
        <f>VLOOKUP(Tabla1[[#This Row],[PROGRAMA]],Hoja1!A:B,2,FALSE)</f>
        <v>1621. Servicio de limpieza</v>
      </c>
      <c r="W1349" s="35" t="str">
        <f>MID(Tabla1[[#This Row],[Aplicación]],14,2)</f>
        <v>22</v>
      </c>
      <c r="X1349" s="35" t="str">
        <f>MID(Tabla1[[#This Row],[Aplicación]],14,6)</f>
        <v>22700</v>
      </c>
    </row>
    <row r="1350" spans="1:24" x14ac:dyDescent="0.25">
      <c r="A1350" s="49">
        <v>220219000399</v>
      </c>
      <c r="B1350" s="50" t="s">
        <v>9</v>
      </c>
      <c r="C1350" s="57">
        <v>44562</v>
      </c>
      <c r="D1350" s="49">
        <v>22022000515</v>
      </c>
      <c r="E1350" s="50" t="s">
        <v>2765</v>
      </c>
      <c r="F1350" s="58">
        <v>30000</v>
      </c>
      <c r="G1350" s="50" t="s">
        <v>158</v>
      </c>
      <c r="H1350" s="50" t="s">
        <v>2766</v>
      </c>
      <c r="I1350" s="49" t="s">
        <v>107</v>
      </c>
      <c r="J1350" s="50" t="s">
        <v>108</v>
      </c>
      <c r="K1350" s="50" t="s">
        <v>108</v>
      </c>
      <c r="L1350" s="50" t="s">
        <v>15</v>
      </c>
      <c r="M1350" s="50" t="s">
        <v>13</v>
      </c>
      <c r="N1350" s="50" t="s">
        <v>14</v>
      </c>
      <c r="O1350" s="48" t="s">
        <v>620</v>
      </c>
      <c r="P1350" s="45" t="s">
        <v>453</v>
      </c>
      <c r="Q1350" s="35" t="str">
        <f>MID(Tabla1[[#This Row],[Aplicación]],14,1)</f>
        <v>2</v>
      </c>
      <c r="R1350" s="35" t="s">
        <v>441</v>
      </c>
      <c r="S1350" s="35" t="str">
        <f>MID(Tabla1[[#This Row],[Aplicación]],6,2)</f>
        <v>11</v>
      </c>
      <c r="T1350" s="35" t="str">
        <f>VLOOKUP(Tabla1[[#This Row],[AREA]],Hoja1!A:B,2,FALSE)</f>
        <v>11. Salud pública y seguridad ciudadana</v>
      </c>
      <c r="U1350" s="35" t="str">
        <f>MID(Tabla1[[#This Row],[Aplicación]],9,4)</f>
        <v>1321</v>
      </c>
      <c r="V1350" s="35" t="str">
        <f>VLOOKUP(Tabla1[[#This Row],[PROGRAMA]],Hoja1!A:B,2,FALSE)</f>
        <v>1321. Policía municipal</v>
      </c>
      <c r="W1350" s="35" t="str">
        <f>MID(Tabla1[[#This Row],[Aplicación]],14,2)</f>
        <v>22</v>
      </c>
      <c r="X1350" s="35" t="str">
        <f>MID(Tabla1[[#This Row],[Aplicación]],14,6)</f>
        <v>22103</v>
      </c>
    </row>
    <row r="1351" spans="1:24" x14ac:dyDescent="0.25">
      <c r="A1351" s="49">
        <v>220219000400</v>
      </c>
      <c r="B1351" s="50" t="s">
        <v>9</v>
      </c>
      <c r="C1351" s="57">
        <v>44562</v>
      </c>
      <c r="D1351" s="49">
        <v>22022000516</v>
      </c>
      <c r="E1351" s="50" t="s">
        <v>2767</v>
      </c>
      <c r="F1351" s="58">
        <v>30000</v>
      </c>
      <c r="G1351" s="50" t="s">
        <v>158</v>
      </c>
      <c r="H1351" s="50" t="s">
        <v>2768</v>
      </c>
      <c r="I1351" s="49" t="s">
        <v>107</v>
      </c>
      <c r="J1351" s="50" t="s">
        <v>108</v>
      </c>
      <c r="K1351" s="50" t="s">
        <v>108</v>
      </c>
      <c r="L1351" s="50" t="s">
        <v>15</v>
      </c>
      <c r="M1351" s="50" t="s">
        <v>13</v>
      </c>
      <c r="N1351" s="50" t="s">
        <v>14</v>
      </c>
      <c r="O1351" s="48" t="s">
        <v>620</v>
      </c>
      <c r="P1351" s="45" t="s">
        <v>453</v>
      </c>
      <c r="Q1351" s="35" t="str">
        <f>MID(Tabla1[[#This Row],[Aplicación]],14,1)</f>
        <v>2</v>
      </c>
      <c r="R1351" s="35" t="s">
        <v>441</v>
      </c>
      <c r="S1351" s="35" t="str">
        <f>MID(Tabla1[[#This Row],[Aplicación]],6,2)</f>
        <v>07</v>
      </c>
      <c r="T1351" s="35" t="str">
        <f>VLOOKUP(Tabla1[[#This Row],[AREA]],Hoja1!A:B,2,FALSE)</f>
        <v>07. Medio ambiente y desarrollo sostenible</v>
      </c>
      <c r="U1351" s="35" t="str">
        <f>MID(Tabla1[[#This Row],[Aplicación]],9,4)</f>
        <v>1711</v>
      </c>
      <c r="V1351" s="35" t="str">
        <f>VLOOKUP(Tabla1[[#This Row],[PROGRAMA]],Hoja1!A:B,2,FALSE)</f>
        <v>1711. Parques y jardines</v>
      </c>
      <c r="W1351" s="35" t="str">
        <f>MID(Tabla1[[#This Row],[Aplicación]],14,2)</f>
        <v>22</v>
      </c>
      <c r="X1351" s="35" t="str">
        <f>MID(Tabla1[[#This Row],[Aplicación]],14,6)</f>
        <v>22103</v>
      </c>
    </row>
    <row r="1352" spans="1:24" x14ac:dyDescent="0.25">
      <c r="A1352" s="49">
        <v>220219000590</v>
      </c>
      <c r="B1352" s="50" t="s">
        <v>9</v>
      </c>
      <c r="C1352" s="57">
        <v>44562</v>
      </c>
      <c r="D1352" s="49">
        <v>22022000571</v>
      </c>
      <c r="E1352" s="50" t="s">
        <v>1659</v>
      </c>
      <c r="F1352" s="58">
        <v>30000</v>
      </c>
      <c r="G1352" s="50" t="s">
        <v>101</v>
      </c>
      <c r="H1352" s="50" t="s">
        <v>2769</v>
      </c>
      <c r="I1352" s="49" t="s">
        <v>107</v>
      </c>
      <c r="J1352" s="50" t="s">
        <v>109</v>
      </c>
      <c r="K1352" s="50" t="s">
        <v>109</v>
      </c>
      <c r="L1352" s="50" t="s">
        <v>12</v>
      </c>
      <c r="M1352" s="50" t="s">
        <v>13</v>
      </c>
      <c r="N1352" s="50" t="s">
        <v>14</v>
      </c>
      <c r="O1352" s="48" t="s">
        <v>620</v>
      </c>
      <c r="P1352" s="45" t="s">
        <v>453</v>
      </c>
      <c r="Q1352" s="35" t="str">
        <f>MID(Tabla1[[#This Row],[Aplicación]],14,1)</f>
        <v>2</v>
      </c>
      <c r="R1352" s="35" t="s">
        <v>441</v>
      </c>
      <c r="S1352" s="35" t="str">
        <f>MID(Tabla1[[#This Row],[Aplicación]],6,2)</f>
        <v>05</v>
      </c>
      <c r="T1352" s="35" t="str">
        <f>VLOOKUP(Tabla1[[#This Row],[AREA]],Hoja1!A:B,2,FALSE)</f>
        <v>05. Innovación, desarrollo económico, empleo y comercio</v>
      </c>
      <c r="U1352" s="35" t="str">
        <f>MID(Tabla1[[#This Row],[Aplicación]],9,4)</f>
        <v>4331</v>
      </c>
      <c r="V1352" s="35" t="str">
        <f>VLOOKUP(Tabla1[[#This Row],[PROGRAMA]],Hoja1!A:B,2,FALSE)</f>
        <v>4331. Desarrollo empresarial</v>
      </c>
      <c r="W1352" s="35" t="str">
        <f>MID(Tabla1[[#This Row],[Aplicación]],14,2)</f>
        <v>22</v>
      </c>
      <c r="X1352" s="35" t="str">
        <f>MID(Tabla1[[#This Row],[Aplicación]],14,6)</f>
        <v>22799</v>
      </c>
    </row>
    <row r="1353" spans="1:24" x14ac:dyDescent="0.25">
      <c r="A1353" s="49">
        <v>220209000654</v>
      </c>
      <c r="B1353" s="50" t="s">
        <v>9</v>
      </c>
      <c r="C1353" s="57">
        <v>44562</v>
      </c>
      <c r="D1353" s="49">
        <v>22022000225</v>
      </c>
      <c r="E1353" s="50" t="s">
        <v>2382</v>
      </c>
      <c r="F1353" s="58">
        <v>29403</v>
      </c>
      <c r="G1353" s="50" t="s">
        <v>145</v>
      </c>
      <c r="H1353" s="50" t="s">
        <v>724</v>
      </c>
      <c r="I1353" s="49" t="s">
        <v>107</v>
      </c>
      <c r="J1353" s="50" t="s">
        <v>547</v>
      </c>
      <c r="K1353" s="50" t="s">
        <v>109</v>
      </c>
      <c r="L1353" s="50" t="s">
        <v>12</v>
      </c>
      <c r="M1353" s="50" t="s">
        <v>13</v>
      </c>
      <c r="N1353" s="50" t="s">
        <v>14</v>
      </c>
      <c r="O1353" s="48" t="s">
        <v>620</v>
      </c>
      <c r="P1353" s="45" t="s">
        <v>453</v>
      </c>
      <c r="Q1353" s="35" t="str">
        <f>MID(Tabla1[[#This Row],[Aplicación]],14,1)</f>
        <v>2</v>
      </c>
      <c r="R1353" s="35" t="s">
        <v>441</v>
      </c>
      <c r="S1353" s="35" t="str">
        <f>MID(Tabla1[[#This Row],[Aplicación]],6,2)</f>
        <v>01</v>
      </c>
      <c r="T1353" s="35" t="str">
        <f>VLOOKUP(Tabla1[[#This Row],[AREA]],Hoja1!A:B,2,FALSE)</f>
        <v>01. Alcaldía</v>
      </c>
      <c r="U1353" s="35" t="str">
        <f>MID(Tabla1[[#This Row],[Aplicación]],9,4)</f>
        <v>9201</v>
      </c>
      <c r="V1353" s="35" t="str">
        <f>VLOOKUP(Tabla1[[#This Row],[PROGRAMA]],Hoja1!A:B,2,FALSE)</f>
        <v>9201. Secretaría General</v>
      </c>
      <c r="W1353" s="35" t="str">
        <f>MID(Tabla1[[#This Row],[Aplicación]],14,2)</f>
        <v>22</v>
      </c>
      <c r="X1353" s="35" t="str">
        <f>MID(Tabla1[[#This Row],[Aplicación]],14,6)</f>
        <v>22799</v>
      </c>
    </row>
    <row r="1354" spans="1:24" x14ac:dyDescent="0.25">
      <c r="A1354" s="49">
        <v>220210033081</v>
      </c>
      <c r="B1354" s="50" t="s">
        <v>9</v>
      </c>
      <c r="C1354" s="57">
        <v>44620</v>
      </c>
      <c r="D1354" s="49">
        <v>22021001178</v>
      </c>
      <c r="E1354" s="50" t="s">
        <v>1368</v>
      </c>
      <c r="F1354" s="58">
        <v>13825.49</v>
      </c>
      <c r="G1354" s="50" t="s">
        <v>807</v>
      </c>
      <c r="H1354" s="50" t="s">
        <v>942</v>
      </c>
      <c r="I1354" s="49" t="s">
        <v>107</v>
      </c>
      <c r="J1354" s="50" t="s">
        <v>109</v>
      </c>
      <c r="K1354" s="50" t="s">
        <v>109</v>
      </c>
      <c r="L1354" s="50" t="s">
        <v>12</v>
      </c>
      <c r="M1354" s="50" t="s">
        <v>13</v>
      </c>
      <c r="N1354" s="50" t="s">
        <v>14</v>
      </c>
      <c r="O1354" s="48" t="s">
        <v>620</v>
      </c>
      <c r="P1354" s="45" t="s">
        <v>453</v>
      </c>
      <c r="Q1354" s="35" t="str">
        <f>MID(Tabla1[[#This Row],[Aplicación]],14,1)</f>
        <v>6</v>
      </c>
      <c r="R1354" s="35" t="s">
        <v>442</v>
      </c>
      <c r="S1354" s="35" t="str">
        <f>MID(Tabla1[[#This Row],[Aplicación]],6,2)</f>
        <v>08</v>
      </c>
      <c r="T1354" s="35" t="str">
        <f>VLOOKUP(Tabla1[[#This Row],[AREA]],Hoja1!A:B,2,FALSE)</f>
        <v>08. Movilidad y espacio urbano</v>
      </c>
      <c r="U1354" s="35" t="str">
        <f>MID(Tabla1[[#This Row],[Aplicación]],9,4)</f>
        <v>1532</v>
      </c>
      <c r="V1354" s="35" t="str">
        <f>VLOOKUP(Tabla1[[#This Row],[PROGRAMA]],Hoja1!A:B,2,FALSE)</f>
        <v>1532. Pavimentación vias públicas y otros servicios urbanísticos</v>
      </c>
      <c r="W1354" s="35" t="str">
        <f>MID(Tabla1[[#This Row],[Aplicación]],14,2)</f>
        <v>61</v>
      </c>
      <c r="X1354" s="35" t="str">
        <f>MID(Tabla1[[#This Row],[Aplicación]],14,6)</f>
        <v>619</v>
      </c>
    </row>
    <row r="1355" spans="1:24" x14ac:dyDescent="0.25">
      <c r="A1355" s="49">
        <v>220210035428</v>
      </c>
      <c r="B1355" s="50" t="s">
        <v>9</v>
      </c>
      <c r="C1355" s="57">
        <v>44631</v>
      </c>
      <c r="D1355" s="49">
        <v>22021004838</v>
      </c>
      <c r="E1355" s="50" t="s">
        <v>1593</v>
      </c>
      <c r="F1355" s="58">
        <v>344.09</v>
      </c>
      <c r="G1355" s="50" t="s">
        <v>807</v>
      </c>
      <c r="H1355" s="50" t="s">
        <v>1123</v>
      </c>
      <c r="I1355" s="49" t="s">
        <v>107</v>
      </c>
      <c r="J1355" s="50" t="s">
        <v>109</v>
      </c>
      <c r="K1355" s="50" t="s">
        <v>109</v>
      </c>
      <c r="L1355" s="50" t="s">
        <v>12</v>
      </c>
      <c r="M1355" s="50" t="s">
        <v>13</v>
      </c>
      <c r="N1355" s="50" t="s">
        <v>14</v>
      </c>
      <c r="O1355" s="48" t="s">
        <v>620</v>
      </c>
      <c r="P1355" s="45" t="s">
        <v>453</v>
      </c>
      <c r="Q1355" s="35" t="str">
        <f>MID(Tabla1[[#This Row],[Aplicación]],14,1)</f>
        <v>6</v>
      </c>
      <c r="R1355" s="35" t="s">
        <v>442</v>
      </c>
      <c r="S1355" s="35" t="str">
        <f>MID(Tabla1[[#This Row],[Aplicación]],6,2)</f>
        <v>07</v>
      </c>
      <c r="T1355" s="35" t="str">
        <f>VLOOKUP(Tabla1[[#This Row],[AREA]],Hoja1!A:B,2,FALSE)</f>
        <v>07. Medio ambiente y desarrollo sostenible</v>
      </c>
      <c r="U1355" s="35" t="str">
        <f>MID(Tabla1[[#This Row],[Aplicación]],9,4)</f>
        <v>1711</v>
      </c>
      <c r="V1355" s="35" t="str">
        <f>VLOOKUP(Tabla1[[#This Row],[PROGRAMA]],Hoja1!A:B,2,FALSE)</f>
        <v>1711. Parques y jardines</v>
      </c>
      <c r="W1355" s="35" t="str">
        <f>MID(Tabla1[[#This Row],[Aplicación]],14,2)</f>
        <v>61</v>
      </c>
      <c r="X1355" s="35" t="str">
        <f>MID(Tabla1[[#This Row],[Aplicación]],14,6)</f>
        <v>619</v>
      </c>
    </row>
    <row r="1356" spans="1:24" x14ac:dyDescent="0.25">
      <c r="A1356" s="49">
        <v>220210035430</v>
      </c>
      <c r="B1356" s="50" t="s">
        <v>9</v>
      </c>
      <c r="C1356" s="57">
        <v>44631</v>
      </c>
      <c r="D1356" s="49">
        <v>22021004778</v>
      </c>
      <c r="E1356" s="50" t="s">
        <v>1593</v>
      </c>
      <c r="F1356" s="58">
        <v>739.53</v>
      </c>
      <c r="G1356" s="50" t="s">
        <v>807</v>
      </c>
      <c r="H1356" s="50" t="s">
        <v>1122</v>
      </c>
      <c r="I1356" s="49" t="s">
        <v>107</v>
      </c>
      <c r="J1356" s="50" t="s">
        <v>109</v>
      </c>
      <c r="K1356" s="50" t="s">
        <v>109</v>
      </c>
      <c r="L1356" s="50" t="s">
        <v>12</v>
      </c>
      <c r="M1356" s="50" t="s">
        <v>13</v>
      </c>
      <c r="N1356" s="50" t="s">
        <v>14</v>
      </c>
      <c r="O1356" s="48" t="s">
        <v>620</v>
      </c>
      <c r="P1356" s="45" t="s">
        <v>453</v>
      </c>
      <c r="Q1356" s="35" t="str">
        <f>MID(Tabla1[[#This Row],[Aplicación]],14,1)</f>
        <v>6</v>
      </c>
      <c r="R1356" s="35" t="s">
        <v>442</v>
      </c>
      <c r="S1356" s="35" t="str">
        <f>MID(Tabla1[[#This Row],[Aplicación]],6,2)</f>
        <v>07</v>
      </c>
      <c r="T1356" s="35" t="str">
        <f>VLOOKUP(Tabla1[[#This Row],[AREA]],Hoja1!A:B,2,FALSE)</f>
        <v>07. Medio ambiente y desarrollo sostenible</v>
      </c>
      <c r="U1356" s="35" t="str">
        <f>MID(Tabla1[[#This Row],[Aplicación]],9,4)</f>
        <v>1711</v>
      </c>
      <c r="V1356" s="35" t="str">
        <f>VLOOKUP(Tabla1[[#This Row],[PROGRAMA]],Hoja1!A:B,2,FALSE)</f>
        <v>1711. Parques y jardines</v>
      </c>
      <c r="W1356" s="35" t="str">
        <f>MID(Tabla1[[#This Row],[Aplicación]],14,2)</f>
        <v>61</v>
      </c>
      <c r="X1356" s="35" t="str">
        <f>MID(Tabla1[[#This Row],[Aplicación]],14,6)</f>
        <v>619</v>
      </c>
    </row>
    <row r="1357" spans="1:24" x14ac:dyDescent="0.25">
      <c r="A1357" s="49">
        <v>220210037298</v>
      </c>
      <c r="B1357" s="50" t="s">
        <v>9</v>
      </c>
      <c r="C1357" s="57">
        <v>44631</v>
      </c>
      <c r="D1357" s="49">
        <v>22021004893</v>
      </c>
      <c r="E1357" s="50" t="s">
        <v>1593</v>
      </c>
      <c r="F1357" s="58">
        <v>0.01</v>
      </c>
      <c r="G1357" s="50" t="s">
        <v>807</v>
      </c>
      <c r="H1357" s="50" t="s">
        <v>1125</v>
      </c>
      <c r="I1357" s="49" t="s">
        <v>107</v>
      </c>
      <c r="J1357" s="50" t="s">
        <v>109</v>
      </c>
      <c r="K1357" s="50" t="s">
        <v>109</v>
      </c>
      <c r="L1357" s="50" t="s">
        <v>12</v>
      </c>
      <c r="M1357" s="50" t="s">
        <v>13</v>
      </c>
      <c r="N1357" s="50" t="s">
        <v>14</v>
      </c>
      <c r="O1357" s="48" t="s">
        <v>620</v>
      </c>
      <c r="P1357" s="45" t="s">
        <v>453</v>
      </c>
      <c r="Q1357" s="35" t="str">
        <f>MID(Tabla1[[#This Row],[Aplicación]],14,1)</f>
        <v>6</v>
      </c>
      <c r="R1357" s="35" t="s">
        <v>442</v>
      </c>
      <c r="S1357" s="35" t="str">
        <f>MID(Tabla1[[#This Row],[Aplicación]],6,2)</f>
        <v>07</v>
      </c>
      <c r="T1357" s="35" t="str">
        <f>VLOOKUP(Tabla1[[#This Row],[AREA]],Hoja1!A:B,2,FALSE)</f>
        <v>07. Medio ambiente y desarrollo sostenible</v>
      </c>
      <c r="U1357" s="35" t="str">
        <f>MID(Tabla1[[#This Row],[Aplicación]],9,4)</f>
        <v>1711</v>
      </c>
      <c r="V1357" s="35" t="str">
        <f>VLOOKUP(Tabla1[[#This Row],[PROGRAMA]],Hoja1!A:B,2,FALSE)</f>
        <v>1711. Parques y jardines</v>
      </c>
      <c r="W1357" s="35" t="str">
        <f>MID(Tabla1[[#This Row],[Aplicación]],14,2)</f>
        <v>61</v>
      </c>
      <c r="X1357" s="35" t="str">
        <f>MID(Tabla1[[#This Row],[Aplicación]],14,6)</f>
        <v>619</v>
      </c>
    </row>
    <row r="1358" spans="1:24" x14ac:dyDescent="0.25">
      <c r="A1358" s="49">
        <v>220210043855</v>
      </c>
      <c r="B1358" s="50" t="s">
        <v>9</v>
      </c>
      <c r="C1358" s="57">
        <v>44631</v>
      </c>
      <c r="D1358" s="49">
        <v>22021004897</v>
      </c>
      <c r="E1358" s="50" t="s">
        <v>1593</v>
      </c>
      <c r="F1358" s="58">
        <v>117.35</v>
      </c>
      <c r="G1358" s="50" t="s">
        <v>807</v>
      </c>
      <c r="H1358" s="50" t="s">
        <v>1124</v>
      </c>
      <c r="I1358" s="49" t="s">
        <v>107</v>
      </c>
      <c r="J1358" s="50" t="s">
        <v>109</v>
      </c>
      <c r="K1358" s="50" t="s">
        <v>109</v>
      </c>
      <c r="L1358" s="50" t="s">
        <v>12</v>
      </c>
      <c r="M1358" s="50" t="s">
        <v>13</v>
      </c>
      <c r="N1358" s="50" t="s">
        <v>14</v>
      </c>
      <c r="O1358" s="48" t="s">
        <v>620</v>
      </c>
      <c r="P1358" s="45" t="s">
        <v>453</v>
      </c>
      <c r="Q1358" s="35" t="str">
        <f>MID(Tabla1[[#This Row],[Aplicación]],14,1)</f>
        <v>6</v>
      </c>
      <c r="R1358" s="35" t="s">
        <v>442</v>
      </c>
      <c r="S1358" s="35" t="str">
        <f>MID(Tabla1[[#This Row],[Aplicación]],6,2)</f>
        <v>07</v>
      </c>
      <c r="T1358" s="35" t="str">
        <f>VLOOKUP(Tabla1[[#This Row],[AREA]],Hoja1!A:B,2,FALSE)</f>
        <v>07. Medio ambiente y desarrollo sostenible</v>
      </c>
      <c r="U1358" s="35" t="str">
        <f>MID(Tabla1[[#This Row],[Aplicación]],9,4)</f>
        <v>1711</v>
      </c>
      <c r="V1358" s="35" t="str">
        <f>VLOOKUP(Tabla1[[#This Row],[PROGRAMA]],Hoja1!A:B,2,FALSE)</f>
        <v>1711. Parques y jardines</v>
      </c>
      <c r="W1358" s="35" t="str">
        <f>MID(Tabla1[[#This Row],[Aplicación]],14,2)</f>
        <v>61</v>
      </c>
      <c r="X1358" s="35" t="str">
        <f>MID(Tabla1[[#This Row],[Aplicación]],14,6)</f>
        <v>619</v>
      </c>
    </row>
    <row r="1359" spans="1:24" x14ac:dyDescent="0.25">
      <c r="A1359" s="49">
        <v>220210043878</v>
      </c>
      <c r="B1359" s="50" t="s">
        <v>9</v>
      </c>
      <c r="C1359" s="57">
        <v>44631</v>
      </c>
      <c r="D1359" s="49">
        <v>22021005171</v>
      </c>
      <c r="E1359" s="50" t="s">
        <v>1593</v>
      </c>
      <c r="F1359" s="58">
        <v>63.19</v>
      </c>
      <c r="G1359" s="50" t="s">
        <v>807</v>
      </c>
      <c r="H1359" s="50" t="s">
        <v>1126</v>
      </c>
      <c r="I1359" s="49" t="s">
        <v>107</v>
      </c>
      <c r="J1359" s="50" t="s">
        <v>109</v>
      </c>
      <c r="K1359" s="50" t="s">
        <v>109</v>
      </c>
      <c r="L1359" s="50" t="s">
        <v>12</v>
      </c>
      <c r="M1359" s="50" t="s">
        <v>13</v>
      </c>
      <c r="N1359" s="50" t="s">
        <v>14</v>
      </c>
      <c r="O1359" s="48" t="s">
        <v>620</v>
      </c>
      <c r="P1359" s="45" t="s">
        <v>453</v>
      </c>
      <c r="Q1359" s="35" t="str">
        <f>MID(Tabla1[[#This Row],[Aplicación]],14,1)</f>
        <v>6</v>
      </c>
      <c r="R1359" s="35" t="s">
        <v>442</v>
      </c>
      <c r="S1359" s="35" t="str">
        <f>MID(Tabla1[[#This Row],[Aplicación]],6,2)</f>
        <v>07</v>
      </c>
      <c r="T1359" s="35" t="str">
        <f>VLOOKUP(Tabla1[[#This Row],[AREA]],Hoja1!A:B,2,FALSE)</f>
        <v>07. Medio ambiente y desarrollo sostenible</v>
      </c>
      <c r="U1359" s="35" t="str">
        <f>MID(Tabla1[[#This Row],[Aplicación]],9,4)</f>
        <v>1711</v>
      </c>
      <c r="V1359" s="35" t="str">
        <f>VLOOKUP(Tabla1[[#This Row],[PROGRAMA]],Hoja1!A:B,2,FALSE)</f>
        <v>1711. Parques y jardines</v>
      </c>
      <c r="W1359" s="35" t="str">
        <f>MID(Tabla1[[#This Row],[Aplicación]],14,2)</f>
        <v>61</v>
      </c>
      <c r="X1359" s="35" t="str">
        <f>MID(Tabla1[[#This Row],[Aplicación]],14,6)</f>
        <v>619</v>
      </c>
    </row>
    <row r="1360" spans="1:24" x14ac:dyDescent="0.25">
      <c r="A1360" s="49">
        <v>220210048516</v>
      </c>
      <c r="B1360" s="50" t="s">
        <v>9</v>
      </c>
      <c r="C1360" s="57">
        <v>44620</v>
      </c>
      <c r="D1360" s="49">
        <v>22021006118</v>
      </c>
      <c r="E1360" s="50" t="s">
        <v>1368</v>
      </c>
      <c r="F1360" s="58">
        <v>1114.05</v>
      </c>
      <c r="G1360" s="50" t="s">
        <v>807</v>
      </c>
      <c r="H1360" s="50" t="s">
        <v>1107</v>
      </c>
      <c r="I1360" s="49" t="s">
        <v>107</v>
      </c>
      <c r="J1360" s="50" t="s">
        <v>109</v>
      </c>
      <c r="K1360" s="50" t="s">
        <v>109</v>
      </c>
      <c r="L1360" s="50" t="s">
        <v>12</v>
      </c>
      <c r="M1360" s="50" t="s">
        <v>13</v>
      </c>
      <c r="N1360" s="50" t="s">
        <v>14</v>
      </c>
      <c r="O1360" s="48" t="s">
        <v>620</v>
      </c>
      <c r="P1360" s="45" t="s">
        <v>453</v>
      </c>
      <c r="Q1360" s="35" t="str">
        <f>MID(Tabla1[[#This Row],[Aplicación]],14,1)</f>
        <v>6</v>
      </c>
      <c r="R1360" s="35" t="s">
        <v>442</v>
      </c>
      <c r="S1360" s="35" t="str">
        <f>MID(Tabla1[[#This Row],[Aplicación]],6,2)</f>
        <v>08</v>
      </c>
      <c r="T1360" s="35" t="str">
        <f>VLOOKUP(Tabla1[[#This Row],[AREA]],Hoja1!A:B,2,FALSE)</f>
        <v>08. Movilidad y espacio urbano</v>
      </c>
      <c r="U1360" s="35" t="str">
        <f>MID(Tabla1[[#This Row],[Aplicación]],9,4)</f>
        <v>1532</v>
      </c>
      <c r="V1360" s="35" t="str">
        <f>VLOOKUP(Tabla1[[#This Row],[PROGRAMA]],Hoja1!A:B,2,FALSE)</f>
        <v>1532. Pavimentación vias públicas y otros servicios urbanísticos</v>
      </c>
      <c r="W1360" s="35" t="str">
        <f>MID(Tabla1[[#This Row],[Aplicación]],14,2)</f>
        <v>61</v>
      </c>
      <c r="X1360" s="35" t="str">
        <f>MID(Tabla1[[#This Row],[Aplicación]],14,6)</f>
        <v>619</v>
      </c>
    </row>
    <row r="1361" spans="1:24" x14ac:dyDescent="0.25">
      <c r="A1361" s="49">
        <v>220210056280</v>
      </c>
      <c r="B1361" s="50" t="s">
        <v>9</v>
      </c>
      <c r="C1361" s="57">
        <v>44620</v>
      </c>
      <c r="D1361" s="49">
        <v>22021006073</v>
      </c>
      <c r="E1361" s="50" t="s">
        <v>1383</v>
      </c>
      <c r="F1361" s="58">
        <v>430.06</v>
      </c>
      <c r="G1361" s="50" t="s">
        <v>807</v>
      </c>
      <c r="H1361" s="50" t="s">
        <v>1110</v>
      </c>
      <c r="I1361" s="49" t="s">
        <v>107</v>
      </c>
      <c r="J1361" s="50" t="s">
        <v>109</v>
      </c>
      <c r="K1361" s="50" t="s">
        <v>109</v>
      </c>
      <c r="L1361" s="50" t="s">
        <v>12</v>
      </c>
      <c r="M1361" s="50" t="s">
        <v>13</v>
      </c>
      <c r="N1361" s="50" t="s">
        <v>14</v>
      </c>
      <c r="O1361" s="48" t="s">
        <v>620</v>
      </c>
      <c r="P1361" s="45" t="s">
        <v>453</v>
      </c>
      <c r="Q1361" s="35" t="str">
        <f>MID(Tabla1[[#This Row],[Aplicación]],14,1)</f>
        <v>6</v>
      </c>
      <c r="R1361" s="35" t="s">
        <v>442</v>
      </c>
      <c r="S1361" s="35" t="str">
        <f>MID(Tabla1[[#This Row],[Aplicación]],6,2)</f>
        <v>08</v>
      </c>
      <c r="T1361" s="35" t="str">
        <f>VLOOKUP(Tabla1[[#This Row],[AREA]],Hoja1!A:B,2,FALSE)</f>
        <v>08. Movilidad y espacio urbano</v>
      </c>
      <c r="U1361" s="35" t="str">
        <f>MID(Tabla1[[#This Row],[Aplicación]],9,4)</f>
        <v>1341</v>
      </c>
      <c r="V1361" s="35" t="str">
        <f>VLOOKUP(Tabla1[[#This Row],[PROGRAMA]],Hoja1!A:B,2,FALSE)</f>
        <v>1341. Movilidad</v>
      </c>
      <c r="W1361" s="35" t="str">
        <f>MID(Tabla1[[#This Row],[Aplicación]],14,2)</f>
        <v>61</v>
      </c>
      <c r="X1361" s="35" t="str">
        <f>MID(Tabla1[[#This Row],[Aplicación]],14,6)</f>
        <v>619</v>
      </c>
    </row>
    <row r="1362" spans="1:24" x14ac:dyDescent="0.25">
      <c r="A1362" s="49">
        <v>220210056282</v>
      </c>
      <c r="B1362" s="50" t="s">
        <v>9</v>
      </c>
      <c r="C1362" s="57">
        <v>44620</v>
      </c>
      <c r="D1362" s="49">
        <v>22021006074</v>
      </c>
      <c r="E1362" s="50" t="s">
        <v>1383</v>
      </c>
      <c r="F1362" s="58">
        <v>181.28</v>
      </c>
      <c r="G1362" s="50" t="s">
        <v>807</v>
      </c>
      <c r="H1362" s="50" t="s">
        <v>1127</v>
      </c>
      <c r="I1362" s="49" t="s">
        <v>107</v>
      </c>
      <c r="J1362" s="50" t="s">
        <v>109</v>
      </c>
      <c r="K1362" s="50" t="s">
        <v>109</v>
      </c>
      <c r="L1362" s="50" t="s">
        <v>12</v>
      </c>
      <c r="M1362" s="50" t="s">
        <v>13</v>
      </c>
      <c r="N1362" s="50" t="s">
        <v>14</v>
      </c>
      <c r="O1362" s="48" t="s">
        <v>620</v>
      </c>
      <c r="P1362" s="45" t="s">
        <v>453</v>
      </c>
      <c r="Q1362" s="35" t="str">
        <f>MID(Tabla1[[#This Row],[Aplicación]],14,1)</f>
        <v>6</v>
      </c>
      <c r="R1362" s="35" t="s">
        <v>442</v>
      </c>
      <c r="S1362" s="35" t="str">
        <f>MID(Tabla1[[#This Row],[Aplicación]],6,2)</f>
        <v>08</v>
      </c>
      <c r="T1362" s="35" t="str">
        <f>VLOOKUP(Tabla1[[#This Row],[AREA]],Hoja1!A:B,2,FALSE)</f>
        <v>08. Movilidad y espacio urbano</v>
      </c>
      <c r="U1362" s="35" t="str">
        <f>MID(Tabla1[[#This Row],[Aplicación]],9,4)</f>
        <v>1341</v>
      </c>
      <c r="V1362" s="35" t="str">
        <f>VLOOKUP(Tabla1[[#This Row],[PROGRAMA]],Hoja1!A:B,2,FALSE)</f>
        <v>1341. Movilidad</v>
      </c>
      <c r="W1362" s="35" t="str">
        <f>MID(Tabla1[[#This Row],[Aplicación]],14,2)</f>
        <v>61</v>
      </c>
      <c r="X1362" s="35" t="str">
        <f>MID(Tabla1[[#This Row],[Aplicación]],14,6)</f>
        <v>619</v>
      </c>
    </row>
    <row r="1363" spans="1:24" x14ac:dyDescent="0.25">
      <c r="A1363" s="49">
        <v>220210056287</v>
      </c>
      <c r="B1363" s="50" t="s">
        <v>9</v>
      </c>
      <c r="C1363" s="57">
        <v>44620</v>
      </c>
      <c r="D1363" s="49">
        <v>22021005289</v>
      </c>
      <c r="E1363" s="50" t="s">
        <v>1383</v>
      </c>
      <c r="F1363" s="58">
        <v>254.61</v>
      </c>
      <c r="G1363" s="50" t="s">
        <v>807</v>
      </c>
      <c r="H1363" s="50" t="s">
        <v>1128</v>
      </c>
      <c r="I1363" s="49" t="s">
        <v>107</v>
      </c>
      <c r="J1363" s="50" t="s">
        <v>109</v>
      </c>
      <c r="K1363" s="50" t="s">
        <v>109</v>
      </c>
      <c r="L1363" s="50" t="s">
        <v>25</v>
      </c>
      <c r="M1363" s="50" t="s">
        <v>13</v>
      </c>
      <c r="N1363" s="50" t="s">
        <v>14</v>
      </c>
      <c r="O1363" s="48" t="s">
        <v>620</v>
      </c>
      <c r="P1363" s="45" t="s">
        <v>453</v>
      </c>
      <c r="Q1363" s="35" t="str">
        <f>MID(Tabla1[[#This Row],[Aplicación]],14,1)</f>
        <v>6</v>
      </c>
      <c r="R1363" s="35" t="s">
        <v>442</v>
      </c>
      <c r="S1363" s="35" t="str">
        <f>MID(Tabla1[[#This Row],[Aplicación]],6,2)</f>
        <v>08</v>
      </c>
      <c r="T1363" s="35" t="str">
        <f>VLOOKUP(Tabla1[[#This Row],[AREA]],Hoja1!A:B,2,FALSE)</f>
        <v>08. Movilidad y espacio urbano</v>
      </c>
      <c r="U1363" s="35" t="str">
        <f>MID(Tabla1[[#This Row],[Aplicación]],9,4)</f>
        <v>1341</v>
      </c>
      <c r="V1363" s="35" t="str">
        <f>VLOOKUP(Tabla1[[#This Row],[PROGRAMA]],Hoja1!A:B,2,FALSE)</f>
        <v>1341. Movilidad</v>
      </c>
      <c r="W1363" s="35" t="str">
        <f>MID(Tabla1[[#This Row],[Aplicación]],14,2)</f>
        <v>61</v>
      </c>
      <c r="X1363" s="35" t="str">
        <f>MID(Tabla1[[#This Row],[Aplicación]],14,6)</f>
        <v>619</v>
      </c>
    </row>
    <row r="1364" spans="1:24" x14ac:dyDescent="0.25">
      <c r="A1364" s="49">
        <v>220210056288</v>
      </c>
      <c r="B1364" s="50" t="s">
        <v>9</v>
      </c>
      <c r="C1364" s="57">
        <v>44620</v>
      </c>
      <c r="D1364" s="49">
        <v>22021005291</v>
      </c>
      <c r="E1364" s="50" t="s">
        <v>1383</v>
      </c>
      <c r="F1364" s="58">
        <v>768.57</v>
      </c>
      <c r="G1364" s="50" t="s">
        <v>807</v>
      </c>
      <c r="H1364" s="50" t="s">
        <v>1113</v>
      </c>
      <c r="I1364" s="49" t="s">
        <v>107</v>
      </c>
      <c r="J1364" s="50" t="s">
        <v>109</v>
      </c>
      <c r="K1364" s="50" t="s">
        <v>109</v>
      </c>
      <c r="L1364" s="50" t="s">
        <v>25</v>
      </c>
      <c r="M1364" s="50" t="s">
        <v>13</v>
      </c>
      <c r="N1364" s="50" t="s">
        <v>14</v>
      </c>
      <c r="O1364" s="48" t="s">
        <v>620</v>
      </c>
      <c r="P1364" s="45" t="s">
        <v>453</v>
      </c>
      <c r="Q1364" s="35" t="str">
        <f>MID(Tabla1[[#This Row],[Aplicación]],14,1)</f>
        <v>6</v>
      </c>
      <c r="R1364" s="35" t="s">
        <v>442</v>
      </c>
      <c r="S1364" s="35" t="str">
        <f>MID(Tabla1[[#This Row],[Aplicación]],6,2)</f>
        <v>08</v>
      </c>
      <c r="T1364" s="35" t="str">
        <f>VLOOKUP(Tabla1[[#This Row],[AREA]],Hoja1!A:B,2,FALSE)</f>
        <v>08. Movilidad y espacio urbano</v>
      </c>
      <c r="U1364" s="35" t="str">
        <f>MID(Tabla1[[#This Row],[Aplicación]],9,4)</f>
        <v>1341</v>
      </c>
      <c r="V1364" s="35" t="str">
        <f>VLOOKUP(Tabla1[[#This Row],[PROGRAMA]],Hoja1!A:B,2,FALSE)</f>
        <v>1341. Movilidad</v>
      </c>
      <c r="W1364" s="35" t="str">
        <f>MID(Tabla1[[#This Row],[Aplicación]],14,2)</f>
        <v>61</v>
      </c>
      <c r="X1364" s="35" t="str">
        <f>MID(Tabla1[[#This Row],[Aplicación]],14,6)</f>
        <v>619</v>
      </c>
    </row>
    <row r="1365" spans="1:24" x14ac:dyDescent="0.25">
      <c r="A1365" s="49">
        <v>220210056346</v>
      </c>
      <c r="B1365" s="50" t="s">
        <v>9</v>
      </c>
      <c r="C1365" s="57">
        <v>44631</v>
      </c>
      <c r="D1365" s="49">
        <v>22021006360</v>
      </c>
      <c r="E1365" s="50" t="s">
        <v>1593</v>
      </c>
      <c r="F1365" s="58">
        <v>0.03</v>
      </c>
      <c r="G1365" s="50" t="s">
        <v>807</v>
      </c>
      <c r="H1365" s="50" t="s">
        <v>1112</v>
      </c>
      <c r="I1365" s="49" t="s">
        <v>107</v>
      </c>
      <c r="J1365" s="50" t="s">
        <v>109</v>
      </c>
      <c r="K1365" s="50" t="s">
        <v>109</v>
      </c>
      <c r="L1365" s="50" t="s">
        <v>12</v>
      </c>
      <c r="M1365" s="50" t="s">
        <v>13</v>
      </c>
      <c r="N1365" s="50" t="s">
        <v>14</v>
      </c>
      <c r="O1365" s="48" t="s">
        <v>620</v>
      </c>
      <c r="P1365" s="45" t="s">
        <v>453</v>
      </c>
      <c r="Q1365" s="35" t="str">
        <f>MID(Tabla1[[#This Row],[Aplicación]],14,1)</f>
        <v>6</v>
      </c>
      <c r="R1365" s="35" t="s">
        <v>442</v>
      </c>
      <c r="S1365" s="35" t="str">
        <f>MID(Tabla1[[#This Row],[Aplicación]],6,2)</f>
        <v>07</v>
      </c>
      <c r="T1365" s="35" t="str">
        <f>VLOOKUP(Tabla1[[#This Row],[AREA]],Hoja1!A:B,2,FALSE)</f>
        <v>07. Medio ambiente y desarrollo sostenible</v>
      </c>
      <c r="U1365" s="35" t="str">
        <f>MID(Tabla1[[#This Row],[Aplicación]],9,4)</f>
        <v>1711</v>
      </c>
      <c r="V1365" s="35" t="str">
        <f>VLOOKUP(Tabla1[[#This Row],[PROGRAMA]],Hoja1!A:B,2,FALSE)</f>
        <v>1711. Parques y jardines</v>
      </c>
      <c r="W1365" s="35" t="str">
        <f>MID(Tabla1[[#This Row],[Aplicación]],14,2)</f>
        <v>61</v>
      </c>
      <c r="X1365" s="35" t="str">
        <f>MID(Tabla1[[#This Row],[Aplicación]],14,6)</f>
        <v>619</v>
      </c>
    </row>
    <row r="1366" spans="1:24" x14ac:dyDescent="0.25">
      <c r="A1366" s="49">
        <v>220210056352</v>
      </c>
      <c r="B1366" s="50" t="s">
        <v>9</v>
      </c>
      <c r="C1366" s="57">
        <v>44631</v>
      </c>
      <c r="D1366" s="49">
        <v>22021006363</v>
      </c>
      <c r="E1366" s="50" t="s">
        <v>1593</v>
      </c>
      <c r="F1366" s="58">
        <v>0.01</v>
      </c>
      <c r="G1366" s="50" t="s">
        <v>807</v>
      </c>
      <c r="H1366" s="50" t="s">
        <v>1132</v>
      </c>
      <c r="I1366" s="49" t="s">
        <v>107</v>
      </c>
      <c r="J1366" s="50" t="s">
        <v>109</v>
      </c>
      <c r="K1366" s="50" t="s">
        <v>109</v>
      </c>
      <c r="L1366" s="50" t="s">
        <v>12</v>
      </c>
      <c r="M1366" s="50" t="s">
        <v>13</v>
      </c>
      <c r="N1366" s="50" t="s">
        <v>14</v>
      </c>
      <c r="O1366" s="48" t="s">
        <v>620</v>
      </c>
      <c r="P1366" s="45" t="s">
        <v>453</v>
      </c>
      <c r="Q1366" s="35" t="str">
        <f>MID(Tabla1[[#This Row],[Aplicación]],14,1)</f>
        <v>6</v>
      </c>
      <c r="R1366" s="35" t="s">
        <v>442</v>
      </c>
      <c r="S1366" s="35" t="str">
        <f>MID(Tabla1[[#This Row],[Aplicación]],6,2)</f>
        <v>07</v>
      </c>
      <c r="T1366" s="35" t="str">
        <f>VLOOKUP(Tabla1[[#This Row],[AREA]],Hoja1!A:B,2,FALSE)</f>
        <v>07. Medio ambiente y desarrollo sostenible</v>
      </c>
      <c r="U1366" s="35" t="str">
        <f>MID(Tabla1[[#This Row],[Aplicación]],9,4)</f>
        <v>1711</v>
      </c>
      <c r="V1366" s="35" t="str">
        <f>VLOOKUP(Tabla1[[#This Row],[PROGRAMA]],Hoja1!A:B,2,FALSE)</f>
        <v>1711. Parques y jardines</v>
      </c>
      <c r="W1366" s="35" t="str">
        <f>MID(Tabla1[[#This Row],[Aplicación]],14,2)</f>
        <v>61</v>
      </c>
      <c r="X1366" s="35" t="str">
        <f>MID(Tabla1[[#This Row],[Aplicación]],14,6)</f>
        <v>619</v>
      </c>
    </row>
    <row r="1367" spans="1:24" x14ac:dyDescent="0.25">
      <c r="A1367" s="49">
        <v>220210065425</v>
      </c>
      <c r="B1367" s="50" t="s">
        <v>9</v>
      </c>
      <c r="C1367" s="57">
        <v>44631</v>
      </c>
      <c r="D1367" s="49">
        <v>22021006472</v>
      </c>
      <c r="E1367" s="50" t="s">
        <v>1593</v>
      </c>
      <c r="F1367" s="58">
        <v>268.33999999999997</v>
      </c>
      <c r="G1367" s="50" t="s">
        <v>807</v>
      </c>
      <c r="H1367" s="50" t="s">
        <v>1212</v>
      </c>
      <c r="I1367" s="49" t="s">
        <v>107</v>
      </c>
      <c r="J1367" s="50" t="s">
        <v>109</v>
      </c>
      <c r="K1367" s="50" t="s">
        <v>109</v>
      </c>
      <c r="L1367" s="50" t="s">
        <v>12</v>
      </c>
      <c r="M1367" s="50" t="s">
        <v>13</v>
      </c>
      <c r="N1367" s="50" t="s">
        <v>14</v>
      </c>
      <c r="O1367" s="48" t="s">
        <v>620</v>
      </c>
      <c r="P1367" s="45" t="s">
        <v>453</v>
      </c>
      <c r="Q1367" s="35" t="str">
        <f>MID(Tabla1[[#This Row],[Aplicación]],14,1)</f>
        <v>6</v>
      </c>
      <c r="R1367" s="35" t="s">
        <v>442</v>
      </c>
      <c r="S1367" s="35" t="str">
        <f>MID(Tabla1[[#This Row],[Aplicación]],6,2)</f>
        <v>07</v>
      </c>
      <c r="T1367" s="35" t="str">
        <f>VLOOKUP(Tabla1[[#This Row],[AREA]],Hoja1!A:B,2,FALSE)</f>
        <v>07. Medio ambiente y desarrollo sostenible</v>
      </c>
      <c r="U1367" s="35" t="str">
        <f>MID(Tabla1[[#This Row],[Aplicación]],9,4)</f>
        <v>1711</v>
      </c>
      <c r="V1367" s="35" t="str">
        <f>VLOOKUP(Tabla1[[#This Row],[PROGRAMA]],Hoja1!A:B,2,FALSE)</f>
        <v>1711. Parques y jardines</v>
      </c>
      <c r="W1367" s="35" t="str">
        <f>MID(Tabla1[[#This Row],[Aplicación]],14,2)</f>
        <v>61</v>
      </c>
      <c r="X1367" s="35" t="str">
        <f>MID(Tabla1[[#This Row],[Aplicación]],14,6)</f>
        <v>619</v>
      </c>
    </row>
    <row r="1368" spans="1:24" x14ac:dyDescent="0.25">
      <c r="A1368" s="49">
        <v>220210069585</v>
      </c>
      <c r="B1368" s="50" t="s">
        <v>9</v>
      </c>
      <c r="C1368" s="57">
        <v>44620</v>
      </c>
      <c r="D1368" s="49">
        <v>22021005678</v>
      </c>
      <c r="E1368" s="50" t="s">
        <v>1362</v>
      </c>
      <c r="F1368" s="58">
        <v>1535.19</v>
      </c>
      <c r="G1368" s="50" t="s">
        <v>807</v>
      </c>
      <c r="H1368" s="50" t="s">
        <v>1252</v>
      </c>
      <c r="I1368" s="49" t="s">
        <v>107</v>
      </c>
      <c r="J1368" s="50" t="s">
        <v>109</v>
      </c>
      <c r="K1368" s="50" t="s">
        <v>109</v>
      </c>
      <c r="L1368" s="50" t="s">
        <v>12</v>
      </c>
      <c r="M1368" s="50" t="s">
        <v>13</v>
      </c>
      <c r="N1368" s="50" t="s">
        <v>14</v>
      </c>
      <c r="O1368" s="48" t="s">
        <v>620</v>
      </c>
      <c r="P1368" s="45" t="s">
        <v>453</v>
      </c>
      <c r="Q1368" s="35" t="str">
        <f>MID(Tabla1[[#This Row],[Aplicación]],14,1)</f>
        <v>6</v>
      </c>
      <c r="R1368" s="35" t="s">
        <v>442</v>
      </c>
      <c r="S1368" s="35" t="str">
        <f>MID(Tabla1[[#This Row],[Aplicación]],6,2)</f>
        <v>08</v>
      </c>
      <c r="T1368" s="35" t="str">
        <f>VLOOKUP(Tabla1[[#This Row],[AREA]],Hoja1!A:B,2,FALSE)</f>
        <v>08. Movilidad y espacio urbano</v>
      </c>
      <c r="U1368" s="35" t="str">
        <f>MID(Tabla1[[#This Row],[Aplicación]],9,4)</f>
        <v>1341</v>
      </c>
      <c r="V1368" s="35" t="str">
        <f>VLOOKUP(Tabla1[[#This Row],[PROGRAMA]],Hoja1!A:B,2,FALSE)</f>
        <v>1341. Movilidad</v>
      </c>
      <c r="W1368" s="35" t="str">
        <f>MID(Tabla1[[#This Row],[Aplicación]],14,2)</f>
        <v>60</v>
      </c>
      <c r="X1368" s="35" t="str">
        <f>MID(Tabla1[[#This Row],[Aplicación]],14,6)</f>
        <v>609</v>
      </c>
    </row>
    <row r="1369" spans="1:24" x14ac:dyDescent="0.25">
      <c r="A1369" s="49">
        <v>220210074316</v>
      </c>
      <c r="B1369" s="50" t="s">
        <v>9</v>
      </c>
      <c r="C1369" s="57">
        <v>44631</v>
      </c>
      <c r="D1369" s="49">
        <v>22021006870</v>
      </c>
      <c r="E1369" s="50" t="s">
        <v>1593</v>
      </c>
      <c r="F1369" s="58">
        <v>582.24</v>
      </c>
      <c r="G1369" s="50" t="s">
        <v>807</v>
      </c>
      <c r="H1369" s="50" t="s">
        <v>1254</v>
      </c>
      <c r="I1369" s="49" t="s">
        <v>107</v>
      </c>
      <c r="J1369" s="50" t="s">
        <v>109</v>
      </c>
      <c r="K1369" s="50" t="s">
        <v>109</v>
      </c>
      <c r="L1369" s="50" t="s">
        <v>12</v>
      </c>
      <c r="M1369" s="50" t="s">
        <v>13</v>
      </c>
      <c r="N1369" s="50" t="s">
        <v>14</v>
      </c>
      <c r="O1369" s="48" t="s">
        <v>620</v>
      </c>
      <c r="P1369" s="45" t="s">
        <v>453</v>
      </c>
      <c r="Q1369" s="35" t="str">
        <f>MID(Tabla1[[#This Row],[Aplicación]],14,1)</f>
        <v>6</v>
      </c>
      <c r="R1369" s="35" t="s">
        <v>442</v>
      </c>
      <c r="S1369" s="35" t="str">
        <f>MID(Tabla1[[#This Row],[Aplicación]],6,2)</f>
        <v>07</v>
      </c>
      <c r="T1369" s="35" t="str">
        <f>VLOOKUP(Tabla1[[#This Row],[AREA]],Hoja1!A:B,2,FALSE)</f>
        <v>07. Medio ambiente y desarrollo sostenible</v>
      </c>
      <c r="U1369" s="35" t="str">
        <f>MID(Tabla1[[#This Row],[Aplicación]],9,4)</f>
        <v>1711</v>
      </c>
      <c r="V1369" s="35" t="str">
        <f>VLOOKUP(Tabla1[[#This Row],[PROGRAMA]],Hoja1!A:B,2,FALSE)</f>
        <v>1711. Parques y jardines</v>
      </c>
      <c r="W1369" s="35" t="str">
        <f>MID(Tabla1[[#This Row],[Aplicación]],14,2)</f>
        <v>61</v>
      </c>
      <c r="X1369" s="35" t="str">
        <f>MID(Tabla1[[#This Row],[Aplicación]],14,6)</f>
        <v>619</v>
      </c>
    </row>
    <row r="1370" spans="1:24" x14ac:dyDescent="0.25">
      <c r="A1370" s="49">
        <v>220210074459</v>
      </c>
      <c r="B1370" s="50" t="s">
        <v>9</v>
      </c>
      <c r="C1370" s="57">
        <v>44631</v>
      </c>
      <c r="D1370" s="49">
        <v>22021007174</v>
      </c>
      <c r="E1370" s="50" t="s">
        <v>1593</v>
      </c>
      <c r="F1370" s="58">
        <v>432.29</v>
      </c>
      <c r="G1370" s="50" t="s">
        <v>807</v>
      </c>
      <c r="H1370" s="50" t="s">
        <v>1253</v>
      </c>
      <c r="I1370" s="49" t="s">
        <v>107</v>
      </c>
      <c r="J1370" s="50" t="s">
        <v>109</v>
      </c>
      <c r="K1370" s="50" t="s">
        <v>109</v>
      </c>
      <c r="L1370" s="50" t="s">
        <v>12</v>
      </c>
      <c r="M1370" s="50" t="s">
        <v>13</v>
      </c>
      <c r="N1370" s="50" t="s">
        <v>14</v>
      </c>
      <c r="O1370" s="48" t="s">
        <v>620</v>
      </c>
      <c r="P1370" s="45" t="s">
        <v>453</v>
      </c>
      <c r="Q1370" s="35" t="str">
        <f>MID(Tabla1[[#This Row],[Aplicación]],14,1)</f>
        <v>6</v>
      </c>
      <c r="R1370" s="35" t="s">
        <v>442</v>
      </c>
      <c r="S1370" s="35" t="str">
        <f>MID(Tabla1[[#This Row],[Aplicación]],6,2)</f>
        <v>07</v>
      </c>
      <c r="T1370" s="35" t="str">
        <f>VLOOKUP(Tabla1[[#This Row],[AREA]],Hoja1!A:B,2,FALSE)</f>
        <v>07. Medio ambiente y desarrollo sostenible</v>
      </c>
      <c r="U1370" s="35" t="str">
        <f>MID(Tabla1[[#This Row],[Aplicación]],9,4)</f>
        <v>1711</v>
      </c>
      <c r="V1370" s="35" t="str">
        <f>VLOOKUP(Tabla1[[#This Row],[PROGRAMA]],Hoja1!A:B,2,FALSE)</f>
        <v>1711. Parques y jardines</v>
      </c>
      <c r="W1370" s="35" t="str">
        <f>MID(Tabla1[[#This Row],[Aplicación]],14,2)</f>
        <v>61</v>
      </c>
      <c r="X1370" s="35" t="str">
        <f>MID(Tabla1[[#This Row],[Aplicación]],14,6)</f>
        <v>619</v>
      </c>
    </row>
    <row r="1371" spans="1:24" x14ac:dyDescent="0.25">
      <c r="A1371" s="49">
        <v>220210082252</v>
      </c>
      <c r="B1371" s="50" t="s">
        <v>9</v>
      </c>
      <c r="C1371" s="57">
        <v>44631</v>
      </c>
      <c r="D1371" s="49">
        <v>22021007177</v>
      </c>
      <c r="E1371" s="50" t="s">
        <v>1593</v>
      </c>
      <c r="F1371" s="58">
        <v>305.99</v>
      </c>
      <c r="G1371" s="50" t="s">
        <v>807</v>
      </c>
      <c r="H1371" s="50" t="s">
        <v>1339</v>
      </c>
      <c r="I1371" s="49" t="s">
        <v>107</v>
      </c>
      <c r="J1371" s="50" t="s">
        <v>109</v>
      </c>
      <c r="K1371" s="50" t="s">
        <v>109</v>
      </c>
      <c r="L1371" s="50" t="s">
        <v>12</v>
      </c>
      <c r="M1371" s="50" t="s">
        <v>13</v>
      </c>
      <c r="N1371" s="50" t="s">
        <v>14</v>
      </c>
      <c r="O1371" s="48" t="s">
        <v>620</v>
      </c>
      <c r="P1371" s="45" t="s">
        <v>453</v>
      </c>
      <c r="Q1371" s="35" t="str">
        <f>MID(Tabla1[[#This Row],[Aplicación]],14,1)</f>
        <v>6</v>
      </c>
      <c r="R1371" s="35" t="s">
        <v>442</v>
      </c>
      <c r="S1371" s="35" t="str">
        <f>MID(Tabla1[[#This Row],[Aplicación]],6,2)</f>
        <v>07</v>
      </c>
      <c r="T1371" s="35" t="str">
        <f>VLOOKUP(Tabla1[[#This Row],[AREA]],Hoja1!A:B,2,FALSE)</f>
        <v>07. Medio ambiente y desarrollo sostenible</v>
      </c>
      <c r="U1371" s="35" t="str">
        <f>MID(Tabla1[[#This Row],[Aplicación]],9,4)</f>
        <v>1711</v>
      </c>
      <c r="V1371" s="35" t="str">
        <f>VLOOKUP(Tabla1[[#This Row],[PROGRAMA]],Hoja1!A:B,2,FALSE)</f>
        <v>1711. Parques y jardines</v>
      </c>
      <c r="W1371" s="35" t="str">
        <f>MID(Tabla1[[#This Row],[Aplicación]],14,2)</f>
        <v>61</v>
      </c>
      <c r="X1371" s="35" t="str">
        <f>MID(Tabla1[[#This Row],[Aplicación]],14,6)</f>
        <v>619</v>
      </c>
    </row>
    <row r="1372" spans="1:24" x14ac:dyDescent="0.25">
      <c r="A1372" s="49">
        <v>220210084914</v>
      </c>
      <c r="B1372" s="50" t="s">
        <v>9</v>
      </c>
      <c r="C1372" s="57">
        <v>44631</v>
      </c>
      <c r="D1372" s="49">
        <v>22021007935</v>
      </c>
      <c r="E1372" s="50" t="s">
        <v>1593</v>
      </c>
      <c r="F1372" s="58">
        <v>225.38</v>
      </c>
      <c r="G1372" s="50" t="s">
        <v>807</v>
      </c>
      <c r="H1372" s="50" t="s">
        <v>1340</v>
      </c>
      <c r="I1372" s="49" t="s">
        <v>107</v>
      </c>
      <c r="J1372" s="50" t="s">
        <v>109</v>
      </c>
      <c r="K1372" s="50" t="s">
        <v>109</v>
      </c>
      <c r="L1372" s="50" t="s">
        <v>12</v>
      </c>
      <c r="M1372" s="50" t="s">
        <v>13</v>
      </c>
      <c r="N1372" s="50" t="s">
        <v>14</v>
      </c>
      <c r="O1372" s="48" t="s">
        <v>620</v>
      </c>
      <c r="P1372" s="45" t="s">
        <v>453</v>
      </c>
      <c r="Q1372" s="35" t="str">
        <f>MID(Tabla1[[#This Row],[Aplicación]],14,1)</f>
        <v>6</v>
      </c>
      <c r="R1372" s="35" t="s">
        <v>442</v>
      </c>
      <c r="S1372" s="35" t="str">
        <f>MID(Tabla1[[#This Row],[Aplicación]],6,2)</f>
        <v>07</v>
      </c>
      <c r="T1372" s="35" t="str">
        <f>VLOOKUP(Tabla1[[#This Row],[AREA]],Hoja1!A:B,2,FALSE)</f>
        <v>07. Medio ambiente y desarrollo sostenible</v>
      </c>
      <c r="U1372" s="35" t="str">
        <f>MID(Tabla1[[#This Row],[Aplicación]],9,4)</f>
        <v>1711</v>
      </c>
      <c r="V1372" s="35" t="str">
        <f>VLOOKUP(Tabla1[[#This Row],[PROGRAMA]],Hoja1!A:B,2,FALSE)</f>
        <v>1711. Parques y jardines</v>
      </c>
      <c r="W1372" s="35" t="str">
        <f>MID(Tabla1[[#This Row],[Aplicación]],14,2)</f>
        <v>61</v>
      </c>
      <c r="X1372" s="35" t="str">
        <f>MID(Tabla1[[#This Row],[Aplicación]],14,6)</f>
        <v>619</v>
      </c>
    </row>
    <row r="1373" spans="1:24" x14ac:dyDescent="0.25">
      <c r="A1373" s="49">
        <v>220210088081</v>
      </c>
      <c r="B1373" s="50" t="s">
        <v>9</v>
      </c>
      <c r="C1373" s="57">
        <v>44620</v>
      </c>
      <c r="D1373" s="49">
        <v>22021005305</v>
      </c>
      <c r="E1373" s="50" t="s">
        <v>1381</v>
      </c>
      <c r="F1373" s="58">
        <v>1616.77</v>
      </c>
      <c r="G1373" s="50" t="s">
        <v>807</v>
      </c>
      <c r="H1373" s="50" t="s">
        <v>1341</v>
      </c>
      <c r="I1373" s="49" t="s">
        <v>107</v>
      </c>
      <c r="J1373" s="50" t="s">
        <v>109</v>
      </c>
      <c r="K1373" s="50" t="s">
        <v>109</v>
      </c>
      <c r="L1373" s="50" t="s">
        <v>25</v>
      </c>
      <c r="M1373" s="50" t="s">
        <v>13</v>
      </c>
      <c r="N1373" s="50" t="s">
        <v>14</v>
      </c>
      <c r="O1373" s="48" t="s">
        <v>620</v>
      </c>
      <c r="P1373" s="45" t="s">
        <v>453</v>
      </c>
      <c r="Q1373" s="35" t="str">
        <f>MID(Tabla1[[#This Row],[Aplicación]],14,1)</f>
        <v>6</v>
      </c>
      <c r="R1373" s="35" t="s">
        <v>442</v>
      </c>
      <c r="S1373" s="35" t="str">
        <f>MID(Tabla1[[#This Row],[Aplicación]],6,2)</f>
        <v>08</v>
      </c>
      <c r="T1373" s="35" t="str">
        <f>VLOOKUP(Tabla1[[#This Row],[AREA]],Hoja1!A:B,2,FALSE)</f>
        <v>08. Movilidad y espacio urbano</v>
      </c>
      <c r="U1373" s="35" t="str">
        <f>MID(Tabla1[[#This Row],[Aplicación]],9,4)</f>
        <v>1532</v>
      </c>
      <c r="V1373" s="35" t="str">
        <f>VLOOKUP(Tabla1[[#This Row],[PROGRAMA]],Hoja1!A:B,2,FALSE)</f>
        <v>1532. Pavimentación vias públicas y otros servicios urbanísticos</v>
      </c>
      <c r="W1373" s="35" t="str">
        <f>MID(Tabla1[[#This Row],[Aplicación]],14,2)</f>
        <v>62</v>
      </c>
      <c r="X1373" s="35" t="str">
        <f>MID(Tabla1[[#This Row],[Aplicación]],14,6)</f>
        <v>622</v>
      </c>
    </row>
    <row r="1374" spans="1:24" x14ac:dyDescent="0.25">
      <c r="A1374" s="49">
        <v>220210088082</v>
      </c>
      <c r="B1374" s="50" t="s">
        <v>9</v>
      </c>
      <c r="C1374" s="57">
        <v>44620</v>
      </c>
      <c r="D1374" s="49">
        <v>22021005309</v>
      </c>
      <c r="E1374" s="50" t="s">
        <v>1388</v>
      </c>
      <c r="F1374" s="58">
        <v>586.01</v>
      </c>
      <c r="G1374" s="50" t="s">
        <v>807</v>
      </c>
      <c r="H1374" s="50" t="s">
        <v>1342</v>
      </c>
      <c r="I1374" s="49" t="s">
        <v>107</v>
      </c>
      <c r="J1374" s="50" t="s">
        <v>109</v>
      </c>
      <c r="K1374" s="50" t="s">
        <v>109</v>
      </c>
      <c r="L1374" s="50" t="s">
        <v>25</v>
      </c>
      <c r="M1374" s="50" t="s">
        <v>13</v>
      </c>
      <c r="N1374" s="50" t="s">
        <v>14</v>
      </c>
      <c r="O1374" s="48" t="s">
        <v>620</v>
      </c>
      <c r="P1374" s="45" t="s">
        <v>453</v>
      </c>
      <c r="Q1374" s="35" t="str">
        <f>MID(Tabla1[[#This Row],[Aplicación]],14,1)</f>
        <v>6</v>
      </c>
      <c r="R1374" s="35" t="s">
        <v>442</v>
      </c>
      <c r="S1374" s="35" t="str">
        <f>MID(Tabla1[[#This Row],[Aplicación]],6,2)</f>
        <v>08</v>
      </c>
      <c r="T1374" s="35" t="str">
        <f>VLOOKUP(Tabla1[[#This Row],[AREA]],Hoja1!A:B,2,FALSE)</f>
        <v>08. Movilidad y espacio urbano</v>
      </c>
      <c r="U1374" s="35" t="str">
        <f>MID(Tabla1[[#This Row],[Aplicación]],9,4)</f>
        <v>1532</v>
      </c>
      <c r="V1374" s="35" t="str">
        <f>VLOOKUP(Tabla1[[#This Row],[PROGRAMA]],Hoja1!A:B,2,FALSE)</f>
        <v>1532. Pavimentación vias públicas y otros servicios urbanísticos</v>
      </c>
      <c r="W1374" s="35" t="str">
        <f>MID(Tabla1[[#This Row],[Aplicación]],14,2)</f>
        <v>60</v>
      </c>
      <c r="X1374" s="35" t="str">
        <f>MID(Tabla1[[#This Row],[Aplicación]],14,6)</f>
        <v>609</v>
      </c>
    </row>
    <row r="1375" spans="1:24" x14ac:dyDescent="0.25">
      <c r="A1375" s="49">
        <v>220219000405</v>
      </c>
      <c r="B1375" s="50" t="s">
        <v>9</v>
      </c>
      <c r="C1375" s="57">
        <v>44562</v>
      </c>
      <c r="D1375" s="49">
        <v>22022001981</v>
      </c>
      <c r="E1375" s="50" t="s">
        <v>1368</v>
      </c>
      <c r="F1375" s="58">
        <v>10500</v>
      </c>
      <c r="G1375" s="50" t="s">
        <v>807</v>
      </c>
      <c r="H1375" s="50" t="s">
        <v>942</v>
      </c>
      <c r="I1375" s="49" t="s">
        <v>107</v>
      </c>
      <c r="J1375" s="50" t="s">
        <v>109</v>
      </c>
      <c r="K1375" s="50" t="s">
        <v>109</v>
      </c>
      <c r="L1375" s="50" t="s">
        <v>12</v>
      </c>
      <c r="M1375" s="50" t="s">
        <v>13</v>
      </c>
      <c r="N1375" s="50" t="s">
        <v>14</v>
      </c>
      <c r="O1375" s="48" t="s">
        <v>620</v>
      </c>
      <c r="P1375" s="45" t="s">
        <v>453</v>
      </c>
      <c r="Q1375" s="35" t="str">
        <f>MID(Tabla1[[#This Row],[Aplicación]],14,1)</f>
        <v>6</v>
      </c>
      <c r="R1375" s="35" t="s">
        <v>442</v>
      </c>
      <c r="S1375" s="35" t="str">
        <f>MID(Tabla1[[#This Row],[Aplicación]],6,2)</f>
        <v>08</v>
      </c>
      <c r="T1375" s="35" t="str">
        <f>VLOOKUP(Tabla1[[#This Row],[AREA]],Hoja1!A:B,2,FALSE)</f>
        <v>08. Movilidad y espacio urbano</v>
      </c>
      <c r="U1375" s="35" t="str">
        <f>MID(Tabla1[[#This Row],[Aplicación]],9,4)</f>
        <v>1532</v>
      </c>
      <c r="V1375" s="35" t="str">
        <f>VLOOKUP(Tabla1[[#This Row],[PROGRAMA]],Hoja1!A:B,2,FALSE)</f>
        <v>1532. Pavimentación vias públicas y otros servicios urbanísticos</v>
      </c>
      <c r="W1375" s="35" t="str">
        <f>MID(Tabla1[[#This Row],[Aplicación]],14,2)</f>
        <v>61</v>
      </c>
      <c r="X1375" s="35" t="str">
        <f>MID(Tabla1[[#This Row],[Aplicación]],14,6)</f>
        <v>619</v>
      </c>
    </row>
    <row r="1376" spans="1:24" x14ac:dyDescent="0.25">
      <c r="A1376" s="49">
        <v>220219000659</v>
      </c>
      <c r="B1376" s="50" t="s">
        <v>9</v>
      </c>
      <c r="C1376" s="57">
        <v>44562</v>
      </c>
      <c r="D1376" s="49">
        <v>22022002212</v>
      </c>
      <c r="E1376" s="50" t="s">
        <v>1383</v>
      </c>
      <c r="F1376" s="58">
        <v>464.66</v>
      </c>
      <c r="G1376" s="50" t="s">
        <v>807</v>
      </c>
      <c r="H1376" s="50" t="s">
        <v>2770</v>
      </c>
      <c r="I1376" s="49" t="s">
        <v>107</v>
      </c>
      <c r="J1376" s="50" t="s">
        <v>109</v>
      </c>
      <c r="K1376" s="50" t="s">
        <v>109</v>
      </c>
      <c r="L1376" s="50" t="s">
        <v>12</v>
      </c>
      <c r="M1376" s="50" t="s">
        <v>13</v>
      </c>
      <c r="N1376" s="50" t="s">
        <v>14</v>
      </c>
      <c r="O1376" s="48" t="s">
        <v>620</v>
      </c>
      <c r="P1376" s="45" t="s">
        <v>453</v>
      </c>
      <c r="Q1376" s="35" t="str">
        <f>MID(Tabla1[[#This Row],[Aplicación]],14,1)</f>
        <v>6</v>
      </c>
      <c r="R1376" s="35" t="s">
        <v>442</v>
      </c>
      <c r="S1376" s="35" t="str">
        <f>MID(Tabla1[[#This Row],[Aplicación]],6,2)</f>
        <v>08</v>
      </c>
      <c r="T1376" s="35" t="str">
        <f>VLOOKUP(Tabla1[[#This Row],[AREA]],Hoja1!A:B,2,FALSE)</f>
        <v>08. Movilidad y espacio urbano</v>
      </c>
      <c r="U1376" s="35" t="str">
        <f>MID(Tabla1[[#This Row],[Aplicación]],9,4)</f>
        <v>1341</v>
      </c>
      <c r="V1376" s="35" t="str">
        <f>VLOOKUP(Tabla1[[#This Row],[PROGRAMA]],Hoja1!A:B,2,FALSE)</f>
        <v>1341. Movilidad</v>
      </c>
      <c r="W1376" s="35" t="str">
        <f>MID(Tabla1[[#This Row],[Aplicación]],14,2)</f>
        <v>61</v>
      </c>
      <c r="X1376" s="35" t="str">
        <f>MID(Tabla1[[#This Row],[Aplicación]],14,6)</f>
        <v>619</v>
      </c>
    </row>
    <row r="1377" spans="1:24" x14ac:dyDescent="0.25">
      <c r="A1377" s="49">
        <v>220219000661</v>
      </c>
      <c r="B1377" s="50" t="s">
        <v>9</v>
      </c>
      <c r="C1377" s="57">
        <v>44562</v>
      </c>
      <c r="D1377" s="49">
        <v>22022002214</v>
      </c>
      <c r="E1377" s="50" t="s">
        <v>1383</v>
      </c>
      <c r="F1377" s="58">
        <v>1277.8</v>
      </c>
      <c r="G1377" s="50" t="s">
        <v>807</v>
      </c>
      <c r="H1377" s="50" t="s">
        <v>2771</v>
      </c>
      <c r="I1377" s="49" t="s">
        <v>107</v>
      </c>
      <c r="J1377" s="50" t="s">
        <v>109</v>
      </c>
      <c r="K1377" s="50" t="s">
        <v>109</v>
      </c>
      <c r="L1377" s="50" t="s">
        <v>12</v>
      </c>
      <c r="M1377" s="50" t="s">
        <v>13</v>
      </c>
      <c r="N1377" s="50" t="s">
        <v>14</v>
      </c>
      <c r="O1377" s="48" t="s">
        <v>620</v>
      </c>
      <c r="P1377" s="45" t="s">
        <v>453</v>
      </c>
      <c r="Q1377" s="35" t="str">
        <f>MID(Tabla1[[#This Row],[Aplicación]],14,1)</f>
        <v>6</v>
      </c>
      <c r="R1377" s="35" t="s">
        <v>442</v>
      </c>
      <c r="S1377" s="35" t="str">
        <f>MID(Tabla1[[#This Row],[Aplicación]],6,2)</f>
        <v>08</v>
      </c>
      <c r="T1377" s="35" t="str">
        <f>VLOOKUP(Tabla1[[#This Row],[AREA]],Hoja1!A:B,2,FALSE)</f>
        <v>08. Movilidad y espacio urbano</v>
      </c>
      <c r="U1377" s="35" t="str">
        <f>MID(Tabla1[[#This Row],[Aplicación]],9,4)</f>
        <v>1341</v>
      </c>
      <c r="V1377" s="35" t="str">
        <f>VLOOKUP(Tabla1[[#This Row],[PROGRAMA]],Hoja1!A:B,2,FALSE)</f>
        <v>1341. Movilidad</v>
      </c>
      <c r="W1377" s="35" t="str">
        <f>MID(Tabla1[[#This Row],[Aplicación]],14,2)</f>
        <v>61</v>
      </c>
      <c r="X1377" s="35" t="str">
        <f>MID(Tabla1[[#This Row],[Aplicación]],14,6)</f>
        <v>619</v>
      </c>
    </row>
    <row r="1378" spans="1:24" x14ac:dyDescent="0.25">
      <c r="A1378" s="49">
        <v>220219000770</v>
      </c>
      <c r="B1378" s="50" t="s">
        <v>9</v>
      </c>
      <c r="C1378" s="57">
        <v>44562</v>
      </c>
      <c r="D1378" s="49">
        <v>22022002208</v>
      </c>
      <c r="E1378" s="50" t="s">
        <v>1374</v>
      </c>
      <c r="F1378" s="58">
        <v>3478.2</v>
      </c>
      <c r="G1378" s="50" t="s">
        <v>807</v>
      </c>
      <c r="H1378" s="50" t="s">
        <v>2772</v>
      </c>
      <c r="I1378" s="49" t="s">
        <v>107</v>
      </c>
      <c r="J1378" s="50" t="s">
        <v>109</v>
      </c>
      <c r="K1378" s="50" t="s">
        <v>109</v>
      </c>
      <c r="L1378" s="50" t="s">
        <v>12</v>
      </c>
      <c r="M1378" s="50" t="s">
        <v>13</v>
      </c>
      <c r="N1378" s="50" t="s">
        <v>14</v>
      </c>
      <c r="O1378" s="48" t="s">
        <v>620</v>
      </c>
      <c r="P1378" s="45" t="s">
        <v>453</v>
      </c>
      <c r="Q1378" s="35" t="str">
        <f>MID(Tabla1[[#This Row],[Aplicación]],14,1)</f>
        <v>6</v>
      </c>
      <c r="R1378" s="35" t="s">
        <v>442</v>
      </c>
      <c r="S1378" s="35" t="str">
        <f>MID(Tabla1[[#This Row],[Aplicación]],6,2)</f>
        <v>08</v>
      </c>
      <c r="T1378" s="35" t="str">
        <f>VLOOKUP(Tabla1[[#This Row],[AREA]],Hoja1!A:B,2,FALSE)</f>
        <v>08. Movilidad y espacio urbano</v>
      </c>
      <c r="U1378" s="35" t="str">
        <f>MID(Tabla1[[#This Row],[Aplicación]],9,4)</f>
        <v>1651</v>
      </c>
      <c r="V1378" s="35" t="str">
        <f>VLOOKUP(Tabla1[[#This Row],[PROGRAMA]],Hoja1!A:B,2,FALSE)</f>
        <v>1651. Alumbrado público</v>
      </c>
      <c r="W1378" s="35" t="str">
        <f>MID(Tabla1[[#This Row],[Aplicación]],14,2)</f>
        <v>61</v>
      </c>
      <c r="X1378" s="35" t="str">
        <f>MID(Tabla1[[#This Row],[Aplicación]],14,6)</f>
        <v>619</v>
      </c>
    </row>
    <row r="1379" spans="1:24" x14ac:dyDescent="0.25">
      <c r="A1379" s="49">
        <v>220219000876</v>
      </c>
      <c r="B1379" s="50" t="s">
        <v>9</v>
      </c>
      <c r="C1379" s="57">
        <v>44562</v>
      </c>
      <c r="D1379" s="49">
        <v>22022002009</v>
      </c>
      <c r="E1379" s="50" t="s">
        <v>1362</v>
      </c>
      <c r="F1379" s="58">
        <v>5322.95</v>
      </c>
      <c r="G1379" s="50" t="s">
        <v>807</v>
      </c>
      <c r="H1379" s="50" t="s">
        <v>2773</v>
      </c>
      <c r="I1379" s="49" t="s">
        <v>107</v>
      </c>
      <c r="J1379" s="50" t="s">
        <v>109</v>
      </c>
      <c r="K1379" s="50" t="s">
        <v>109</v>
      </c>
      <c r="L1379" s="50" t="s">
        <v>12</v>
      </c>
      <c r="M1379" s="50" t="s">
        <v>13</v>
      </c>
      <c r="N1379" s="50" t="s">
        <v>14</v>
      </c>
      <c r="O1379" s="48" t="s">
        <v>620</v>
      </c>
      <c r="P1379" s="45" t="s">
        <v>453</v>
      </c>
      <c r="Q1379" s="35" t="str">
        <f>MID(Tabla1[[#This Row],[Aplicación]],14,1)</f>
        <v>6</v>
      </c>
      <c r="R1379" s="35" t="s">
        <v>442</v>
      </c>
      <c r="S1379" s="35" t="str">
        <f>MID(Tabla1[[#This Row],[Aplicación]],6,2)</f>
        <v>08</v>
      </c>
      <c r="T1379" s="35" t="str">
        <f>VLOOKUP(Tabla1[[#This Row],[AREA]],Hoja1!A:B,2,FALSE)</f>
        <v>08. Movilidad y espacio urbano</v>
      </c>
      <c r="U1379" s="35" t="str">
        <f>MID(Tabla1[[#This Row],[Aplicación]],9,4)</f>
        <v>1341</v>
      </c>
      <c r="V1379" s="35" t="str">
        <f>VLOOKUP(Tabla1[[#This Row],[PROGRAMA]],Hoja1!A:B,2,FALSE)</f>
        <v>1341. Movilidad</v>
      </c>
      <c r="W1379" s="35" t="str">
        <f>MID(Tabla1[[#This Row],[Aplicación]],14,2)</f>
        <v>60</v>
      </c>
      <c r="X1379" s="35" t="str">
        <f>MID(Tabla1[[#This Row],[Aplicación]],14,6)</f>
        <v>609</v>
      </c>
    </row>
    <row r="1380" spans="1:24" x14ac:dyDescent="0.25">
      <c r="A1380" s="49">
        <v>220219000879</v>
      </c>
      <c r="B1380" s="50" t="s">
        <v>9</v>
      </c>
      <c r="C1380" s="57">
        <v>44562</v>
      </c>
      <c r="D1380" s="49">
        <v>22022002010</v>
      </c>
      <c r="E1380" s="50" t="s">
        <v>1383</v>
      </c>
      <c r="F1380" s="58">
        <v>2869.89</v>
      </c>
      <c r="G1380" s="50" t="s">
        <v>807</v>
      </c>
      <c r="H1380" s="50" t="s">
        <v>2774</v>
      </c>
      <c r="I1380" s="49" t="s">
        <v>107</v>
      </c>
      <c r="J1380" s="50" t="s">
        <v>109</v>
      </c>
      <c r="K1380" s="50" t="s">
        <v>109</v>
      </c>
      <c r="L1380" s="50" t="s">
        <v>12</v>
      </c>
      <c r="M1380" s="50" t="s">
        <v>13</v>
      </c>
      <c r="N1380" s="50" t="s">
        <v>14</v>
      </c>
      <c r="O1380" s="48" t="s">
        <v>620</v>
      </c>
      <c r="P1380" s="45" t="s">
        <v>453</v>
      </c>
      <c r="Q1380" s="35" t="str">
        <f>MID(Tabla1[[#This Row],[Aplicación]],14,1)</f>
        <v>6</v>
      </c>
      <c r="R1380" s="35" t="s">
        <v>442</v>
      </c>
      <c r="S1380" s="35" t="str">
        <f>MID(Tabla1[[#This Row],[Aplicación]],6,2)</f>
        <v>08</v>
      </c>
      <c r="T1380" s="35" t="str">
        <f>VLOOKUP(Tabla1[[#This Row],[AREA]],Hoja1!A:B,2,FALSE)</f>
        <v>08. Movilidad y espacio urbano</v>
      </c>
      <c r="U1380" s="35" t="str">
        <f>MID(Tabla1[[#This Row],[Aplicación]],9,4)</f>
        <v>1341</v>
      </c>
      <c r="V1380" s="35" t="str">
        <f>VLOOKUP(Tabla1[[#This Row],[PROGRAMA]],Hoja1!A:B,2,FALSE)</f>
        <v>1341. Movilidad</v>
      </c>
      <c r="W1380" s="35" t="str">
        <f>MID(Tabla1[[#This Row],[Aplicación]],14,2)</f>
        <v>61</v>
      </c>
      <c r="X1380" s="35" t="str">
        <f>MID(Tabla1[[#This Row],[Aplicación]],14,6)</f>
        <v>619</v>
      </c>
    </row>
    <row r="1381" spans="1:24" x14ac:dyDescent="0.25">
      <c r="A1381" s="49">
        <v>220219001226</v>
      </c>
      <c r="B1381" s="50" t="s">
        <v>9</v>
      </c>
      <c r="C1381" s="57">
        <v>44562</v>
      </c>
      <c r="D1381" s="49">
        <v>22022001988</v>
      </c>
      <c r="E1381" s="50" t="s">
        <v>1362</v>
      </c>
      <c r="F1381" s="58">
        <v>8312.07</v>
      </c>
      <c r="G1381" s="50" t="s">
        <v>807</v>
      </c>
      <c r="H1381" s="50" t="s">
        <v>2775</v>
      </c>
      <c r="I1381" s="49" t="s">
        <v>107</v>
      </c>
      <c r="J1381" s="50" t="s">
        <v>109</v>
      </c>
      <c r="K1381" s="50" t="s">
        <v>109</v>
      </c>
      <c r="L1381" s="50" t="s">
        <v>25</v>
      </c>
      <c r="M1381" s="50" t="s">
        <v>13</v>
      </c>
      <c r="N1381" s="50" t="s">
        <v>14</v>
      </c>
      <c r="O1381" s="48" t="s">
        <v>620</v>
      </c>
      <c r="P1381" s="45" t="s">
        <v>453</v>
      </c>
      <c r="Q1381" s="35" t="str">
        <f>MID(Tabla1[[#This Row],[Aplicación]],14,1)</f>
        <v>6</v>
      </c>
      <c r="R1381" s="35" t="s">
        <v>442</v>
      </c>
      <c r="S1381" s="35" t="str">
        <f>MID(Tabla1[[#This Row],[Aplicación]],6,2)</f>
        <v>08</v>
      </c>
      <c r="T1381" s="35" t="str">
        <f>VLOOKUP(Tabla1[[#This Row],[AREA]],Hoja1!A:B,2,FALSE)</f>
        <v>08. Movilidad y espacio urbano</v>
      </c>
      <c r="U1381" s="35" t="str">
        <f>MID(Tabla1[[#This Row],[Aplicación]],9,4)</f>
        <v>1341</v>
      </c>
      <c r="V1381" s="35" t="str">
        <f>VLOOKUP(Tabla1[[#This Row],[PROGRAMA]],Hoja1!A:B,2,FALSE)</f>
        <v>1341. Movilidad</v>
      </c>
      <c r="W1381" s="35" t="str">
        <f>MID(Tabla1[[#This Row],[Aplicación]],14,2)</f>
        <v>60</v>
      </c>
      <c r="X1381" s="35" t="str">
        <f>MID(Tabla1[[#This Row],[Aplicación]],14,6)</f>
        <v>609</v>
      </c>
    </row>
    <row r="1382" spans="1:24" x14ac:dyDescent="0.25">
      <c r="A1382" s="49">
        <v>220219001237</v>
      </c>
      <c r="B1382" s="50" t="s">
        <v>9</v>
      </c>
      <c r="C1382" s="57">
        <v>44562</v>
      </c>
      <c r="D1382" s="49">
        <v>22022001484</v>
      </c>
      <c r="E1382" s="50" t="s">
        <v>1388</v>
      </c>
      <c r="F1382" s="58">
        <v>1252.02</v>
      </c>
      <c r="G1382" s="50" t="s">
        <v>807</v>
      </c>
      <c r="H1382" s="50" t="s">
        <v>2776</v>
      </c>
      <c r="I1382" s="49" t="s">
        <v>107</v>
      </c>
      <c r="J1382" s="50" t="s">
        <v>109</v>
      </c>
      <c r="K1382" s="50" t="s">
        <v>109</v>
      </c>
      <c r="L1382" s="50" t="s">
        <v>25</v>
      </c>
      <c r="M1382" s="50" t="s">
        <v>13</v>
      </c>
      <c r="N1382" s="50" t="s">
        <v>14</v>
      </c>
      <c r="O1382" s="48" t="s">
        <v>620</v>
      </c>
      <c r="P1382" s="45" t="s">
        <v>453</v>
      </c>
      <c r="Q1382" s="35" t="str">
        <f>MID(Tabla1[[#This Row],[Aplicación]],14,1)</f>
        <v>6</v>
      </c>
      <c r="R1382" s="35" t="s">
        <v>442</v>
      </c>
      <c r="S1382" s="35" t="str">
        <f>MID(Tabla1[[#This Row],[Aplicación]],6,2)</f>
        <v>08</v>
      </c>
      <c r="T1382" s="35" t="str">
        <f>VLOOKUP(Tabla1[[#This Row],[AREA]],Hoja1!A:B,2,FALSE)</f>
        <v>08. Movilidad y espacio urbano</v>
      </c>
      <c r="U1382" s="35" t="str">
        <f>MID(Tabla1[[#This Row],[Aplicación]],9,4)</f>
        <v>1532</v>
      </c>
      <c r="V1382" s="35" t="str">
        <f>VLOOKUP(Tabla1[[#This Row],[PROGRAMA]],Hoja1!A:B,2,FALSE)</f>
        <v>1532. Pavimentación vias públicas y otros servicios urbanísticos</v>
      </c>
      <c r="W1382" s="35" t="str">
        <f>MID(Tabla1[[#This Row],[Aplicación]],14,2)</f>
        <v>60</v>
      </c>
      <c r="X1382" s="35" t="str">
        <f>MID(Tabla1[[#This Row],[Aplicación]],14,6)</f>
        <v>609</v>
      </c>
    </row>
    <row r="1383" spans="1:24" x14ac:dyDescent="0.25">
      <c r="A1383" s="49">
        <v>220219001238</v>
      </c>
      <c r="B1383" s="50" t="s">
        <v>9</v>
      </c>
      <c r="C1383" s="57">
        <v>44562</v>
      </c>
      <c r="D1383" s="49">
        <v>22022001989</v>
      </c>
      <c r="E1383" s="50" t="s">
        <v>1381</v>
      </c>
      <c r="F1383" s="58">
        <v>673.81</v>
      </c>
      <c r="G1383" s="50" t="s">
        <v>807</v>
      </c>
      <c r="H1383" s="50" t="s">
        <v>2777</v>
      </c>
      <c r="I1383" s="49" t="s">
        <v>107</v>
      </c>
      <c r="J1383" s="50" t="s">
        <v>109</v>
      </c>
      <c r="K1383" s="50" t="s">
        <v>109</v>
      </c>
      <c r="L1383" s="50" t="s">
        <v>25</v>
      </c>
      <c r="M1383" s="50" t="s">
        <v>13</v>
      </c>
      <c r="N1383" s="50" t="s">
        <v>14</v>
      </c>
      <c r="O1383" s="48" t="s">
        <v>620</v>
      </c>
      <c r="P1383" s="45" t="s">
        <v>453</v>
      </c>
      <c r="Q1383" s="35" t="str">
        <f>MID(Tabla1[[#This Row],[Aplicación]],14,1)</f>
        <v>6</v>
      </c>
      <c r="R1383" s="35" t="s">
        <v>442</v>
      </c>
      <c r="S1383" s="35" t="str">
        <f>MID(Tabla1[[#This Row],[Aplicación]],6,2)</f>
        <v>08</v>
      </c>
      <c r="T1383" s="35" t="str">
        <f>VLOOKUP(Tabla1[[#This Row],[AREA]],Hoja1!A:B,2,FALSE)</f>
        <v>08. Movilidad y espacio urbano</v>
      </c>
      <c r="U1383" s="35" t="str">
        <f>MID(Tabla1[[#This Row],[Aplicación]],9,4)</f>
        <v>1532</v>
      </c>
      <c r="V1383" s="35" t="str">
        <f>VLOOKUP(Tabla1[[#This Row],[PROGRAMA]],Hoja1!A:B,2,FALSE)</f>
        <v>1532. Pavimentación vias públicas y otros servicios urbanísticos</v>
      </c>
      <c r="W1383" s="35" t="str">
        <f>MID(Tabla1[[#This Row],[Aplicación]],14,2)</f>
        <v>62</v>
      </c>
      <c r="X1383" s="35" t="str">
        <f>MID(Tabla1[[#This Row],[Aplicación]],14,6)</f>
        <v>622</v>
      </c>
    </row>
    <row r="1384" spans="1:24" x14ac:dyDescent="0.25">
      <c r="A1384" s="49">
        <v>220220003522</v>
      </c>
      <c r="B1384" s="50" t="s">
        <v>9</v>
      </c>
      <c r="C1384" s="57">
        <v>44606</v>
      </c>
      <c r="D1384" s="49">
        <v>22022001536</v>
      </c>
      <c r="E1384" s="50" t="s">
        <v>1368</v>
      </c>
      <c r="F1384" s="58">
        <v>168.06</v>
      </c>
      <c r="G1384" s="50" t="s">
        <v>807</v>
      </c>
      <c r="H1384" s="50" t="s">
        <v>2778</v>
      </c>
      <c r="I1384" s="49" t="s">
        <v>107</v>
      </c>
      <c r="J1384" s="50" t="s">
        <v>109</v>
      </c>
      <c r="K1384" s="50" t="s">
        <v>109</v>
      </c>
      <c r="L1384" s="50" t="s">
        <v>25</v>
      </c>
      <c r="M1384" s="50" t="s">
        <v>13</v>
      </c>
      <c r="N1384" s="50" t="s">
        <v>14</v>
      </c>
      <c r="O1384" s="48" t="s">
        <v>620</v>
      </c>
      <c r="P1384" s="45" t="s">
        <v>453</v>
      </c>
      <c r="Q1384" s="35" t="str">
        <f>MID(Tabla1[[#This Row],[Aplicación]],14,1)</f>
        <v>6</v>
      </c>
      <c r="R1384" s="35" t="s">
        <v>442</v>
      </c>
      <c r="S1384" s="35" t="str">
        <f>MID(Tabla1[[#This Row],[Aplicación]],6,2)</f>
        <v>08</v>
      </c>
      <c r="T1384" s="35" t="str">
        <f>VLOOKUP(Tabla1[[#This Row],[AREA]],Hoja1!A:B,2,FALSE)</f>
        <v>08. Movilidad y espacio urbano</v>
      </c>
      <c r="U1384" s="35" t="str">
        <f>MID(Tabla1[[#This Row],[Aplicación]],9,4)</f>
        <v>1532</v>
      </c>
      <c r="V1384" s="35" t="str">
        <f>VLOOKUP(Tabla1[[#This Row],[PROGRAMA]],Hoja1!A:B,2,FALSE)</f>
        <v>1532. Pavimentación vias públicas y otros servicios urbanísticos</v>
      </c>
      <c r="W1384" s="35" t="str">
        <f>MID(Tabla1[[#This Row],[Aplicación]],14,2)</f>
        <v>61</v>
      </c>
      <c r="X1384" s="35" t="str">
        <f>MID(Tabla1[[#This Row],[Aplicación]],14,6)</f>
        <v>619</v>
      </c>
    </row>
    <row r="1385" spans="1:24" x14ac:dyDescent="0.25">
      <c r="A1385" s="49">
        <v>220220003523</v>
      </c>
      <c r="B1385" s="50" t="s">
        <v>172</v>
      </c>
      <c r="C1385" s="57">
        <v>44606</v>
      </c>
      <c r="D1385" s="49">
        <v>22022001542</v>
      </c>
      <c r="E1385" s="50" t="s">
        <v>1368</v>
      </c>
      <c r="F1385" s="58">
        <v>575.07000000000005</v>
      </c>
      <c r="G1385" s="50" t="s">
        <v>807</v>
      </c>
      <c r="H1385" s="50" t="s">
        <v>2779</v>
      </c>
      <c r="I1385" s="49" t="s">
        <v>173</v>
      </c>
      <c r="J1385" s="50" t="s">
        <v>109</v>
      </c>
      <c r="K1385" s="50" t="s">
        <v>109</v>
      </c>
      <c r="L1385" s="50" t="s">
        <v>25</v>
      </c>
      <c r="M1385" s="50" t="s">
        <v>13</v>
      </c>
      <c r="N1385" s="50" t="s">
        <v>14</v>
      </c>
      <c r="O1385" s="48" t="s">
        <v>620</v>
      </c>
      <c r="P1385" s="45" t="s">
        <v>453</v>
      </c>
      <c r="Q1385" s="35" t="str">
        <f>MID(Tabla1[[#This Row],[Aplicación]],14,1)</f>
        <v>6</v>
      </c>
      <c r="R1385" s="35" t="s">
        <v>442</v>
      </c>
      <c r="S1385" s="35" t="str">
        <f>MID(Tabla1[[#This Row],[Aplicación]],6,2)</f>
        <v>08</v>
      </c>
      <c r="T1385" s="35" t="str">
        <f>VLOOKUP(Tabla1[[#This Row],[AREA]],Hoja1!A:B,2,FALSE)</f>
        <v>08. Movilidad y espacio urbano</v>
      </c>
      <c r="U1385" s="35" t="str">
        <f>MID(Tabla1[[#This Row],[Aplicación]],9,4)</f>
        <v>1532</v>
      </c>
      <c r="V1385" s="35" t="str">
        <f>VLOOKUP(Tabla1[[#This Row],[PROGRAMA]],Hoja1!A:B,2,FALSE)</f>
        <v>1532. Pavimentación vias públicas y otros servicios urbanísticos</v>
      </c>
      <c r="W1385" s="35" t="str">
        <f>MID(Tabla1[[#This Row],[Aplicación]],14,2)</f>
        <v>61</v>
      </c>
      <c r="X1385" s="35" t="str">
        <f>MID(Tabla1[[#This Row],[Aplicación]],14,6)</f>
        <v>619</v>
      </c>
    </row>
    <row r="1386" spans="1:24" x14ac:dyDescent="0.25">
      <c r="A1386" s="49">
        <v>220220007237</v>
      </c>
      <c r="B1386" s="50" t="s">
        <v>172</v>
      </c>
      <c r="C1386" s="57">
        <v>44623</v>
      </c>
      <c r="D1386" s="49">
        <v>22021003437</v>
      </c>
      <c r="E1386" s="50" t="s">
        <v>1374</v>
      </c>
      <c r="F1386" s="58">
        <v>62.8</v>
      </c>
      <c r="G1386" s="50" t="s">
        <v>807</v>
      </c>
      <c r="H1386" s="50" t="s">
        <v>2780</v>
      </c>
      <c r="I1386" s="49" t="s">
        <v>173</v>
      </c>
      <c r="J1386" s="50" t="s">
        <v>109</v>
      </c>
      <c r="K1386" s="50" t="s">
        <v>109</v>
      </c>
      <c r="L1386" s="50" t="s">
        <v>12</v>
      </c>
      <c r="M1386" s="50" t="s">
        <v>13</v>
      </c>
      <c r="N1386" s="50" t="s">
        <v>14</v>
      </c>
      <c r="O1386" s="48" t="s">
        <v>620</v>
      </c>
      <c r="P1386" s="45" t="s">
        <v>453</v>
      </c>
      <c r="Q1386" s="35" t="str">
        <f>MID(Tabla1[[#This Row],[Aplicación]],14,1)</f>
        <v>6</v>
      </c>
      <c r="R1386" s="35" t="s">
        <v>442</v>
      </c>
      <c r="S1386" s="35" t="str">
        <f>MID(Tabla1[[#This Row],[Aplicación]],6,2)</f>
        <v>08</v>
      </c>
      <c r="T1386" s="35" t="str">
        <f>VLOOKUP(Tabla1[[#This Row],[AREA]],Hoja1!A:B,2,FALSE)</f>
        <v>08. Movilidad y espacio urbano</v>
      </c>
      <c r="U1386" s="35" t="str">
        <f>MID(Tabla1[[#This Row],[Aplicación]],9,4)</f>
        <v>1651</v>
      </c>
      <c r="V1386" s="35" t="str">
        <f>VLOOKUP(Tabla1[[#This Row],[PROGRAMA]],Hoja1!A:B,2,FALSE)</f>
        <v>1651. Alumbrado público</v>
      </c>
      <c r="W1386" s="35" t="str">
        <f>MID(Tabla1[[#This Row],[Aplicación]],14,2)</f>
        <v>61</v>
      </c>
      <c r="X1386" s="35" t="str">
        <f>MID(Tabla1[[#This Row],[Aplicación]],14,6)</f>
        <v>619</v>
      </c>
    </row>
    <row r="1387" spans="1:24" x14ac:dyDescent="0.25">
      <c r="A1387" s="49">
        <v>220220008468</v>
      </c>
      <c r="B1387" s="50" t="s">
        <v>916</v>
      </c>
      <c r="C1387" s="57">
        <v>44631</v>
      </c>
      <c r="D1387" s="49">
        <v>22021003437</v>
      </c>
      <c r="E1387" s="50" t="s">
        <v>1374</v>
      </c>
      <c r="F1387" s="58">
        <v>-62.8</v>
      </c>
      <c r="G1387" s="50" t="s">
        <v>807</v>
      </c>
      <c r="H1387" s="50" t="s">
        <v>2780</v>
      </c>
      <c r="I1387" s="49" t="s">
        <v>173</v>
      </c>
      <c r="J1387" s="50" t="s">
        <v>109</v>
      </c>
      <c r="K1387" s="50" t="s">
        <v>109</v>
      </c>
      <c r="L1387" s="50" t="s">
        <v>12</v>
      </c>
      <c r="M1387" s="50" t="s">
        <v>13</v>
      </c>
      <c r="N1387" s="50" t="s">
        <v>14</v>
      </c>
      <c r="O1387" s="48" t="s">
        <v>620</v>
      </c>
      <c r="P1387" s="45" t="s">
        <v>453</v>
      </c>
      <c r="Q1387" s="35" t="str">
        <f>MID(Tabla1[[#This Row],[Aplicación]],14,1)</f>
        <v>6</v>
      </c>
      <c r="R1387" s="35" t="s">
        <v>442</v>
      </c>
      <c r="S1387" s="35" t="str">
        <f>MID(Tabla1[[#This Row],[Aplicación]],6,2)</f>
        <v>08</v>
      </c>
      <c r="T1387" s="35" t="str">
        <f>VLOOKUP(Tabla1[[#This Row],[AREA]],Hoja1!A:B,2,FALSE)</f>
        <v>08. Movilidad y espacio urbano</v>
      </c>
      <c r="U1387" s="35" t="str">
        <f>MID(Tabla1[[#This Row],[Aplicación]],9,4)</f>
        <v>1651</v>
      </c>
      <c r="V1387" s="35" t="str">
        <f>VLOOKUP(Tabla1[[#This Row],[PROGRAMA]],Hoja1!A:B,2,FALSE)</f>
        <v>1651. Alumbrado público</v>
      </c>
      <c r="W1387" s="35" t="str">
        <f>MID(Tabla1[[#This Row],[Aplicación]],14,2)</f>
        <v>61</v>
      </c>
      <c r="X1387" s="35" t="str">
        <f>MID(Tabla1[[#This Row],[Aplicación]],14,6)</f>
        <v>619</v>
      </c>
    </row>
    <row r="1388" spans="1:24" x14ac:dyDescent="0.25">
      <c r="A1388" s="49">
        <v>220220008891</v>
      </c>
      <c r="B1388" s="50" t="s">
        <v>9</v>
      </c>
      <c r="C1388" s="57">
        <v>44635</v>
      </c>
      <c r="D1388" s="49">
        <v>22022002491</v>
      </c>
      <c r="E1388" s="50" t="s">
        <v>1399</v>
      </c>
      <c r="F1388" s="58">
        <v>17175.88</v>
      </c>
      <c r="G1388" s="50" t="s">
        <v>807</v>
      </c>
      <c r="H1388" s="50" t="s">
        <v>2781</v>
      </c>
      <c r="I1388" s="49" t="s">
        <v>107</v>
      </c>
      <c r="J1388" s="50" t="s">
        <v>109</v>
      </c>
      <c r="K1388" s="50" t="s">
        <v>109</v>
      </c>
      <c r="L1388" s="50" t="s">
        <v>12</v>
      </c>
      <c r="M1388" s="50" t="s">
        <v>13</v>
      </c>
      <c r="N1388" s="50" t="s">
        <v>14</v>
      </c>
      <c r="O1388" s="48" t="s">
        <v>620</v>
      </c>
      <c r="P1388" s="45" t="s">
        <v>453</v>
      </c>
      <c r="Q1388" s="35" t="str">
        <f>MID(Tabla1[[#This Row],[Aplicación]],14,1)</f>
        <v>6</v>
      </c>
      <c r="R1388" s="35" t="s">
        <v>442</v>
      </c>
      <c r="S1388" s="35" t="str">
        <f>MID(Tabla1[[#This Row],[Aplicación]],6,2)</f>
        <v>02</v>
      </c>
      <c r="T1388" s="35" t="str">
        <f>VLOOKUP(Tabla1[[#This Row],[AREA]],Hoja1!A:B,2,FALSE)</f>
        <v>02. Planeamiento urbanístico y vivienda</v>
      </c>
      <c r="U1388" s="35" t="str">
        <f>MID(Tabla1[[#This Row],[Aplicación]],9,4)</f>
        <v>1511</v>
      </c>
      <c r="V1388" s="35" t="str">
        <f>VLOOKUP(Tabla1[[#This Row],[PROGRAMA]],Hoja1!A:B,2,FALSE)</f>
        <v>1511. Planficación y gestión del urbanismo</v>
      </c>
      <c r="W1388" s="35" t="str">
        <f>MID(Tabla1[[#This Row],[Aplicación]],14,2)</f>
        <v>60</v>
      </c>
      <c r="X1388" s="35" t="str">
        <f>MID(Tabla1[[#This Row],[Aplicación]],14,6)</f>
        <v>609</v>
      </c>
    </row>
    <row r="1389" spans="1:24" x14ac:dyDescent="0.25">
      <c r="A1389" s="49">
        <v>220220009850</v>
      </c>
      <c r="B1389" s="50" t="s">
        <v>172</v>
      </c>
      <c r="C1389" s="57">
        <v>44637</v>
      </c>
      <c r="D1389" s="49">
        <v>22022002562</v>
      </c>
      <c r="E1389" s="50" t="s">
        <v>1368</v>
      </c>
      <c r="F1389" s="58">
        <v>370.41</v>
      </c>
      <c r="G1389" s="50" t="s">
        <v>807</v>
      </c>
      <c r="H1389" s="50" t="s">
        <v>2782</v>
      </c>
      <c r="I1389" s="49" t="s">
        <v>173</v>
      </c>
      <c r="J1389" s="50" t="s">
        <v>109</v>
      </c>
      <c r="K1389" s="50" t="s">
        <v>109</v>
      </c>
      <c r="L1389" s="50" t="s">
        <v>12</v>
      </c>
      <c r="M1389" s="50" t="s">
        <v>13</v>
      </c>
      <c r="N1389" s="50" t="s">
        <v>14</v>
      </c>
      <c r="O1389" s="48" t="s">
        <v>620</v>
      </c>
      <c r="P1389" s="45" t="s">
        <v>453</v>
      </c>
      <c r="Q1389" s="35" t="str">
        <f>MID(Tabla1[[#This Row],[Aplicación]],14,1)</f>
        <v>6</v>
      </c>
      <c r="R1389" s="35" t="s">
        <v>442</v>
      </c>
      <c r="S1389" s="35" t="str">
        <f>MID(Tabla1[[#This Row],[Aplicación]],6,2)</f>
        <v>08</v>
      </c>
      <c r="T1389" s="35" t="str">
        <f>VLOOKUP(Tabla1[[#This Row],[AREA]],Hoja1!A:B,2,FALSE)</f>
        <v>08. Movilidad y espacio urbano</v>
      </c>
      <c r="U1389" s="35" t="str">
        <f>MID(Tabla1[[#This Row],[Aplicación]],9,4)</f>
        <v>1532</v>
      </c>
      <c r="V1389" s="35" t="str">
        <f>VLOOKUP(Tabla1[[#This Row],[PROGRAMA]],Hoja1!A:B,2,FALSE)</f>
        <v>1532. Pavimentación vias públicas y otros servicios urbanísticos</v>
      </c>
      <c r="W1389" s="35" t="str">
        <f>MID(Tabla1[[#This Row],[Aplicación]],14,2)</f>
        <v>61</v>
      </c>
      <c r="X1389" s="35" t="str">
        <f>MID(Tabla1[[#This Row],[Aplicación]],14,6)</f>
        <v>619</v>
      </c>
    </row>
    <row r="1390" spans="1:24" x14ac:dyDescent="0.25">
      <c r="A1390" s="49">
        <v>220220010683</v>
      </c>
      <c r="B1390" s="50" t="s">
        <v>172</v>
      </c>
      <c r="C1390" s="57">
        <v>44642</v>
      </c>
      <c r="D1390" s="49">
        <v>22021003437</v>
      </c>
      <c r="E1390" s="50" t="s">
        <v>1374</v>
      </c>
      <c r="F1390" s="58">
        <v>301.95</v>
      </c>
      <c r="G1390" s="50" t="s">
        <v>807</v>
      </c>
      <c r="H1390" s="50" t="s">
        <v>2783</v>
      </c>
      <c r="I1390" s="49" t="s">
        <v>173</v>
      </c>
      <c r="J1390" s="50" t="s">
        <v>109</v>
      </c>
      <c r="K1390" s="50" t="s">
        <v>109</v>
      </c>
      <c r="L1390" s="50" t="s">
        <v>12</v>
      </c>
      <c r="M1390" s="50" t="s">
        <v>13</v>
      </c>
      <c r="N1390" s="50" t="s">
        <v>14</v>
      </c>
      <c r="O1390" s="48" t="s">
        <v>620</v>
      </c>
      <c r="P1390" s="45" t="s">
        <v>453</v>
      </c>
      <c r="Q1390" s="35" t="str">
        <f>MID(Tabla1[[#This Row],[Aplicación]],14,1)</f>
        <v>6</v>
      </c>
      <c r="R1390" s="35" t="s">
        <v>442</v>
      </c>
      <c r="S1390" s="35" t="str">
        <f>MID(Tabla1[[#This Row],[Aplicación]],6,2)</f>
        <v>08</v>
      </c>
      <c r="T1390" s="35" t="str">
        <f>VLOOKUP(Tabla1[[#This Row],[AREA]],Hoja1!A:B,2,FALSE)</f>
        <v>08. Movilidad y espacio urbano</v>
      </c>
      <c r="U1390" s="35" t="str">
        <f>MID(Tabla1[[#This Row],[Aplicación]],9,4)</f>
        <v>1651</v>
      </c>
      <c r="V1390" s="35" t="str">
        <f>VLOOKUP(Tabla1[[#This Row],[PROGRAMA]],Hoja1!A:B,2,FALSE)</f>
        <v>1651. Alumbrado público</v>
      </c>
      <c r="W1390" s="35" t="str">
        <f>MID(Tabla1[[#This Row],[Aplicación]],14,2)</f>
        <v>61</v>
      </c>
      <c r="X1390" s="35" t="str">
        <f>MID(Tabla1[[#This Row],[Aplicación]],14,6)</f>
        <v>619</v>
      </c>
    </row>
    <row r="1391" spans="1:24" x14ac:dyDescent="0.25">
      <c r="A1391" s="49">
        <v>220220013164</v>
      </c>
      <c r="B1391" s="50" t="s">
        <v>9</v>
      </c>
      <c r="C1391" s="57">
        <v>44649</v>
      </c>
      <c r="D1391" s="49">
        <v>22022003052</v>
      </c>
      <c r="E1391" s="50" t="s">
        <v>1399</v>
      </c>
      <c r="F1391" s="58">
        <v>132.74</v>
      </c>
      <c r="G1391" s="50" t="s">
        <v>807</v>
      </c>
      <c r="H1391" s="50" t="s">
        <v>2784</v>
      </c>
      <c r="I1391" s="49" t="s">
        <v>107</v>
      </c>
      <c r="J1391" s="50" t="s">
        <v>109</v>
      </c>
      <c r="K1391" s="50" t="s">
        <v>109</v>
      </c>
      <c r="L1391" s="50" t="s">
        <v>12</v>
      </c>
      <c r="M1391" s="50" t="s">
        <v>13</v>
      </c>
      <c r="N1391" s="50" t="s">
        <v>14</v>
      </c>
      <c r="O1391" s="48" t="s">
        <v>620</v>
      </c>
      <c r="P1391" s="45" t="s">
        <v>453</v>
      </c>
      <c r="Q1391" s="35" t="str">
        <f>MID(Tabla1[[#This Row],[Aplicación]],14,1)</f>
        <v>6</v>
      </c>
      <c r="R1391" s="35" t="s">
        <v>442</v>
      </c>
      <c r="S1391" s="35" t="str">
        <f>MID(Tabla1[[#This Row],[Aplicación]],6,2)</f>
        <v>02</v>
      </c>
      <c r="T1391" s="35" t="str">
        <f>VLOOKUP(Tabla1[[#This Row],[AREA]],Hoja1!A:B,2,FALSE)</f>
        <v>02. Planeamiento urbanístico y vivienda</v>
      </c>
      <c r="U1391" s="35" t="str">
        <f>MID(Tabla1[[#This Row],[Aplicación]],9,4)</f>
        <v>1511</v>
      </c>
      <c r="V1391" s="35" t="str">
        <f>VLOOKUP(Tabla1[[#This Row],[PROGRAMA]],Hoja1!A:B,2,FALSE)</f>
        <v>1511. Planficación y gestión del urbanismo</v>
      </c>
      <c r="W1391" s="35" t="str">
        <f>MID(Tabla1[[#This Row],[Aplicación]],14,2)</f>
        <v>60</v>
      </c>
      <c r="X1391" s="35" t="str">
        <f>MID(Tabla1[[#This Row],[Aplicación]],14,6)</f>
        <v>609</v>
      </c>
    </row>
    <row r="1392" spans="1:24" x14ac:dyDescent="0.25">
      <c r="A1392" s="49">
        <v>220220013433</v>
      </c>
      <c r="B1392" s="50" t="s">
        <v>9</v>
      </c>
      <c r="C1392" s="57">
        <v>44651</v>
      </c>
      <c r="D1392" s="49">
        <v>22022003114</v>
      </c>
      <c r="E1392" s="50" t="s">
        <v>1368</v>
      </c>
      <c r="F1392" s="58">
        <v>185.26</v>
      </c>
      <c r="G1392" s="50" t="s">
        <v>807</v>
      </c>
      <c r="H1392" s="50" t="s">
        <v>2785</v>
      </c>
      <c r="I1392" s="49" t="s">
        <v>107</v>
      </c>
      <c r="J1392" s="50" t="s">
        <v>109</v>
      </c>
      <c r="K1392" s="50" t="s">
        <v>109</v>
      </c>
      <c r="L1392" s="50" t="s">
        <v>12</v>
      </c>
      <c r="M1392" s="50" t="s">
        <v>13</v>
      </c>
      <c r="N1392" s="50" t="s">
        <v>14</v>
      </c>
      <c r="O1392" s="48" t="s">
        <v>620</v>
      </c>
      <c r="P1392" s="45" t="s">
        <v>453</v>
      </c>
      <c r="Q1392" s="35" t="str">
        <f>MID(Tabla1[[#This Row],[Aplicación]],14,1)</f>
        <v>6</v>
      </c>
      <c r="R1392" s="35" t="s">
        <v>442</v>
      </c>
      <c r="S1392" s="35" t="str">
        <f>MID(Tabla1[[#This Row],[Aplicación]],6,2)</f>
        <v>08</v>
      </c>
      <c r="T1392" s="35" t="str">
        <f>VLOOKUP(Tabla1[[#This Row],[AREA]],Hoja1!A:B,2,FALSE)</f>
        <v>08. Movilidad y espacio urbano</v>
      </c>
      <c r="U1392" s="35" t="str">
        <f>MID(Tabla1[[#This Row],[Aplicación]],9,4)</f>
        <v>1532</v>
      </c>
      <c r="V1392" s="35" t="str">
        <f>VLOOKUP(Tabla1[[#This Row],[PROGRAMA]],Hoja1!A:B,2,FALSE)</f>
        <v>1532. Pavimentación vias públicas y otros servicios urbanísticos</v>
      </c>
      <c r="W1392" s="35" t="str">
        <f>MID(Tabla1[[#This Row],[Aplicación]],14,2)</f>
        <v>61</v>
      </c>
      <c r="X1392" s="35" t="str">
        <f>MID(Tabla1[[#This Row],[Aplicación]],14,6)</f>
        <v>619</v>
      </c>
    </row>
    <row r="1393" spans="1:24" x14ac:dyDescent="0.25">
      <c r="A1393" s="49">
        <v>220220013434</v>
      </c>
      <c r="B1393" s="50" t="s">
        <v>9</v>
      </c>
      <c r="C1393" s="57">
        <v>44651</v>
      </c>
      <c r="D1393" s="49">
        <v>22022003115</v>
      </c>
      <c r="E1393" s="50" t="s">
        <v>1368</v>
      </c>
      <c r="F1393" s="58">
        <v>19.14</v>
      </c>
      <c r="G1393" s="50" t="s">
        <v>807</v>
      </c>
      <c r="H1393" s="50" t="s">
        <v>2786</v>
      </c>
      <c r="I1393" s="49" t="s">
        <v>107</v>
      </c>
      <c r="J1393" s="50" t="s">
        <v>109</v>
      </c>
      <c r="K1393" s="50" t="s">
        <v>109</v>
      </c>
      <c r="L1393" s="50" t="s">
        <v>12</v>
      </c>
      <c r="M1393" s="50" t="s">
        <v>13</v>
      </c>
      <c r="N1393" s="50" t="s">
        <v>14</v>
      </c>
      <c r="O1393" s="48" t="s">
        <v>620</v>
      </c>
      <c r="P1393" s="45" t="s">
        <v>453</v>
      </c>
      <c r="Q1393" s="35" t="str">
        <f>MID(Tabla1[[#This Row],[Aplicación]],14,1)</f>
        <v>6</v>
      </c>
      <c r="R1393" s="35" t="s">
        <v>442</v>
      </c>
      <c r="S1393" s="35" t="str">
        <f>MID(Tabla1[[#This Row],[Aplicación]],6,2)</f>
        <v>08</v>
      </c>
      <c r="T1393" s="35" t="str">
        <f>VLOOKUP(Tabla1[[#This Row],[AREA]],Hoja1!A:B,2,FALSE)</f>
        <v>08. Movilidad y espacio urbano</v>
      </c>
      <c r="U1393" s="35" t="str">
        <f>MID(Tabla1[[#This Row],[Aplicación]],9,4)</f>
        <v>1532</v>
      </c>
      <c r="V1393" s="35" t="str">
        <f>VLOOKUP(Tabla1[[#This Row],[PROGRAMA]],Hoja1!A:B,2,FALSE)</f>
        <v>1532. Pavimentación vias públicas y otros servicios urbanísticos</v>
      </c>
      <c r="W1393" s="35" t="str">
        <f>MID(Tabla1[[#This Row],[Aplicación]],14,2)</f>
        <v>61</v>
      </c>
      <c r="X1393" s="35" t="str">
        <f>MID(Tabla1[[#This Row],[Aplicación]],14,6)</f>
        <v>619</v>
      </c>
    </row>
    <row r="1394" spans="1:24" x14ac:dyDescent="0.25">
      <c r="A1394" s="49">
        <v>220220007947</v>
      </c>
      <c r="B1394" s="50" t="s">
        <v>9</v>
      </c>
      <c r="C1394" s="57">
        <v>44628</v>
      </c>
      <c r="D1394" s="49">
        <v>22022002556</v>
      </c>
      <c r="E1394" s="50" t="s">
        <v>1361</v>
      </c>
      <c r="F1394" s="58">
        <v>1210</v>
      </c>
      <c r="G1394" s="50" t="s">
        <v>807</v>
      </c>
      <c r="H1394" s="50" t="s">
        <v>2787</v>
      </c>
      <c r="I1394" s="49" t="s">
        <v>107</v>
      </c>
      <c r="J1394" s="50" t="s">
        <v>109</v>
      </c>
      <c r="K1394" s="50" t="s">
        <v>109</v>
      </c>
      <c r="L1394" s="50" t="s">
        <v>12</v>
      </c>
      <c r="M1394" s="50" t="s">
        <v>10</v>
      </c>
      <c r="N1394" s="50" t="s">
        <v>11</v>
      </c>
      <c r="O1394" s="48" t="s">
        <v>632</v>
      </c>
      <c r="P1394" s="45" t="s">
        <v>453</v>
      </c>
      <c r="Q1394" s="35" t="str">
        <f>MID(Tabla1[[#This Row],[Aplicación]],14,1)</f>
        <v>2</v>
      </c>
      <c r="R1394" s="35" t="s">
        <v>441</v>
      </c>
      <c r="S1394" s="35" t="str">
        <f>MID(Tabla1[[#This Row],[Aplicación]],6,2)</f>
        <v>10</v>
      </c>
      <c r="T1394" s="35" t="str">
        <f>VLOOKUP(Tabla1[[#This Row],[AREA]],Hoja1!A:B,2,FALSE)</f>
        <v>10. Servicios sociales y mediación comunitaria</v>
      </c>
      <c r="U1394" s="35" t="str">
        <f>MID(Tabla1[[#This Row],[Aplicación]],9,4)</f>
        <v>2311</v>
      </c>
      <c r="V1394" s="35" t="str">
        <f>VLOOKUP(Tabla1[[#This Row],[PROGRAMA]],Hoja1!A:B,2,FALSE)</f>
        <v>2311. Intervención social</v>
      </c>
      <c r="W1394" s="35" t="str">
        <f>MID(Tabla1[[#This Row],[Aplicación]],14,2)</f>
        <v>22</v>
      </c>
      <c r="X1394" s="35" t="str">
        <f>MID(Tabla1[[#This Row],[Aplicación]],14,6)</f>
        <v>22799</v>
      </c>
    </row>
    <row r="1395" spans="1:24" x14ac:dyDescent="0.25">
      <c r="A1395" s="49">
        <v>220220008638</v>
      </c>
      <c r="B1395" s="50" t="s">
        <v>9</v>
      </c>
      <c r="C1395" s="57">
        <v>44631</v>
      </c>
      <c r="D1395" s="49">
        <v>22022002765</v>
      </c>
      <c r="E1395" s="50" t="s">
        <v>1381</v>
      </c>
      <c r="F1395" s="58">
        <v>5.05</v>
      </c>
      <c r="G1395" s="50" t="s">
        <v>807</v>
      </c>
      <c r="H1395" s="50" t="s">
        <v>2788</v>
      </c>
      <c r="I1395" s="49" t="s">
        <v>107</v>
      </c>
      <c r="J1395" s="50" t="s">
        <v>109</v>
      </c>
      <c r="K1395" s="50" t="s">
        <v>109</v>
      </c>
      <c r="L1395" s="50" t="s">
        <v>12</v>
      </c>
      <c r="M1395" s="50" t="s">
        <v>13</v>
      </c>
      <c r="N1395" s="50" t="s">
        <v>14</v>
      </c>
      <c r="O1395" s="48" t="s">
        <v>620</v>
      </c>
      <c r="P1395" s="45" t="s">
        <v>453</v>
      </c>
      <c r="Q1395" s="35" t="str">
        <f>MID(Tabla1[[#This Row],[Aplicación]],14,1)</f>
        <v>6</v>
      </c>
      <c r="R1395" s="35" t="s">
        <v>442</v>
      </c>
      <c r="S1395" s="35" t="str">
        <f>MID(Tabla1[[#This Row],[Aplicación]],6,2)</f>
        <v>08</v>
      </c>
      <c r="T1395" s="35" t="str">
        <f>VLOOKUP(Tabla1[[#This Row],[AREA]],Hoja1!A:B,2,FALSE)</f>
        <v>08. Movilidad y espacio urbano</v>
      </c>
      <c r="U1395" s="35" t="str">
        <f>MID(Tabla1[[#This Row],[Aplicación]],9,4)</f>
        <v>1532</v>
      </c>
      <c r="V1395" s="35" t="str">
        <f>VLOOKUP(Tabla1[[#This Row],[PROGRAMA]],Hoja1!A:B,2,FALSE)</f>
        <v>1532. Pavimentación vias públicas y otros servicios urbanísticos</v>
      </c>
      <c r="W1395" s="35" t="str">
        <f>MID(Tabla1[[#This Row],[Aplicación]],14,2)</f>
        <v>62</v>
      </c>
      <c r="X1395" s="35" t="str">
        <f>MID(Tabla1[[#This Row],[Aplicación]],14,6)</f>
        <v>622</v>
      </c>
    </row>
    <row r="1396" spans="1:24" x14ac:dyDescent="0.25">
      <c r="A1396" s="49">
        <v>220220010186</v>
      </c>
      <c r="B1396" s="50" t="s">
        <v>9</v>
      </c>
      <c r="C1396" s="57">
        <v>44638</v>
      </c>
      <c r="D1396" s="49">
        <v>22022002880</v>
      </c>
      <c r="E1396" s="50" t="s">
        <v>2789</v>
      </c>
      <c r="F1396" s="58">
        <v>605</v>
      </c>
      <c r="G1396" s="50" t="s">
        <v>807</v>
      </c>
      <c r="H1396" s="50" t="s">
        <v>2790</v>
      </c>
      <c r="I1396" s="49" t="s">
        <v>107</v>
      </c>
      <c r="J1396" s="50" t="s">
        <v>109</v>
      </c>
      <c r="K1396" s="50" t="s">
        <v>109</v>
      </c>
      <c r="L1396" s="50" t="s">
        <v>15</v>
      </c>
      <c r="M1396" s="50" t="s">
        <v>10</v>
      </c>
      <c r="N1396" s="50" t="s">
        <v>11</v>
      </c>
      <c r="O1396" s="48" t="s">
        <v>632</v>
      </c>
      <c r="P1396" s="45" t="s">
        <v>453</v>
      </c>
      <c r="Q1396" s="35" t="str">
        <f>MID(Tabla1[[#This Row],[Aplicación]],14,1)</f>
        <v>2</v>
      </c>
      <c r="R1396" s="35" t="s">
        <v>441</v>
      </c>
      <c r="S1396" s="35" t="str">
        <f>MID(Tabla1[[#This Row],[Aplicación]],6,2)</f>
        <v>11</v>
      </c>
      <c r="T1396" s="35" t="str">
        <f>VLOOKUP(Tabla1[[#This Row],[AREA]],Hoja1!A:B,2,FALSE)</f>
        <v>11. Salud pública y seguridad ciudadana</v>
      </c>
      <c r="U1396" s="35" t="str">
        <f>MID(Tabla1[[#This Row],[Aplicación]],9,4)</f>
        <v>1621</v>
      </c>
      <c r="V1396" s="35" t="str">
        <f>VLOOKUP(Tabla1[[#This Row],[PROGRAMA]],Hoja1!A:B,2,FALSE)</f>
        <v>1621. Servicio de limpieza</v>
      </c>
      <c r="W1396" s="35" t="str">
        <f>MID(Tabla1[[#This Row],[Aplicación]],14,2)</f>
        <v>22</v>
      </c>
      <c r="X1396" s="35" t="str">
        <f>MID(Tabla1[[#This Row],[Aplicación]],14,6)</f>
        <v>22706</v>
      </c>
    </row>
    <row r="1397" spans="1:24" x14ac:dyDescent="0.25">
      <c r="A1397" s="49">
        <v>220220012768</v>
      </c>
      <c r="B1397" s="50" t="s">
        <v>9</v>
      </c>
      <c r="C1397" s="57">
        <v>44644</v>
      </c>
      <c r="D1397" s="49">
        <v>22022002858</v>
      </c>
      <c r="E1397" s="50" t="s">
        <v>1376</v>
      </c>
      <c r="F1397" s="58">
        <v>28746.59</v>
      </c>
      <c r="G1397" s="50" t="s">
        <v>2791</v>
      </c>
      <c r="H1397" s="50" t="s">
        <v>2792</v>
      </c>
      <c r="I1397" s="49" t="s">
        <v>107</v>
      </c>
      <c r="J1397" s="50" t="s">
        <v>109</v>
      </c>
      <c r="K1397" s="50" t="s">
        <v>109</v>
      </c>
      <c r="L1397" s="50" t="s">
        <v>25</v>
      </c>
      <c r="M1397" s="50" t="s">
        <v>10</v>
      </c>
      <c r="N1397" s="50" t="s">
        <v>11</v>
      </c>
      <c r="O1397" s="48" t="s">
        <v>632</v>
      </c>
      <c r="P1397" s="45" t="s">
        <v>453</v>
      </c>
      <c r="Q1397" s="35" t="str">
        <f>MID(Tabla1[[#This Row],[Aplicación]],14,1)</f>
        <v>2</v>
      </c>
      <c r="R1397" s="35" t="s">
        <v>441</v>
      </c>
      <c r="S1397" s="35" t="str">
        <f>MID(Tabla1[[#This Row],[Aplicación]],6,2)</f>
        <v>05</v>
      </c>
      <c r="T1397" s="35" t="str">
        <f>VLOOKUP(Tabla1[[#This Row],[AREA]],Hoja1!A:B,2,FALSE)</f>
        <v>05. Innovación, desarrollo económico, empleo y comercio</v>
      </c>
      <c r="U1397" s="35" t="str">
        <f>MID(Tabla1[[#This Row],[Aplicación]],9,4)</f>
        <v>0 43</v>
      </c>
      <c r="V1397" s="35" t="e">
        <f>VLOOKUP(Tabla1[[#This Row],[PROGRAMA]],Hoja1!A:B,2,FALSE)</f>
        <v>#N/A</v>
      </c>
      <c r="W1397" s="35" t="str">
        <f>MID(Tabla1[[#This Row],[Aplicación]],14,2)</f>
        <v xml:space="preserve">2 </v>
      </c>
      <c r="X1397" s="35" t="str">
        <f>MID(Tabla1[[#This Row],[Aplicación]],14,6)</f>
        <v>2 632</v>
      </c>
    </row>
    <row r="1398" spans="1:24" x14ac:dyDescent="0.25">
      <c r="A1398" s="49">
        <v>220219001196</v>
      </c>
      <c r="B1398" s="50" t="s">
        <v>9</v>
      </c>
      <c r="C1398" s="57">
        <v>44562</v>
      </c>
      <c r="D1398" s="49">
        <v>22022000306</v>
      </c>
      <c r="E1398" s="50" t="s">
        <v>2793</v>
      </c>
      <c r="F1398" s="58">
        <v>28050</v>
      </c>
      <c r="G1398" s="50" t="s">
        <v>1181</v>
      </c>
      <c r="H1398" s="50" t="s">
        <v>2794</v>
      </c>
      <c r="I1398" s="49" t="s">
        <v>107</v>
      </c>
      <c r="J1398" s="50" t="s">
        <v>109</v>
      </c>
      <c r="K1398" s="50" t="s">
        <v>109</v>
      </c>
      <c r="L1398" s="50" t="s">
        <v>12</v>
      </c>
      <c r="M1398" s="50" t="s">
        <v>13</v>
      </c>
      <c r="N1398" s="50" t="s">
        <v>14</v>
      </c>
      <c r="O1398" s="48" t="s">
        <v>620</v>
      </c>
      <c r="P1398" s="45" t="s">
        <v>453</v>
      </c>
      <c r="Q1398" s="35" t="str">
        <f>MID(Tabla1[[#This Row],[Aplicación]],14,1)</f>
        <v>2</v>
      </c>
      <c r="R1398" s="35" t="s">
        <v>441</v>
      </c>
      <c r="S1398" s="35" t="str">
        <f>MID(Tabla1[[#This Row],[Aplicación]],6,2)</f>
        <v>10</v>
      </c>
      <c r="T1398" s="35" t="str">
        <f>VLOOKUP(Tabla1[[#This Row],[AREA]],Hoja1!A:B,2,FALSE)</f>
        <v>10. Servicios sociales y mediación comunitaria</v>
      </c>
      <c r="U1398" s="35" t="str">
        <f>MID(Tabla1[[#This Row],[Aplicación]],9,4)</f>
        <v>2312</v>
      </c>
      <c r="V1398" s="35" t="str">
        <f>VLOOKUP(Tabla1[[#This Row],[PROGRAMA]],Hoja1!A:B,2,FALSE)</f>
        <v>2312. Iniciativas sociales</v>
      </c>
      <c r="W1398" s="35" t="str">
        <f>MID(Tabla1[[#This Row],[Aplicación]],14,2)</f>
        <v>22</v>
      </c>
      <c r="X1398" s="35" t="str">
        <f>MID(Tabla1[[#This Row],[Aplicación]],14,6)</f>
        <v>22606</v>
      </c>
    </row>
    <row r="1399" spans="1:24" x14ac:dyDescent="0.25">
      <c r="A1399" s="49">
        <v>220220003098</v>
      </c>
      <c r="B1399" s="50" t="s">
        <v>9</v>
      </c>
      <c r="C1399" s="57">
        <v>44601</v>
      </c>
      <c r="D1399" s="49">
        <v>22022001475</v>
      </c>
      <c r="E1399" s="50" t="s">
        <v>1981</v>
      </c>
      <c r="F1399" s="58">
        <v>26194.080000000002</v>
      </c>
      <c r="G1399" s="50" t="s">
        <v>479</v>
      </c>
      <c r="H1399" s="50" t="s">
        <v>2795</v>
      </c>
      <c r="I1399" s="49" t="s">
        <v>107</v>
      </c>
      <c r="J1399" s="50" t="s">
        <v>171</v>
      </c>
      <c r="K1399" s="50" t="s">
        <v>171</v>
      </c>
      <c r="L1399" s="50" t="s">
        <v>12</v>
      </c>
      <c r="M1399" s="50" t="s">
        <v>13</v>
      </c>
      <c r="N1399" s="50" t="s">
        <v>14</v>
      </c>
      <c r="O1399" s="48" t="s">
        <v>620</v>
      </c>
      <c r="P1399" s="45" t="s">
        <v>453</v>
      </c>
      <c r="Q1399" s="35" t="str">
        <f>MID(Tabla1[[#This Row],[Aplicación]],14,1)</f>
        <v>2</v>
      </c>
      <c r="R1399" s="35" t="s">
        <v>441</v>
      </c>
      <c r="S1399" s="35" t="str">
        <f>MID(Tabla1[[#This Row],[Aplicación]],6,2)</f>
        <v>01</v>
      </c>
      <c r="T1399" s="35" t="str">
        <f>VLOOKUP(Tabla1[[#This Row],[AREA]],Hoja1!A:B,2,FALSE)</f>
        <v>01. Alcaldía</v>
      </c>
      <c r="U1399" s="35" t="str">
        <f>MID(Tabla1[[#This Row],[Aplicación]],9,4)</f>
        <v>9312</v>
      </c>
      <c r="V1399" s="35" t="str">
        <f>VLOOKUP(Tabla1[[#This Row],[PROGRAMA]],Hoja1!A:B,2,FALSE)</f>
        <v>9312. Intervención general</v>
      </c>
      <c r="W1399" s="35" t="str">
        <f>MID(Tabla1[[#This Row],[Aplicación]],14,2)</f>
        <v>22</v>
      </c>
      <c r="X1399" s="35" t="str">
        <f>MID(Tabla1[[#This Row],[Aplicación]],14,6)</f>
        <v>22706</v>
      </c>
    </row>
    <row r="1400" spans="1:24" x14ac:dyDescent="0.25">
      <c r="A1400" s="49">
        <v>220200016734</v>
      </c>
      <c r="B1400" s="50" t="s">
        <v>9</v>
      </c>
      <c r="C1400" s="57">
        <v>44620</v>
      </c>
      <c r="D1400" s="49">
        <v>22020002100</v>
      </c>
      <c r="E1400" s="50" t="s">
        <v>1399</v>
      </c>
      <c r="F1400" s="58">
        <v>928.84</v>
      </c>
      <c r="G1400" s="50" t="s">
        <v>102</v>
      </c>
      <c r="H1400" s="50" t="s">
        <v>858</v>
      </c>
      <c r="I1400" s="49" t="s">
        <v>107</v>
      </c>
      <c r="J1400" s="50" t="s">
        <v>108</v>
      </c>
      <c r="K1400" s="50" t="s">
        <v>108</v>
      </c>
      <c r="L1400" s="50" t="s">
        <v>12</v>
      </c>
      <c r="M1400" s="50" t="s">
        <v>13</v>
      </c>
      <c r="N1400" s="50" t="s">
        <v>14</v>
      </c>
      <c r="O1400" s="48" t="s">
        <v>620</v>
      </c>
      <c r="P1400" s="45" t="s">
        <v>453</v>
      </c>
      <c r="Q1400" s="35" t="str">
        <f>MID(Tabla1[[#This Row],[Aplicación]],14,1)</f>
        <v>6</v>
      </c>
      <c r="R1400" s="35" t="s">
        <v>442</v>
      </c>
      <c r="S1400" s="35" t="str">
        <f>MID(Tabla1[[#This Row],[Aplicación]],6,2)</f>
        <v>02</v>
      </c>
      <c r="T1400" s="35" t="str">
        <f>VLOOKUP(Tabla1[[#This Row],[AREA]],Hoja1!A:B,2,FALSE)</f>
        <v>02. Planeamiento urbanístico y vivienda</v>
      </c>
      <c r="U1400" s="35" t="str">
        <f>MID(Tabla1[[#This Row],[Aplicación]],9,4)</f>
        <v>1511</v>
      </c>
      <c r="V1400" s="35" t="str">
        <f>VLOOKUP(Tabla1[[#This Row],[PROGRAMA]],Hoja1!A:B,2,FALSE)</f>
        <v>1511. Planficación y gestión del urbanismo</v>
      </c>
      <c r="W1400" s="35" t="str">
        <f>MID(Tabla1[[#This Row],[Aplicación]],14,2)</f>
        <v>60</v>
      </c>
      <c r="X1400" s="35" t="str">
        <f>MID(Tabla1[[#This Row],[Aplicación]],14,6)</f>
        <v>609</v>
      </c>
    </row>
    <row r="1401" spans="1:24" x14ac:dyDescent="0.25">
      <c r="A1401" s="49">
        <v>220220013166</v>
      </c>
      <c r="B1401" s="50" t="s">
        <v>9</v>
      </c>
      <c r="C1401" s="57">
        <v>44649</v>
      </c>
      <c r="D1401" s="49">
        <v>22022002503</v>
      </c>
      <c r="E1401" s="50" t="s">
        <v>1381</v>
      </c>
      <c r="F1401" s="58">
        <v>25240.52</v>
      </c>
      <c r="G1401" s="50" t="s">
        <v>2796</v>
      </c>
      <c r="H1401" s="50" t="s">
        <v>2797</v>
      </c>
      <c r="I1401" s="49" t="s">
        <v>107</v>
      </c>
      <c r="J1401" s="50" t="s">
        <v>2798</v>
      </c>
      <c r="K1401" s="50" t="s">
        <v>109</v>
      </c>
      <c r="L1401" s="50" t="s">
        <v>25</v>
      </c>
      <c r="M1401" s="50" t="s">
        <v>10</v>
      </c>
      <c r="N1401" s="50" t="s">
        <v>11</v>
      </c>
      <c r="O1401" s="48" t="s">
        <v>632</v>
      </c>
      <c r="P1401" s="45" t="s">
        <v>453</v>
      </c>
      <c r="Q1401" s="35" t="str">
        <f>MID(Tabla1[[#This Row],[Aplicación]],14,1)</f>
        <v>6</v>
      </c>
      <c r="R1401" s="35" t="s">
        <v>442</v>
      </c>
      <c r="S1401" s="35" t="str">
        <f>MID(Tabla1[[#This Row],[Aplicación]],6,2)</f>
        <v>08</v>
      </c>
      <c r="T1401" s="35" t="str">
        <f>VLOOKUP(Tabla1[[#This Row],[AREA]],Hoja1!A:B,2,FALSE)</f>
        <v>08. Movilidad y espacio urbano</v>
      </c>
      <c r="U1401" s="35" t="str">
        <f>MID(Tabla1[[#This Row],[Aplicación]],9,4)</f>
        <v>1532</v>
      </c>
      <c r="V1401" s="35" t="str">
        <f>VLOOKUP(Tabla1[[#This Row],[PROGRAMA]],Hoja1!A:B,2,FALSE)</f>
        <v>1532. Pavimentación vias públicas y otros servicios urbanísticos</v>
      </c>
      <c r="W1401" s="35" t="str">
        <f>MID(Tabla1[[#This Row],[Aplicación]],14,2)</f>
        <v>62</v>
      </c>
      <c r="X1401" s="35" t="str">
        <f>MID(Tabla1[[#This Row],[Aplicación]],14,6)</f>
        <v>622</v>
      </c>
    </row>
    <row r="1402" spans="1:24" x14ac:dyDescent="0.25">
      <c r="A1402" s="49">
        <v>220220009852</v>
      </c>
      <c r="B1402" s="50" t="s">
        <v>172</v>
      </c>
      <c r="C1402" s="57">
        <v>44637</v>
      </c>
      <c r="D1402" s="49">
        <v>22021007414</v>
      </c>
      <c r="E1402" s="50" t="s">
        <v>1368</v>
      </c>
      <c r="F1402" s="58">
        <v>24805</v>
      </c>
      <c r="G1402" s="50" t="s">
        <v>512</v>
      </c>
      <c r="H1402" s="50" t="s">
        <v>2799</v>
      </c>
      <c r="I1402" s="49" t="s">
        <v>173</v>
      </c>
      <c r="J1402" s="50" t="s">
        <v>109</v>
      </c>
      <c r="K1402" s="50" t="s">
        <v>109</v>
      </c>
      <c r="L1402" s="50" t="s">
        <v>12</v>
      </c>
      <c r="M1402" s="50" t="s">
        <v>13</v>
      </c>
      <c r="N1402" s="50" t="s">
        <v>14</v>
      </c>
      <c r="O1402" s="48" t="s">
        <v>620</v>
      </c>
      <c r="P1402" s="45" t="s">
        <v>453</v>
      </c>
      <c r="Q1402" s="35" t="str">
        <f>MID(Tabla1[[#This Row],[Aplicación]],14,1)</f>
        <v>6</v>
      </c>
      <c r="R1402" s="35" t="s">
        <v>442</v>
      </c>
      <c r="S1402" s="35" t="str">
        <f>MID(Tabla1[[#This Row],[Aplicación]],6,2)</f>
        <v>08</v>
      </c>
      <c r="T1402" s="35" t="str">
        <f>VLOOKUP(Tabla1[[#This Row],[AREA]],Hoja1!A:B,2,FALSE)</f>
        <v>08. Movilidad y espacio urbano</v>
      </c>
      <c r="U1402" s="35" t="str">
        <f>MID(Tabla1[[#This Row],[Aplicación]],9,4)</f>
        <v>1532</v>
      </c>
      <c r="V1402" s="35" t="str">
        <f>VLOOKUP(Tabla1[[#This Row],[PROGRAMA]],Hoja1!A:B,2,FALSE)</f>
        <v>1532. Pavimentación vias públicas y otros servicios urbanísticos</v>
      </c>
      <c r="W1402" s="35" t="str">
        <f>MID(Tabla1[[#This Row],[Aplicación]],14,2)</f>
        <v>61</v>
      </c>
      <c r="X1402" s="35" t="str">
        <f>MID(Tabla1[[#This Row],[Aplicación]],14,6)</f>
        <v>619</v>
      </c>
    </row>
    <row r="1403" spans="1:24" x14ac:dyDescent="0.25">
      <c r="A1403" s="49">
        <v>220209000213</v>
      </c>
      <c r="B1403" s="50" t="s">
        <v>9</v>
      </c>
      <c r="C1403" s="57">
        <v>44562</v>
      </c>
      <c r="D1403" s="49">
        <v>22022002088</v>
      </c>
      <c r="E1403" s="50" t="s">
        <v>1676</v>
      </c>
      <c r="F1403" s="58">
        <v>24403.8</v>
      </c>
      <c r="G1403" s="50" t="s">
        <v>784</v>
      </c>
      <c r="H1403" s="50" t="s">
        <v>785</v>
      </c>
      <c r="I1403" s="49" t="s">
        <v>107</v>
      </c>
      <c r="J1403" s="50" t="s">
        <v>108</v>
      </c>
      <c r="K1403" s="50" t="s">
        <v>108</v>
      </c>
      <c r="L1403" s="50" t="s">
        <v>15</v>
      </c>
      <c r="M1403" s="50" t="s">
        <v>13</v>
      </c>
      <c r="N1403" s="50" t="s">
        <v>14</v>
      </c>
      <c r="O1403" s="48" t="s">
        <v>620</v>
      </c>
      <c r="P1403" s="45" t="s">
        <v>453</v>
      </c>
      <c r="Q1403" s="35" t="str">
        <f>MID(Tabla1[[#This Row],[Aplicación]],14,1)</f>
        <v>6</v>
      </c>
      <c r="R1403" s="35" t="s">
        <v>442</v>
      </c>
      <c r="S1403" s="35" t="str">
        <f>MID(Tabla1[[#This Row],[Aplicación]],6,2)</f>
        <v>04</v>
      </c>
      <c r="T1403" s="35" t="str">
        <f>VLOOKUP(Tabla1[[#This Row],[AREA]],Hoja1!A:B,2,FALSE)</f>
        <v>04. Planificación y recursos</v>
      </c>
      <c r="U1403" s="35" t="str">
        <f>MID(Tabla1[[#This Row],[Aplicación]],9,4)</f>
        <v>9204</v>
      </c>
      <c r="V1403" s="35" t="str">
        <f>VLOOKUP(Tabla1[[#This Row],[PROGRAMA]],Hoja1!A:B,2,FALSE)</f>
        <v>9204. Tecnologías de la información y comunicación</v>
      </c>
      <c r="W1403" s="35" t="str">
        <f>MID(Tabla1[[#This Row],[Aplicación]],14,2)</f>
        <v>64</v>
      </c>
      <c r="X1403" s="35" t="str">
        <f>MID(Tabla1[[#This Row],[Aplicación]],14,6)</f>
        <v>641</v>
      </c>
    </row>
    <row r="1404" spans="1:24" x14ac:dyDescent="0.25">
      <c r="A1404" s="49">
        <v>220210087903</v>
      </c>
      <c r="B1404" s="50" t="s">
        <v>9</v>
      </c>
      <c r="C1404" s="57">
        <v>44631</v>
      </c>
      <c r="D1404" s="49">
        <v>22021006485</v>
      </c>
      <c r="E1404" s="50" t="s">
        <v>1593</v>
      </c>
      <c r="F1404" s="58">
        <v>23518.51</v>
      </c>
      <c r="G1404" s="50" t="s">
        <v>93</v>
      </c>
      <c r="H1404" s="50" t="s">
        <v>1357</v>
      </c>
      <c r="I1404" s="49" t="s">
        <v>107</v>
      </c>
      <c r="J1404" s="50" t="s">
        <v>109</v>
      </c>
      <c r="K1404" s="50" t="s">
        <v>109</v>
      </c>
      <c r="L1404" s="50" t="s">
        <v>12</v>
      </c>
      <c r="M1404" s="50" t="s">
        <v>13</v>
      </c>
      <c r="N1404" s="50" t="s">
        <v>14</v>
      </c>
      <c r="O1404" s="48" t="s">
        <v>620</v>
      </c>
      <c r="P1404" s="45" t="s">
        <v>453</v>
      </c>
      <c r="Q1404" s="35" t="str">
        <f>MID(Tabla1[[#This Row],[Aplicación]],14,1)</f>
        <v>6</v>
      </c>
      <c r="R1404" s="35" t="s">
        <v>442</v>
      </c>
      <c r="S1404" s="35" t="str">
        <f>MID(Tabla1[[#This Row],[Aplicación]],6,2)</f>
        <v>07</v>
      </c>
      <c r="T1404" s="35" t="str">
        <f>VLOOKUP(Tabla1[[#This Row],[AREA]],Hoja1!A:B,2,FALSE)</f>
        <v>07. Medio ambiente y desarrollo sostenible</v>
      </c>
      <c r="U1404" s="35" t="str">
        <f>MID(Tabla1[[#This Row],[Aplicación]],9,4)</f>
        <v>1711</v>
      </c>
      <c r="V1404" s="35" t="str">
        <f>VLOOKUP(Tabla1[[#This Row],[PROGRAMA]],Hoja1!A:B,2,FALSE)</f>
        <v>1711. Parques y jardines</v>
      </c>
      <c r="W1404" s="35" t="str">
        <f>MID(Tabla1[[#This Row],[Aplicación]],14,2)</f>
        <v>61</v>
      </c>
      <c r="X1404" s="35" t="str">
        <f>MID(Tabla1[[#This Row],[Aplicación]],14,6)</f>
        <v>619</v>
      </c>
    </row>
    <row r="1405" spans="1:24" x14ac:dyDescent="0.25">
      <c r="A1405" s="49">
        <v>220220009353</v>
      </c>
      <c r="B1405" s="50" t="s">
        <v>9</v>
      </c>
      <c r="C1405" s="57">
        <v>44636</v>
      </c>
      <c r="D1405" s="49">
        <v>22022002748</v>
      </c>
      <c r="E1405" s="50" t="s">
        <v>1400</v>
      </c>
      <c r="F1405" s="58">
        <v>1500</v>
      </c>
      <c r="G1405" s="50" t="s">
        <v>35</v>
      </c>
      <c r="H1405" s="50" t="s">
        <v>2800</v>
      </c>
      <c r="I1405" s="49" t="s">
        <v>107</v>
      </c>
      <c r="J1405" s="50" t="s">
        <v>128</v>
      </c>
      <c r="K1405" s="50" t="s">
        <v>128</v>
      </c>
      <c r="L1405" s="50" t="s">
        <v>12</v>
      </c>
      <c r="M1405" s="50" t="s">
        <v>10</v>
      </c>
      <c r="N1405" s="50" t="s">
        <v>11</v>
      </c>
      <c r="O1405" s="48" t="s">
        <v>632</v>
      </c>
      <c r="P1405" s="45" t="s">
        <v>453</v>
      </c>
      <c r="Q1405" s="35" t="str">
        <f>MID(Tabla1[[#This Row],[Aplicación]],14,1)</f>
        <v>2</v>
      </c>
      <c r="R1405" s="35" t="s">
        <v>441</v>
      </c>
      <c r="S1405" s="35" t="str">
        <f>MID(Tabla1[[#This Row],[Aplicación]],6,2)</f>
        <v>06</v>
      </c>
      <c r="T1405" s="35" t="str">
        <f>VLOOKUP(Tabla1[[#This Row],[AREA]],Hoja1!A:B,2,FALSE)</f>
        <v>06. Educación, infancia, juventud e igualdad</v>
      </c>
      <c r="U1405" s="35" t="str">
        <f>MID(Tabla1[[#This Row],[Aplicación]],9,4)</f>
        <v>3232</v>
      </c>
      <c r="V1405" s="35" t="str">
        <f>VLOOKUP(Tabla1[[#This Row],[PROGRAMA]],Hoja1!A:B,2,FALSE)</f>
        <v>3232. Conservación y mantenimiento centros educación infantil y primaria</v>
      </c>
      <c r="W1405" s="35" t="str">
        <f>MID(Tabla1[[#This Row],[Aplicación]],14,2)</f>
        <v>22</v>
      </c>
      <c r="X1405" s="35" t="str">
        <f>MID(Tabla1[[#This Row],[Aplicación]],14,6)</f>
        <v>22102</v>
      </c>
    </row>
    <row r="1406" spans="1:24" x14ac:dyDescent="0.25">
      <c r="A1406" s="49">
        <v>220209000851</v>
      </c>
      <c r="B1406" s="50" t="s">
        <v>9</v>
      </c>
      <c r="C1406" s="57">
        <v>44562</v>
      </c>
      <c r="D1406" s="49">
        <v>22022000315</v>
      </c>
      <c r="E1406" s="50" t="s">
        <v>1397</v>
      </c>
      <c r="F1406" s="58">
        <v>22071.09</v>
      </c>
      <c r="G1406" s="50" t="s">
        <v>110</v>
      </c>
      <c r="H1406" s="50" t="s">
        <v>729</v>
      </c>
      <c r="I1406" s="49" t="s">
        <v>107</v>
      </c>
      <c r="J1406" s="50" t="s">
        <v>108</v>
      </c>
      <c r="K1406" s="50" t="s">
        <v>108</v>
      </c>
      <c r="L1406" s="50" t="s">
        <v>12</v>
      </c>
      <c r="M1406" s="50" t="s">
        <v>13</v>
      </c>
      <c r="N1406" s="50" t="s">
        <v>14</v>
      </c>
      <c r="O1406" s="48" t="s">
        <v>620</v>
      </c>
      <c r="P1406" s="45" t="s">
        <v>453</v>
      </c>
      <c r="Q1406" s="35" t="str">
        <f>MID(Tabla1[[#This Row],[Aplicación]],14,1)</f>
        <v>2</v>
      </c>
      <c r="R1406" s="35" t="s">
        <v>441</v>
      </c>
      <c r="S1406" s="35" t="str">
        <f>MID(Tabla1[[#This Row],[Aplicación]],6,2)</f>
        <v>10</v>
      </c>
      <c r="T1406" s="35" t="str">
        <f>VLOOKUP(Tabla1[[#This Row],[AREA]],Hoja1!A:B,2,FALSE)</f>
        <v>10. Servicios sociales y mediación comunitaria</v>
      </c>
      <c r="U1406" s="35" t="str">
        <f>MID(Tabla1[[#This Row],[Aplicación]],9,4)</f>
        <v>2312</v>
      </c>
      <c r="V1406" s="35" t="str">
        <f>VLOOKUP(Tabla1[[#This Row],[PROGRAMA]],Hoja1!A:B,2,FALSE)</f>
        <v>2312. Iniciativas sociales</v>
      </c>
      <c r="W1406" s="35" t="str">
        <f>MID(Tabla1[[#This Row],[Aplicación]],14,2)</f>
        <v>22</v>
      </c>
      <c r="X1406" s="35" t="str">
        <f>MID(Tabla1[[#This Row],[Aplicación]],14,6)</f>
        <v>22799</v>
      </c>
    </row>
    <row r="1407" spans="1:24" x14ac:dyDescent="0.25">
      <c r="A1407" s="49">
        <v>220220006932</v>
      </c>
      <c r="B1407" s="50" t="s">
        <v>9</v>
      </c>
      <c r="C1407" s="57">
        <v>44622</v>
      </c>
      <c r="D1407" s="49">
        <v>22022002221</v>
      </c>
      <c r="E1407" s="50" t="s">
        <v>1397</v>
      </c>
      <c r="F1407" s="58">
        <v>22000</v>
      </c>
      <c r="G1407" s="50" t="s">
        <v>100</v>
      </c>
      <c r="H1407" s="50" t="s">
        <v>2801</v>
      </c>
      <c r="I1407" s="49" t="s">
        <v>107</v>
      </c>
      <c r="J1407" s="50" t="s">
        <v>109</v>
      </c>
      <c r="K1407" s="50" t="s">
        <v>109</v>
      </c>
      <c r="L1407" s="50" t="s">
        <v>12</v>
      </c>
      <c r="M1407" s="50" t="s">
        <v>13</v>
      </c>
      <c r="N1407" s="50" t="s">
        <v>14</v>
      </c>
      <c r="O1407" s="48" t="s">
        <v>620</v>
      </c>
      <c r="P1407" s="45" t="s">
        <v>453</v>
      </c>
      <c r="Q1407" s="35" t="str">
        <f>MID(Tabla1[[#This Row],[Aplicación]],14,1)</f>
        <v>2</v>
      </c>
      <c r="R1407" s="35" t="s">
        <v>441</v>
      </c>
      <c r="S1407" s="35" t="str">
        <f>MID(Tabla1[[#This Row],[Aplicación]],6,2)</f>
        <v>10</v>
      </c>
      <c r="T1407" s="35" t="str">
        <f>VLOOKUP(Tabla1[[#This Row],[AREA]],Hoja1!A:B,2,FALSE)</f>
        <v>10. Servicios sociales y mediación comunitaria</v>
      </c>
      <c r="U1407" s="35" t="str">
        <f>MID(Tabla1[[#This Row],[Aplicación]],9,4)</f>
        <v>2312</v>
      </c>
      <c r="V1407" s="35" t="str">
        <f>VLOOKUP(Tabla1[[#This Row],[PROGRAMA]],Hoja1!A:B,2,FALSE)</f>
        <v>2312. Iniciativas sociales</v>
      </c>
      <c r="W1407" s="35" t="str">
        <f>MID(Tabla1[[#This Row],[Aplicación]],14,2)</f>
        <v>22</v>
      </c>
      <c r="X1407" s="35" t="str">
        <f>MID(Tabla1[[#This Row],[Aplicación]],14,6)</f>
        <v>22799</v>
      </c>
    </row>
    <row r="1408" spans="1:24" x14ac:dyDescent="0.25">
      <c r="A1408" s="49">
        <v>220219000526</v>
      </c>
      <c r="B1408" s="50" t="s">
        <v>9</v>
      </c>
      <c r="C1408" s="57">
        <v>44562</v>
      </c>
      <c r="D1408" s="49">
        <v>22022000075</v>
      </c>
      <c r="E1408" s="50" t="s">
        <v>1408</v>
      </c>
      <c r="F1408" s="58">
        <v>7963.01</v>
      </c>
      <c r="G1408" s="50" t="s">
        <v>750</v>
      </c>
      <c r="H1408" s="50" t="s">
        <v>2802</v>
      </c>
      <c r="I1408" s="49" t="s">
        <v>107</v>
      </c>
      <c r="J1408" s="50" t="s">
        <v>491</v>
      </c>
      <c r="K1408" s="50" t="s">
        <v>108</v>
      </c>
      <c r="L1408" s="50" t="s">
        <v>15</v>
      </c>
      <c r="M1408" s="50" t="s">
        <v>13</v>
      </c>
      <c r="N1408" s="50" t="s">
        <v>16</v>
      </c>
      <c r="O1408" s="48" t="s">
        <v>620</v>
      </c>
      <c r="P1408" s="45" t="s">
        <v>453</v>
      </c>
      <c r="Q1408" s="35" t="str">
        <f>MID(Tabla1[[#This Row],[Aplicación]],14,1)</f>
        <v>2</v>
      </c>
      <c r="R1408" s="35" t="s">
        <v>441</v>
      </c>
      <c r="S1408" s="35" t="str">
        <f>MID(Tabla1[[#This Row],[Aplicación]],6,2)</f>
        <v>04</v>
      </c>
      <c r="T1408" s="35" t="str">
        <f>VLOOKUP(Tabla1[[#This Row],[AREA]],Hoja1!A:B,2,FALSE)</f>
        <v>04. Planificación y recursos</v>
      </c>
      <c r="U1408" s="35" t="str">
        <f>MID(Tabla1[[#This Row],[Aplicación]],9,4)</f>
        <v>9204</v>
      </c>
      <c r="V1408" s="35" t="str">
        <f>VLOOKUP(Tabla1[[#This Row],[PROGRAMA]],Hoja1!A:B,2,FALSE)</f>
        <v>9204. Tecnologías de la información y comunicación</v>
      </c>
      <c r="W1408" s="35" t="str">
        <f>MID(Tabla1[[#This Row],[Aplicación]],14,2)</f>
        <v>21</v>
      </c>
      <c r="X1408" s="35" t="str">
        <f>MID(Tabla1[[#This Row],[Aplicación]],14,6)</f>
        <v>216</v>
      </c>
    </row>
    <row r="1409" spans="1:24" x14ac:dyDescent="0.25">
      <c r="A1409" s="49">
        <v>220220003524</v>
      </c>
      <c r="B1409" s="50" t="s">
        <v>9</v>
      </c>
      <c r="C1409" s="57">
        <v>44606</v>
      </c>
      <c r="D1409" s="49">
        <v>22022001665</v>
      </c>
      <c r="E1409" s="50" t="s">
        <v>1780</v>
      </c>
      <c r="F1409" s="58">
        <v>21627.75</v>
      </c>
      <c r="G1409" s="50" t="s">
        <v>735</v>
      </c>
      <c r="H1409" s="50" t="s">
        <v>2803</v>
      </c>
      <c r="I1409" s="49" t="s">
        <v>107</v>
      </c>
      <c r="J1409" s="50" t="s">
        <v>108</v>
      </c>
      <c r="K1409" s="50" t="s">
        <v>108</v>
      </c>
      <c r="L1409" s="50" t="s">
        <v>12</v>
      </c>
      <c r="M1409" s="50" t="s">
        <v>13</v>
      </c>
      <c r="N1409" s="50" t="s">
        <v>14</v>
      </c>
      <c r="O1409" s="48" t="s">
        <v>620</v>
      </c>
      <c r="P1409" s="45" t="s">
        <v>453</v>
      </c>
      <c r="Q1409" s="35" t="str">
        <f>MID(Tabla1[[#This Row],[Aplicación]],14,1)</f>
        <v>2</v>
      </c>
      <c r="R1409" s="35" t="s">
        <v>441</v>
      </c>
      <c r="S1409" s="35" t="str">
        <f>MID(Tabla1[[#This Row],[Aplicación]],6,2)</f>
        <v>10</v>
      </c>
      <c r="T1409" s="35" t="str">
        <f>VLOOKUP(Tabla1[[#This Row],[AREA]],Hoja1!A:B,2,FALSE)</f>
        <v>10. Servicios sociales y mediación comunitaria</v>
      </c>
      <c r="U1409" s="35" t="str">
        <f>MID(Tabla1[[#This Row],[Aplicación]],9,4)</f>
        <v>2316</v>
      </c>
      <c r="V1409" s="35" t="str">
        <f>VLOOKUP(Tabla1[[#This Row],[PROGRAMA]],Hoja1!A:B,2,FALSE)</f>
        <v>2316. Mediación comunitaria</v>
      </c>
      <c r="W1409" s="35" t="str">
        <f>MID(Tabla1[[#This Row],[Aplicación]],14,2)</f>
        <v>22</v>
      </c>
      <c r="X1409" s="35" t="str">
        <f>MID(Tabla1[[#This Row],[Aplicación]],14,6)</f>
        <v>22799</v>
      </c>
    </row>
    <row r="1410" spans="1:24" x14ac:dyDescent="0.25">
      <c r="A1410" s="49">
        <v>220219000231</v>
      </c>
      <c r="B1410" s="50" t="s">
        <v>9</v>
      </c>
      <c r="C1410" s="57">
        <v>44562</v>
      </c>
      <c r="D1410" s="49">
        <v>22022000053</v>
      </c>
      <c r="E1410" s="50" t="s">
        <v>1637</v>
      </c>
      <c r="F1410" s="58">
        <v>20267.5</v>
      </c>
      <c r="G1410" s="50" t="s">
        <v>140</v>
      </c>
      <c r="H1410" s="50" t="s">
        <v>2804</v>
      </c>
      <c r="I1410" s="49" t="s">
        <v>107</v>
      </c>
      <c r="J1410" s="50" t="s">
        <v>109</v>
      </c>
      <c r="K1410" s="50" t="s">
        <v>109</v>
      </c>
      <c r="L1410" s="50" t="s">
        <v>12</v>
      </c>
      <c r="M1410" s="50" t="s">
        <v>13</v>
      </c>
      <c r="N1410" s="50" t="s">
        <v>14</v>
      </c>
      <c r="O1410" s="48" t="s">
        <v>620</v>
      </c>
      <c r="P1410" s="45" t="s">
        <v>453</v>
      </c>
      <c r="Q1410" s="35" t="str">
        <f>MID(Tabla1[[#This Row],[Aplicación]],14,1)</f>
        <v>2</v>
      </c>
      <c r="R1410" s="35" t="s">
        <v>441</v>
      </c>
      <c r="S1410" s="35" t="str">
        <f>MID(Tabla1[[#This Row],[Aplicación]],6,2)</f>
        <v>06</v>
      </c>
      <c r="T1410" s="35" t="str">
        <f>VLOOKUP(Tabla1[[#This Row],[AREA]],Hoja1!A:B,2,FALSE)</f>
        <v>06. Educación, infancia, juventud e igualdad</v>
      </c>
      <c r="U1410" s="35" t="str">
        <f>MID(Tabla1[[#This Row],[Aplicación]],9,4)</f>
        <v>2314</v>
      </c>
      <c r="V1410" s="35" t="str">
        <f>VLOOKUP(Tabla1[[#This Row],[PROGRAMA]],Hoja1!A:B,2,FALSE)</f>
        <v>2314. Centro de programas juveniles</v>
      </c>
      <c r="W1410" s="35" t="str">
        <f>MID(Tabla1[[#This Row],[Aplicación]],14,2)</f>
        <v>22</v>
      </c>
      <c r="X1410" s="35" t="str">
        <f>MID(Tabla1[[#This Row],[Aplicación]],14,6)</f>
        <v>22799</v>
      </c>
    </row>
    <row r="1411" spans="1:24" x14ac:dyDescent="0.25">
      <c r="A1411" s="49">
        <v>220199000493</v>
      </c>
      <c r="B1411" s="50" t="s">
        <v>9</v>
      </c>
      <c r="C1411" s="57">
        <v>44562</v>
      </c>
      <c r="D1411" s="49">
        <v>22022000159</v>
      </c>
      <c r="E1411" s="50" t="s">
        <v>1963</v>
      </c>
      <c r="F1411" s="58">
        <v>18876</v>
      </c>
      <c r="G1411" s="50" t="s">
        <v>112</v>
      </c>
      <c r="H1411" s="50" t="s">
        <v>554</v>
      </c>
      <c r="I1411" s="49" t="s">
        <v>107</v>
      </c>
      <c r="J1411" s="50" t="s">
        <v>109</v>
      </c>
      <c r="K1411" s="50" t="s">
        <v>109</v>
      </c>
      <c r="L1411" s="50" t="s">
        <v>12</v>
      </c>
      <c r="M1411" s="50" t="s">
        <v>13</v>
      </c>
      <c r="N1411" s="50" t="s">
        <v>14</v>
      </c>
      <c r="O1411" s="48" t="s">
        <v>620</v>
      </c>
      <c r="P1411" s="45" t="s">
        <v>453</v>
      </c>
      <c r="Q1411" s="35" t="str">
        <f>MID(Tabla1[[#This Row],[Aplicación]],14,1)</f>
        <v>2</v>
      </c>
      <c r="R1411" s="35" t="s">
        <v>441</v>
      </c>
      <c r="S1411" s="35" t="str">
        <f>MID(Tabla1[[#This Row],[Aplicación]],6,2)</f>
        <v>09</v>
      </c>
      <c r="T1411" s="35" t="str">
        <f>VLOOKUP(Tabla1[[#This Row],[AREA]],Hoja1!A:B,2,FALSE)</f>
        <v>09. Cultura y turismo</v>
      </c>
      <c r="U1411" s="35" t="str">
        <f>MID(Tabla1[[#This Row],[Aplicación]],9,4)</f>
        <v>3301</v>
      </c>
      <c r="V1411" s="35" t="str">
        <f>VLOOKUP(Tabla1[[#This Row],[PROGRAMA]],Hoja1!A:B,2,FALSE)</f>
        <v>3301. Dirección del área de cultura</v>
      </c>
      <c r="W1411" s="35" t="str">
        <f>MID(Tabla1[[#This Row],[Aplicación]],14,2)</f>
        <v>22</v>
      </c>
      <c r="X1411" s="35" t="str">
        <f>MID(Tabla1[[#This Row],[Aplicación]],14,6)</f>
        <v>22799</v>
      </c>
    </row>
    <row r="1412" spans="1:24" x14ac:dyDescent="0.25">
      <c r="A1412" s="49">
        <v>220220001785</v>
      </c>
      <c r="B1412" s="50" t="s">
        <v>9</v>
      </c>
      <c r="C1412" s="57">
        <v>44589</v>
      </c>
      <c r="D1412" s="49">
        <v>22022000732</v>
      </c>
      <c r="E1412" s="50" t="s">
        <v>2805</v>
      </c>
      <c r="F1412" s="58">
        <v>18150</v>
      </c>
      <c r="G1412" s="50" t="s">
        <v>131</v>
      </c>
      <c r="H1412" s="50" t="s">
        <v>2806</v>
      </c>
      <c r="I1412" s="49" t="s">
        <v>107</v>
      </c>
      <c r="J1412" s="50" t="s">
        <v>109</v>
      </c>
      <c r="K1412" s="50" t="s">
        <v>109</v>
      </c>
      <c r="L1412" s="50" t="s">
        <v>12</v>
      </c>
      <c r="M1412" s="50" t="s">
        <v>10</v>
      </c>
      <c r="N1412" s="50" t="s">
        <v>11</v>
      </c>
      <c r="O1412" s="48" t="s">
        <v>632</v>
      </c>
      <c r="P1412" s="45" t="s">
        <v>453</v>
      </c>
      <c r="Q1412" s="35" t="str">
        <f>MID(Tabla1[[#This Row],[Aplicación]],14,1)</f>
        <v>2</v>
      </c>
      <c r="R1412" s="35" t="s">
        <v>441</v>
      </c>
      <c r="S1412" s="35" t="str">
        <f>MID(Tabla1[[#This Row],[Aplicación]],6,2)</f>
        <v>03</v>
      </c>
      <c r="T1412" s="35" t="str">
        <f>VLOOKUP(Tabla1[[#This Row],[AREA]],Hoja1!A:B,2,FALSE)</f>
        <v>03. Participación ciudadana y deportes</v>
      </c>
      <c r="U1412" s="35" t="str">
        <f>MID(Tabla1[[#This Row],[Aplicación]],9,4)</f>
        <v>9241</v>
      </c>
      <c r="V1412" s="35" t="str">
        <f>VLOOKUP(Tabla1[[#This Row],[PROGRAMA]],Hoja1!A:B,2,FALSE)</f>
        <v>9241. Participación ciudadana</v>
      </c>
      <c r="W1412" s="35" t="str">
        <f>MID(Tabla1[[#This Row],[Aplicación]],14,2)</f>
        <v>22</v>
      </c>
      <c r="X1412" s="35" t="str">
        <f>MID(Tabla1[[#This Row],[Aplicación]],14,6)</f>
        <v>223</v>
      </c>
    </row>
    <row r="1413" spans="1:24" x14ac:dyDescent="0.25">
      <c r="A1413" s="49">
        <v>220220006907</v>
      </c>
      <c r="B1413" s="50" t="s">
        <v>9</v>
      </c>
      <c r="C1413" s="57">
        <v>44622</v>
      </c>
      <c r="D1413" s="49">
        <v>22022002140</v>
      </c>
      <c r="E1413" s="50" t="s">
        <v>1616</v>
      </c>
      <c r="F1413" s="58">
        <v>18146.849999999999</v>
      </c>
      <c r="G1413" s="50" t="s">
        <v>977</v>
      </c>
      <c r="H1413" s="50" t="s">
        <v>2807</v>
      </c>
      <c r="I1413" s="49" t="s">
        <v>107</v>
      </c>
      <c r="J1413" s="50" t="s">
        <v>109</v>
      </c>
      <c r="K1413" s="50" t="s">
        <v>109</v>
      </c>
      <c r="L1413" s="50" t="s">
        <v>15</v>
      </c>
      <c r="M1413" s="50" t="s">
        <v>10</v>
      </c>
      <c r="N1413" s="50" t="s">
        <v>11</v>
      </c>
      <c r="O1413" s="48" t="s">
        <v>632</v>
      </c>
      <c r="P1413" s="45" t="s">
        <v>453</v>
      </c>
      <c r="Q1413" s="35" t="str">
        <f>MID(Tabla1[[#This Row],[Aplicación]],14,1)</f>
        <v>6</v>
      </c>
      <c r="R1413" s="35" t="s">
        <v>442</v>
      </c>
      <c r="S1413" s="35" t="str">
        <f>MID(Tabla1[[#This Row],[Aplicación]],6,2)</f>
        <v>04</v>
      </c>
      <c r="T1413" s="35" t="str">
        <f>VLOOKUP(Tabla1[[#This Row],[AREA]],Hoja1!A:B,2,FALSE)</f>
        <v>04. Planificación y recursos</v>
      </c>
      <c r="U1413" s="35" t="str">
        <f>MID(Tabla1[[#This Row],[Aplicación]],9,4)</f>
        <v>9204</v>
      </c>
      <c r="V1413" s="35" t="str">
        <f>VLOOKUP(Tabla1[[#This Row],[PROGRAMA]],Hoja1!A:B,2,FALSE)</f>
        <v>9204. Tecnologías de la información y comunicación</v>
      </c>
      <c r="W1413" s="35" t="str">
        <f>MID(Tabla1[[#This Row],[Aplicación]],14,2)</f>
        <v>62</v>
      </c>
      <c r="X1413" s="35" t="str">
        <f>MID(Tabla1[[#This Row],[Aplicación]],14,6)</f>
        <v>626</v>
      </c>
    </row>
    <row r="1414" spans="1:24" x14ac:dyDescent="0.25">
      <c r="A1414" s="49">
        <v>220209000717</v>
      </c>
      <c r="B1414" s="50" t="s">
        <v>9</v>
      </c>
      <c r="C1414" s="57">
        <v>44562</v>
      </c>
      <c r="D1414" s="49">
        <v>22022000254</v>
      </c>
      <c r="E1414" s="50" t="s">
        <v>2808</v>
      </c>
      <c r="F1414" s="58">
        <v>18102.810000000001</v>
      </c>
      <c r="G1414" s="50" t="s">
        <v>48</v>
      </c>
      <c r="H1414" s="50" t="s">
        <v>910</v>
      </c>
      <c r="I1414" s="49" t="s">
        <v>107</v>
      </c>
      <c r="J1414" s="50" t="s">
        <v>109</v>
      </c>
      <c r="K1414" s="50" t="s">
        <v>109</v>
      </c>
      <c r="L1414" s="50" t="s">
        <v>12</v>
      </c>
      <c r="M1414" s="50" t="s">
        <v>13</v>
      </c>
      <c r="N1414" s="50" t="s">
        <v>14</v>
      </c>
      <c r="O1414" s="48" t="s">
        <v>620</v>
      </c>
      <c r="P1414" s="45" t="s">
        <v>453</v>
      </c>
      <c r="Q1414" s="35" t="str">
        <f>MID(Tabla1[[#This Row],[Aplicación]],14,1)</f>
        <v>2</v>
      </c>
      <c r="R1414" s="35" t="s">
        <v>441</v>
      </c>
      <c r="S1414" s="35" t="str">
        <f>MID(Tabla1[[#This Row],[Aplicación]],6,2)</f>
        <v>07</v>
      </c>
      <c r="T1414" s="35" t="str">
        <f>VLOOKUP(Tabla1[[#This Row],[AREA]],Hoja1!A:B,2,FALSE)</f>
        <v>07. Medio ambiente y desarrollo sostenible</v>
      </c>
      <c r="U1414" s="35" t="str">
        <f>MID(Tabla1[[#This Row],[Aplicación]],9,4)</f>
        <v>1711</v>
      </c>
      <c r="V1414" s="35" t="str">
        <f>VLOOKUP(Tabla1[[#This Row],[PROGRAMA]],Hoja1!A:B,2,FALSE)</f>
        <v>1711. Parques y jardines</v>
      </c>
      <c r="W1414" s="35" t="str">
        <f>MID(Tabla1[[#This Row],[Aplicación]],14,2)</f>
        <v>22</v>
      </c>
      <c r="X1414" s="35" t="str">
        <f>MID(Tabla1[[#This Row],[Aplicación]],14,6)</f>
        <v>22700</v>
      </c>
    </row>
    <row r="1415" spans="1:24" x14ac:dyDescent="0.25">
      <c r="A1415" s="49">
        <v>220220006383</v>
      </c>
      <c r="B1415" s="50" t="s">
        <v>9</v>
      </c>
      <c r="C1415" s="57">
        <v>44617</v>
      </c>
      <c r="D1415" s="49">
        <v>22022002397</v>
      </c>
      <c r="E1415" s="50" t="s">
        <v>2688</v>
      </c>
      <c r="F1415" s="58">
        <v>18029</v>
      </c>
      <c r="G1415" s="50" t="s">
        <v>2809</v>
      </c>
      <c r="H1415" s="50" t="s">
        <v>2810</v>
      </c>
      <c r="I1415" s="49" t="s">
        <v>107</v>
      </c>
      <c r="J1415" s="50" t="s">
        <v>108</v>
      </c>
      <c r="K1415" s="50" t="s">
        <v>108</v>
      </c>
      <c r="L1415" s="50" t="s">
        <v>12</v>
      </c>
      <c r="M1415" s="50" t="s">
        <v>10</v>
      </c>
      <c r="N1415" s="50" t="s">
        <v>11</v>
      </c>
      <c r="O1415" s="48" t="s">
        <v>632</v>
      </c>
      <c r="P1415" s="45" t="s">
        <v>453</v>
      </c>
      <c r="Q1415" s="35" t="str">
        <f>MID(Tabla1[[#This Row],[Aplicación]],14,1)</f>
        <v>2</v>
      </c>
      <c r="R1415" s="35" t="s">
        <v>441</v>
      </c>
      <c r="S1415" s="35" t="str">
        <f>MID(Tabla1[[#This Row],[Aplicación]],6,2)</f>
        <v>05</v>
      </c>
      <c r="T1415" s="35" t="str">
        <f>VLOOKUP(Tabla1[[#This Row],[AREA]],Hoja1!A:B,2,FALSE)</f>
        <v>05. Innovación, desarrollo económico, empleo y comercio</v>
      </c>
      <c r="U1415" s="35" t="str">
        <f>MID(Tabla1[[#This Row],[Aplicación]],9,4)</f>
        <v>4331</v>
      </c>
      <c r="V1415" s="35" t="str">
        <f>VLOOKUP(Tabla1[[#This Row],[PROGRAMA]],Hoja1!A:B,2,FALSE)</f>
        <v>4331. Desarrollo empresarial</v>
      </c>
      <c r="W1415" s="35" t="str">
        <f>MID(Tabla1[[#This Row],[Aplicación]],14,2)</f>
        <v>22</v>
      </c>
      <c r="X1415" s="35" t="str">
        <f>MID(Tabla1[[#This Row],[Aplicación]],14,6)</f>
        <v>22706</v>
      </c>
    </row>
    <row r="1416" spans="1:24" x14ac:dyDescent="0.25">
      <c r="A1416" s="49">
        <v>220219000861</v>
      </c>
      <c r="B1416" s="50" t="s">
        <v>9</v>
      </c>
      <c r="C1416" s="57">
        <v>44562</v>
      </c>
      <c r="D1416" s="49">
        <v>22022000606</v>
      </c>
      <c r="E1416" s="50" t="s">
        <v>2210</v>
      </c>
      <c r="F1416" s="58">
        <v>17711.93</v>
      </c>
      <c r="G1416" s="50" t="s">
        <v>51</v>
      </c>
      <c r="H1416" s="50" t="s">
        <v>2811</v>
      </c>
      <c r="I1416" s="49" t="s">
        <v>107</v>
      </c>
      <c r="J1416" s="50" t="s">
        <v>151</v>
      </c>
      <c r="K1416" s="50" t="s">
        <v>151</v>
      </c>
      <c r="L1416" s="50" t="s">
        <v>12</v>
      </c>
      <c r="M1416" s="50" t="s">
        <v>10</v>
      </c>
      <c r="N1416" s="50" t="s">
        <v>11</v>
      </c>
      <c r="O1416" s="48" t="s">
        <v>632</v>
      </c>
      <c r="P1416" s="45" t="s">
        <v>453</v>
      </c>
      <c r="Q1416" s="35" t="str">
        <f>MID(Tabla1[[#This Row],[Aplicación]],14,1)</f>
        <v>2</v>
      </c>
      <c r="R1416" s="35" t="s">
        <v>441</v>
      </c>
      <c r="S1416" s="35" t="str">
        <f>MID(Tabla1[[#This Row],[Aplicación]],6,2)</f>
        <v>06</v>
      </c>
      <c r="T1416" s="35" t="str">
        <f>VLOOKUP(Tabla1[[#This Row],[AREA]],Hoja1!A:B,2,FALSE)</f>
        <v>06. Educación, infancia, juventud e igualdad</v>
      </c>
      <c r="U1416" s="35" t="str">
        <f>MID(Tabla1[[#This Row],[Aplicación]],9,4)</f>
        <v>2314</v>
      </c>
      <c r="V1416" s="35" t="str">
        <f>VLOOKUP(Tabla1[[#This Row],[PROGRAMA]],Hoja1!A:B,2,FALSE)</f>
        <v>2314. Centro de programas juveniles</v>
      </c>
      <c r="W1416" s="35" t="str">
        <f>MID(Tabla1[[#This Row],[Aplicación]],14,2)</f>
        <v>22</v>
      </c>
      <c r="X1416" s="35" t="str">
        <f>MID(Tabla1[[#This Row],[Aplicación]],14,6)</f>
        <v>22602</v>
      </c>
    </row>
    <row r="1417" spans="1:24" x14ac:dyDescent="0.25">
      <c r="A1417" s="49">
        <v>220210087902</v>
      </c>
      <c r="B1417" s="50" t="s">
        <v>9</v>
      </c>
      <c r="C1417" s="57">
        <v>44631</v>
      </c>
      <c r="D1417" s="49">
        <v>22021006485</v>
      </c>
      <c r="E1417" s="50" t="s">
        <v>1593</v>
      </c>
      <c r="F1417" s="58">
        <v>17708.3</v>
      </c>
      <c r="G1417" s="50" t="s">
        <v>924</v>
      </c>
      <c r="H1417" s="50" t="s">
        <v>1329</v>
      </c>
      <c r="I1417" s="49" t="s">
        <v>107</v>
      </c>
      <c r="J1417" s="50" t="s">
        <v>108</v>
      </c>
      <c r="K1417" s="50" t="s">
        <v>108</v>
      </c>
      <c r="L1417" s="50" t="s">
        <v>12</v>
      </c>
      <c r="M1417" s="50" t="s">
        <v>13</v>
      </c>
      <c r="N1417" s="50" t="s">
        <v>14</v>
      </c>
      <c r="O1417" s="48" t="s">
        <v>620</v>
      </c>
      <c r="P1417" s="45" t="s">
        <v>453</v>
      </c>
      <c r="Q1417" s="35" t="str">
        <f>MID(Tabla1[[#This Row],[Aplicación]],14,1)</f>
        <v>6</v>
      </c>
      <c r="R1417" s="35" t="s">
        <v>442</v>
      </c>
      <c r="S1417" s="35" t="str">
        <f>MID(Tabla1[[#This Row],[Aplicación]],6,2)</f>
        <v>07</v>
      </c>
      <c r="T1417" s="35" t="str">
        <f>VLOOKUP(Tabla1[[#This Row],[AREA]],Hoja1!A:B,2,FALSE)</f>
        <v>07. Medio ambiente y desarrollo sostenible</v>
      </c>
      <c r="U1417" s="35" t="str">
        <f>MID(Tabla1[[#This Row],[Aplicación]],9,4)</f>
        <v>1711</v>
      </c>
      <c r="V1417" s="35" t="str">
        <f>VLOOKUP(Tabla1[[#This Row],[PROGRAMA]],Hoja1!A:B,2,FALSE)</f>
        <v>1711. Parques y jardines</v>
      </c>
      <c r="W1417" s="35" t="str">
        <f>MID(Tabla1[[#This Row],[Aplicación]],14,2)</f>
        <v>61</v>
      </c>
      <c r="X1417" s="35" t="str">
        <f>MID(Tabla1[[#This Row],[Aplicación]],14,6)</f>
        <v>619</v>
      </c>
    </row>
    <row r="1418" spans="1:24" x14ac:dyDescent="0.25">
      <c r="A1418" s="49">
        <v>220220001593</v>
      </c>
      <c r="B1418" s="50" t="s">
        <v>9</v>
      </c>
      <c r="C1418" s="57">
        <v>44587</v>
      </c>
      <c r="D1418" s="49">
        <v>22022000861</v>
      </c>
      <c r="E1418" s="50" t="s">
        <v>1611</v>
      </c>
      <c r="F1418" s="58">
        <v>17352.84</v>
      </c>
      <c r="G1418" s="50" t="s">
        <v>52</v>
      </c>
      <c r="H1418" s="50" t="s">
        <v>2812</v>
      </c>
      <c r="I1418" s="49" t="s">
        <v>107</v>
      </c>
      <c r="J1418" s="50" t="s">
        <v>108</v>
      </c>
      <c r="K1418" s="50" t="s">
        <v>108</v>
      </c>
      <c r="L1418" s="50" t="s">
        <v>12</v>
      </c>
      <c r="M1418" s="50" t="s">
        <v>10</v>
      </c>
      <c r="N1418" s="50" t="s">
        <v>11</v>
      </c>
      <c r="O1418" s="48" t="s">
        <v>632</v>
      </c>
      <c r="P1418" s="45" t="s">
        <v>453</v>
      </c>
      <c r="Q1418" s="35" t="str">
        <f>MID(Tabla1[[#This Row],[Aplicación]],14,1)</f>
        <v>2</v>
      </c>
      <c r="R1418" s="35" t="s">
        <v>441</v>
      </c>
      <c r="S1418" s="35" t="str">
        <f>MID(Tabla1[[#This Row],[Aplicación]],6,2)</f>
        <v>01</v>
      </c>
      <c r="T1418" s="35" t="str">
        <f>VLOOKUP(Tabla1[[#This Row],[AREA]],Hoja1!A:B,2,FALSE)</f>
        <v>01. Alcaldía</v>
      </c>
      <c r="U1418" s="35" t="str">
        <f>MID(Tabla1[[#This Row],[Aplicación]],9,4)</f>
        <v>9207</v>
      </c>
      <c r="V1418" s="35" t="str">
        <f>VLOOKUP(Tabla1[[#This Row],[PROGRAMA]],Hoja1!A:B,2,FALSE)</f>
        <v>9207. Gobierno y relaciones</v>
      </c>
      <c r="W1418" s="35" t="str">
        <f>MID(Tabla1[[#This Row],[Aplicación]],14,2)</f>
        <v>22</v>
      </c>
      <c r="X1418" s="35" t="str">
        <f>MID(Tabla1[[#This Row],[Aplicación]],14,6)</f>
        <v>22001</v>
      </c>
    </row>
    <row r="1419" spans="1:24" x14ac:dyDescent="0.25">
      <c r="A1419" s="49">
        <v>220219000704</v>
      </c>
      <c r="B1419" s="50" t="s">
        <v>9</v>
      </c>
      <c r="C1419" s="57">
        <v>44562</v>
      </c>
      <c r="D1419" s="49">
        <v>22022000093</v>
      </c>
      <c r="E1419" s="50" t="s">
        <v>1397</v>
      </c>
      <c r="F1419" s="58">
        <v>17093.61</v>
      </c>
      <c r="G1419" s="50" t="s">
        <v>941</v>
      </c>
      <c r="H1419" s="50" t="s">
        <v>2813</v>
      </c>
      <c r="I1419" s="49" t="s">
        <v>107</v>
      </c>
      <c r="J1419" s="50" t="s">
        <v>109</v>
      </c>
      <c r="K1419" s="50" t="s">
        <v>109</v>
      </c>
      <c r="L1419" s="50" t="s">
        <v>12</v>
      </c>
      <c r="M1419" s="50" t="s">
        <v>13</v>
      </c>
      <c r="N1419" s="50" t="s">
        <v>14</v>
      </c>
      <c r="O1419" s="48" t="s">
        <v>620</v>
      </c>
      <c r="P1419" s="45" t="s">
        <v>453</v>
      </c>
      <c r="Q1419" s="35" t="str">
        <f>MID(Tabla1[[#This Row],[Aplicación]],14,1)</f>
        <v>2</v>
      </c>
      <c r="R1419" s="35" t="s">
        <v>441</v>
      </c>
      <c r="S1419" s="35" t="str">
        <f>MID(Tabla1[[#This Row],[Aplicación]],6,2)</f>
        <v>10</v>
      </c>
      <c r="T1419" s="35" t="str">
        <f>VLOOKUP(Tabla1[[#This Row],[AREA]],Hoja1!A:B,2,FALSE)</f>
        <v>10. Servicios sociales y mediación comunitaria</v>
      </c>
      <c r="U1419" s="35" t="str">
        <f>MID(Tabla1[[#This Row],[Aplicación]],9,4)</f>
        <v>2312</v>
      </c>
      <c r="V1419" s="35" t="str">
        <f>VLOOKUP(Tabla1[[#This Row],[PROGRAMA]],Hoja1!A:B,2,FALSE)</f>
        <v>2312. Iniciativas sociales</v>
      </c>
      <c r="W1419" s="35" t="str">
        <f>MID(Tabla1[[#This Row],[Aplicación]],14,2)</f>
        <v>22</v>
      </c>
      <c r="X1419" s="35" t="str">
        <f>MID(Tabla1[[#This Row],[Aplicación]],14,6)</f>
        <v>22799</v>
      </c>
    </row>
    <row r="1420" spans="1:24" x14ac:dyDescent="0.25">
      <c r="A1420" s="49">
        <v>220220001707</v>
      </c>
      <c r="B1420" s="50" t="s">
        <v>9</v>
      </c>
      <c r="C1420" s="57">
        <v>44588</v>
      </c>
      <c r="D1420" s="49">
        <v>22022001529</v>
      </c>
      <c r="E1420" s="50" t="s">
        <v>2605</v>
      </c>
      <c r="F1420" s="58">
        <v>16940</v>
      </c>
      <c r="G1420" s="50" t="s">
        <v>2814</v>
      </c>
      <c r="H1420" s="50" t="s">
        <v>2815</v>
      </c>
      <c r="I1420" s="49" t="s">
        <v>107</v>
      </c>
      <c r="J1420" s="50" t="s">
        <v>109</v>
      </c>
      <c r="K1420" s="50" t="s">
        <v>109</v>
      </c>
      <c r="L1420" s="50" t="s">
        <v>12</v>
      </c>
      <c r="M1420" s="50" t="s">
        <v>10</v>
      </c>
      <c r="N1420" s="50" t="s">
        <v>11</v>
      </c>
      <c r="O1420" s="48" t="s">
        <v>632</v>
      </c>
      <c r="P1420" s="45" t="s">
        <v>453</v>
      </c>
      <c r="Q1420" s="35" t="str">
        <f>MID(Tabla1[[#This Row],[Aplicación]],14,1)</f>
        <v>2</v>
      </c>
      <c r="R1420" s="35" t="s">
        <v>441</v>
      </c>
      <c r="S1420" s="35" t="str">
        <f>MID(Tabla1[[#This Row],[Aplicación]],6,2)</f>
        <v>04</v>
      </c>
      <c r="T1420" s="35" t="str">
        <f>VLOOKUP(Tabla1[[#This Row],[AREA]],Hoja1!A:B,2,FALSE)</f>
        <v>04. Planificación y recursos</v>
      </c>
      <c r="U1420" s="35" t="str">
        <f>MID(Tabla1[[#This Row],[Aplicación]],9,4)</f>
        <v>9231</v>
      </c>
      <c r="V1420" s="35" t="str">
        <f>VLOOKUP(Tabla1[[#This Row],[PROGRAMA]],Hoja1!A:B,2,FALSE)</f>
        <v>9231. Información, registro y gestión del padrón</v>
      </c>
      <c r="W1420" s="35" t="str">
        <f>MID(Tabla1[[#This Row],[Aplicación]],14,2)</f>
        <v>22</v>
      </c>
      <c r="X1420" s="35" t="str">
        <f>MID(Tabla1[[#This Row],[Aplicación]],14,6)</f>
        <v>22705</v>
      </c>
    </row>
    <row r="1421" spans="1:24" x14ac:dyDescent="0.25">
      <c r="A1421" s="49">
        <v>220219001162</v>
      </c>
      <c r="B1421" s="50" t="s">
        <v>9</v>
      </c>
      <c r="C1421" s="57">
        <v>44562</v>
      </c>
      <c r="D1421" s="49">
        <v>22022002201</v>
      </c>
      <c r="E1421" s="50" t="s">
        <v>1362</v>
      </c>
      <c r="F1421" s="58">
        <v>16940</v>
      </c>
      <c r="G1421" s="50" t="s">
        <v>512</v>
      </c>
      <c r="H1421" s="50" t="s">
        <v>2816</v>
      </c>
      <c r="I1421" s="49" t="s">
        <v>107</v>
      </c>
      <c r="J1421" s="50" t="s">
        <v>109</v>
      </c>
      <c r="K1421" s="50" t="s">
        <v>109</v>
      </c>
      <c r="L1421" s="50" t="s">
        <v>12</v>
      </c>
      <c r="M1421" s="50" t="s">
        <v>10</v>
      </c>
      <c r="N1421" s="50" t="s">
        <v>11</v>
      </c>
      <c r="O1421" s="48" t="s">
        <v>632</v>
      </c>
      <c r="P1421" s="45" t="s">
        <v>453</v>
      </c>
      <c r="Q1421" s="35" t="str">
        <f>MID(Tabla1[[#This Row],[Aplicación]],14,1)</f>
        <v>6</v>
      </c>
      <c r="R1421" s="35" t="s">
        <v>442</v>
      </c>
      <c r="S1421" s="35" t="str">
        <f>MID(Tabla1[[#This Row],[Aplicación]],6,2)</f>
        <v>08</v>
      </c>
      <c r="T1421" s="35" t="str">
        <f>VLOOKUP(Tabla1[[#This Row],[AREA]],Hoja1!A:B,2,FALSE)</f>
        <v>08. Movilidad y espacio urbano</v>
      </c>
      <c r="U1421" s="35" t="str">
        <f>MID(Tabla1[[#This Row],[Aplicación]],9,4)</f>
        <v>1341</v>
      </c>
      <c r="V1421" s="35" t="str">
        <f>VLOOKUP(Tabla1[[#This Row],[PROGRAMA]],Hoja1!A:B,2,FALSE)</f>
        <v>1341. Movilidad</v>
      </c>
      <c r="W1421" s="35" t="str">
        <f>MID(Tabla1[[#This Row],[Aplicación]],14,2)</f>
        <v>60</v>
      </c>
      <c r="X1421" s="35" t="str">
        <f>MID(Tabla1[[#This Row],[Aplicación]],14,6)</f>
        <v>609</v>
      </c>
    </row>
    <row r="1422" spans="1:24" x14ac:dyDescent="0.25">
      <c r="A1422" s="49">
        <v>220219000529</v>
      </c>
      <c r="B1422" s="50" t="s">
        <v>9</v>
      </c>
      <c r="C1422" s="57">
        <v>44562</v>
      </c>
      <c r="D1422" s="49">
        <v>22022000076</v>
      </c>
      <c r="E1422" s="50" t="s">
        <v>1408</v>
      </c>
      <c r="F1422" s="58">
        <v>2200</v>
      </c>
      <c r="G1422" s="50" t="s">
        <v>1119</v>
      </c>
      <c r="H1422" s="50" t="s">
        <v>2817</v>
      </c>
      <c r="I1422" s="49" t="s">
        <v>107</v>
      </c>
      <c r="J1422" s="50" t="s">
        <v>561</v>
      </c>
      <c r="K1422" s="50" t="s">
        <v>108</v>
      </c>
      <c r="L1422" s="50" t="s">
        <v>15</v>
      </c>
      <c r="M1422" s="50" t="s">
        <v>13</v>
      </c>
      <c r="N1422" s="50" t="s">
        <v>16</v>
      </c>
      <c r="O1422" s="48" t="s">
        <v>620</v>
      </c>
      <c r="P1422" s="45" t="s">
        <v>453</v>
      </c>
      <c r="Q1422" s="35" t="str">
        <f>MID(Tabla1[[#This Row],[Aplicación]],14,1)</f>
        <v>2</v>
      </c>
      <c r="R1422" s="35" t="s">
        <v>441</v>
      </c>
      <c r="S1422" s="35" t="str">
        <f>MID(Tabla1[[#This Row],[Aplicación]],6,2)</f>
        <v>04</v>
      </c>
      <c r="T1422" s="35" t="str">
        <f>VLOOKUP(Tabla1[[#This Row],[AREA]],Hoja1!A:B,2,FALSE)</f>
        <v>04. Planificación y recursos</v>
      </c>
      <c r="U1422" s="35" t="str">
        <f>MID(Tabla1[[#This Row],[Aplicación]],9,4)</f>
        <v>9204</v>
      </c>
      <c r="V1422" s="35" t="str">
        <f>VLOOKUP(Tabla1[[#This Row],[PROGRAMA]],Hoja1!A:B,2,FALSE)</f>
        <v>9204. Tecnologías de la información y comunicación</v>
      </c>
      <c r="W1422" s="35" t="str">
        <f>MID(Tabla1[[#This Row],[Aplicación]],14,2)</f>
        <v>21</v>
      </c>
      <c r="X1422" s="35" t="str">
        <f>MID(Tabla1[[#This Row],[Aplicación]],14,6)</f>
        <v>216</v>
      </c>
    </row>
    <row r="1423" spans="1:24" x14ac:dyDescent="0.25">
      <c r="A1423" s="49">
        <v>220219000524</v>
      </c>
      <c r="B1423" s="50" t="s">
        <v>9</v>
      </c>
      <c r="C1423" s="57">
        <v>44562</v>
      </c>
      <c r="D1423" s="49">
        <v>22022000074</v>
      </c>
      <c r="E1423" s="50" t="s">
        <v>2818</v>
      </c>
      <c r="F1423" s="58">
        <v>13583.13</v>
      </c>
      <c r="G1423" s="50" t="s">
        <v>1120</v>
      </c>
      <c r="H1423" s="50" t="s">
        <v>560</v>
      </c>
      <c r="I1423" s="49" t="s">
        <v>107</v>
      </c>
      <c r="J1423" s="50" t="s">
        <v>108</v>
      </c>
      <c r="K1423" s="50" t="s">
        <v>108</v>
      </c>
      <c r="L1423" s="50" t="s">
        <v>15</v>
      </c>
      <c r="M1423" s="50" t="s">
        <v>13</v>
      </c>
      <c r="N1423" s="50" t="s">
        <v>16</v>
      </c>
      <c r="O1423" s="48" t="s">
        <v>620</v>
      </c>
      <c r="P1423" s="45" t="s">
        <v>453</v>
      </c>
      <c r="Q1423" s="35" t="str">
        <f>MID(Tabla1[[#This Row],[Aplicación]],14,1)</f>
        <v>2</v>
      </c>
      <c r="R1423" s="35" t="s">
        <v>441</v>
      </c>
      <c r="S1423" s="35" t="str">
        <f>MID(Tabla1[[#This Row],[Aplicación]],6,2)</f>
        <v>04</v>
      </c>
      <c r="T1423" s="35" t="str">
        <f>VLOOKUP(Tabla1[[#This Row],[AREA]],Hoja1!A:B,2,FALSE)</f>
        <v>04. Planificación y recursos</v>
      </c>
      <c r="U1423" s="35" t="str">
        <f>MID(Tabla1[[#This Row],[Aplicación]],9,4)</f>
        <v>9204</v>
      </c>
      <c r="V1423" s="35" t="str">
        <f>VLOOKUP(Tabla1[[#This Row],[PROGRAMA]],Hoja1!A:B,2,FALSE)</f>
        <v>9204. Tecnologías de la información y comunicación</v>
      </c>
      <c r="W1423" s="35" t="str">
        <f>MID(Tabla1[[#This Row],[Aplicación]],14,2)</f>
        <v>22</v>
      </c>
      <c r="X1423" s="35" t="str">
        <f>MID(Tabla1[[#This Row],[Aplicación]],14,6)</f>
        <v>22002</v>
      </c>
    </row>
    <row r="1424" spans="1:24" x14ac:dyDescent="0.25">
      <c r="A1424" s="49">
        <v>220220009694</v>
      </c>
      <c r="B1424" s="50" t="s">
        <v>9</v>
      </c>
      <c r="C1424" s="57">
        <v>44637</v>
      </c>
      <c r="D1424" s="49">
        <v>22021008070</v>
      </c>
      <c r="E1424" s="50" t="s">
        <v>1789</v>
      </c>
      <c r="F1424" s="58">
        <v>16671.61</v>
      </c>
      <c r="G1424" s="50" t="s">
        <v>1143</v>
      </c>
      <c r="H1424" s="50" t="s">
        <v>2819</v>
      </c>
      <c r="I1424" s="49" t="s">
        <v>181</v>
      </c>
      <c r="J1424" s="50" t="s">
        <v>109</v>
      </c>
      <c r="K1424" s="50" t="s">
        <v>109</v>
      </c>
      <c r="L1424" s="50" t="s">
        <v>25</v>
      </c>
      <c r="M1424" s="50" t="s">
        <v>10</v>
      </c>
      <c r="N1424" s="50" t="s">
        <v>11</v>
      </c>
      <c r="O1424" s="48" t="s">
        <v>632</v>
      </c>
      <c r="P1424" s="45" t="s">
        <v>453</v>
      </c>
      <c r="Q1424" s="35" t="str">
        <f>MID(Tabla1[[#This Row],[Aplicación]],14,1)</f>
        <v>6</v>
      </c>
      <c r="R1424" s="35" t="s">
        <v>442</v>
      </c>
      <c r="S1424" s="35" t="str">
        <f>MID(Tabla1[[#This Row],[Aplicación]],6,2)</f>
        <v>10</v>
      </c>
      <c r="T1424" s="35" t="str">
        <f>VLOOKUP(Tabla1[[#This Row],[AREA]],Hoja1!A:B,2,FALSE)</f>
        <v>10. Servicios sociales y mediación comunitaria</v>
      </c>
      <c r="U1424" s="35" t="str">
        <f>MID(Tabla1[[#This Row],[Aplicación]],9,4)</f>
        <v>2311</v>
      </c>
      <c r="V1424" s="35" t="str">
        <f>VLOOKUP(Tabla1[[#This Row],[PROGRAMA]],Hoja1!A:B,2,FALSE)</f>
        <v>2311. Intervención social</v>
      </c>
      <c r="W1424" s="35" t="str">
        <f>MID(Tabla1[[#This Row],[Aplicación]],14,2)</f>
        <v>63</v>
      </c>
      <c r="X1424" s="35" t="str">
        <f>MID(Tabla1[[#This Row],[Aplicación]],14,6)</f>
        <v>632</v>
      </c>
    </row>
    <row r="1425" spans="1:24" x14ac:dyDescent="0.25">
      <c r="A1425" s="49">
        <v>220220013156</v>
      </c>
      <c r="B1425" s="50" t="s">
        <v>172</v>
      </c>
      <c r="C1425" s="57">
        <v>44649</v>
      </c>
      <c r="D1425" s="49">
        <v>22022001641</v>
      </c>
      <c r="E1425" s="50" t="s">
        <v>2034</v>
      </c>
      <c r="F1425" s="58">
        <v>3300</v>
      </c>
      <c r="G1425" s="50" t="s">
        <v>497</v>
      </c>
      <c r="H1425" s="50" t="s">
        <v>2820</v>
      </c>
      <c r="I1425" s="49" t="s">
        <v>173</v>
      </c>
      <c r="J1425" s="50" t="s">
        <v>109</v>
      </c>
      <c r="K1425" s="50" t="s">
        <v>109</v>
      </c>
      <c r="L1425" s="50" t="s">
        <v>15</v>
      </c>
      <c r="M1425" s="50" t="s">
        <v>13</v>
      </c>
      <c r="N1425" s="50" t="s">
        <v>16</v>
      </c>
      <c r="O1425" s="48" t="s">
        <v>631</v>
      </c>
      <c r="P1425" s="45" t="s">
        <v>453</v>
      </c>
      <c r="Q1425" s="35" t="str">
        <f>MID(Tabla1[[#This Row],[Aplicación]],14,1)</f>
        <v>2</v>
      </c>
      <c r="R1425" s="35" t="s">
        <v>441</v>
      </c>
      <c r="S1425" s="35" t="str">
        <f>MID(Tabla1[[#This Row],[Aplicación]],6,2)</f>
        <v>06</v>
      </c>
      <c r="T1425" s="35" t="str">
        <f>VLOOKUP(Tabla1[[#This Row],[AREA]],Hoja1!A:B,2,FALSE)</f>
        <v>06. Educación, infancia, juventud e igualdad</v>
      </c>
      <c r="U1425" s="35" t="str">
        <f>MID(Tabla1[[#This Row],[Aplicación]],9,4)</f>
        <v>3232</v>
      </c>
      <c r="V1425" s="35" t="str">
        <f>VLOOKUP(Tabla1[[#This Row],[PROGRAMA]],Hoja1!A:B,2,FALSE)</f>
        <v>3232. Conservación y mantenimiento centros educación infantil y primaria</v>
      </c>
      <c r="W1425" s="35" t="str">
        <f>MID(Tabla1[[#This Row],[Aplicación]],14,2)</f>
        <v>21</v>
      </c>
      <c r="X1425" s="35" t="str">
        <f>MID(Tabla1[[#This Row],[Aplicación]],14,6)</f>
        <v>212</v>
      </c>
    </row>
    <row r="1426" spans="1:24" x14ac:dyDescent="0.25">
      <c r="A1426" s="49">
        <v>220220005667</v>
      </c>
      <c r="B1426" s="50" t="s">
        <v>172</v>
      </c>
      <c r="C1426" s="57">
        <v>44614</v>
      </c>
      <c r="D1426" s="49">
        <v>22022001172</v>
      </c>
      <c r="E1426" s="50" t="s">
        <v>1579</v>
      </c>
      <c r="F1426" s="58">
        <v>813.73</v>
      </c>
      <c r="G1426" s="50" t="s">
        <v>497</v>
      </c>
      <c r="H1426" s="50" t="s">
        <v>2821</v>
      </c>
      <c r="I1426" s="49" t="s">
        <v>173</v>
      </c>
      <c r="J1426" s="50" t="s">
        <v>109</v>
      </c>
      <c r="K1426" s="50" t="s">
        <v>109</v>
      </c>
      <c r="L1426" s="50" t="s">
        <v>15</v>
      </c>
      <c r="M1426" s="50" t="s">
        <v>13</v>
      </c>
      <c r="N1426" s="50" t="s">
        <v>14</v>
      </c>
      <c r="O1426" s="48" t="s">
        <v>631</v>
      </c>
      <c r="P1426" s="45" t="s">
        <v>453</v>
      </c>
      <c r="Q1426" s="35" t="str">
        <f>MID(Tabla1[[#This Row],[Aplicación]],14,1)</f>
        <v>2</v>
      </c>
      <c r="R1426" s="35" t="s">
        <v>441</v>
      </c>
      <c r="S1426" s="35" t="str">
        <f>MID(Tabla1[[#This Row],[Aplicación]],6,2)</f>
        <v>10</v>
      </c>
      <c r="T1426" s="35" t="str">
        <f>VLOOKUP(Tabla1[[#This Row],[AREA]],Hoja1!A:B,2,FALSE)</f>
        <v>10. Servicios sociales y mediación comunitaria</v>
      </c>
      <c r="U1426" s="35" t="str">
        <f>MID(Tabla1[[#This Row],[Aplicación]],9,4)</f>
        <v>2412</v>
      </c>
      <c r="V1426" s="35" t="str">
        <f>VLOOKUP(Tabla1[[#This Row],[PROGRAMA]],Hoja1!A:B,2,FALSE)</f>
        <v>2412. Formación para el empleo</v>
      </c>
      <c r="W1426" s="35" t="str">
        <f>MID(Tabla1[[#This Row],[Aplicación]],14,2)</f>
        <v>22</v>
      </c>
      <c r="X1426" s="35" t="str">
        <f>MID(Tabla1[[#This Row],[Aplicación]],14,6)</f>
        <v>22199</v>
      </c>
    </row>
    <row r="1427" spans="1:24" x14ac:dyDescent="0.25">
      <c r="A1427" s="49">
        <v>220220005672</v>
      </c>
      <c r="B1427" s="50" t="s">
        <v>172</v>
      </c>
      <c r="C1427" s="57">
        <v>44614</v>
      </c>
      <c r="D1427" s="49">
        <v>22022001172</v>
      </c>
      <c r="E1427" s="50" t="s">
        <v>1579</v>
      </c>
      <c r="F1427" s="58">
        <v>220</v>
      </c>
      <c r="G1427" s="50" t="s">
        <v>497</v>
      </c>
      <c r="H1427" s="50" t="s">
        <v>2822</v>
      </c>
      <c r="I1427" s="49" t="s">
        <v>173</v>
      </c>
      <c r="J1427" s="50" t="s">
        <v>109</v>
      </c>
      <c r="K1427" s="50" t="s">
        <v>109</v>
      </c>
      <c r="L1427" s="50" t="s">
        <v>15</v>
      </c>
      <c r="M1427" s="50" t="s">
        <v>13</v>
      </c>
      <c r="N1427" s="50" t="s">
        <v>14</v>
      </c>
      <c r="O1427" s="48" t="s">
        <v>631</v>
      </c>
      <c r="P1427" s="45" t="s">
        <v>453</v>
      </c>
      <c r="Q1427" s="35" t="str">
        <f>MID(Tabla1[[#This Row],[Aplicación]],14,1)</f>
        <v>2</v>
      </c>
      <c r="R1427" s="35" t="s">
        <v>441</v>
      </c>
      <c r="S1427" s="35" t="str">
        <f>MID(Tabla1[[#This Row],[Aplicación]],6,2)</f>
        <v>10</v>
      </c>
      <c r="T1427" s="35" t="str">
        <f>VLOOKUP(Tabla1[[#This Row],[AREA]],Hoja1!A:B,2,FALSE)</f>
        <v>10. Servicios sociales y mediación comunitaria</v>
      </c>
      <c r="U1427" s="35" t="str">
        <f>MID(Tabla1[[#This Row],[Aplicación]],9,4)</f>
        <v>2412</v>
      </c>
      <c r="V1427" s="35" t="str">
        <f>VLOOKUP(Tabla1[[#This Row],[PROGRAMA]],Hoja1!A:B,2,FALSE)</f>
        <v>2412. Formación para el empleo</v>
      </c>
      <c r="W1427" s="35" t="str">
        <f>MID(Tabla1[[#This Row],[Aplicación]],14,2)</f>
        <v>22</v>
      </c>
      <c r="X1427" s="35" t="str">
        <f>MID(Tabla1[[#This Row],[Aplicación]],14,6)</f>
        <v>22199</v>
      </c>
    </row>
    <row r="1428" spans="1:24" x14ac:dyDescent="0.25">
      <c r="A1428" s="49">
        <v>220210087901</v>
      </c>
      <c r="B1428" s="50" t="s">
        <v>9</v>
      </c>
      <c r="C1428" s="57">
        <v>44631</v>
      </c>
      <c r="D1428" s="49">
        <v>22021006485</v>
      </c>
      <c r="E1428" s="50" t="s">
        <v>1593</v>
      </c>
      <c r="F1428" s="58">
        <v>16637.099999999999</v>
      </c>
      <c r="G1428" s="50" t="s">
        <v>1354</v>
      </c>
      <c r="H1428" s="50" t="s">
        <v>1355</v>
      </c>
      <c r="I1428" s="49" t="s">
        <v>107</v>
      </c>
      <c r="J1428" s="50" t="s">
        <v>108</v>
      </c>
      <c r="K1428" s="50" t="s">
        <v>108</v>
      </c>
      <c r="L1428" s="50" t="s">
        <v>12</v>
      </c>
      <c r="M1428" s="50" t="s">
        <v>13</v>
      </c>
      <c r="N1428" s="50" t="s">
        <v>14</v>
      </c>
      <c r="O1428" s="48" t="s">
        <v>620</v>
      </c>
      <c r="P1428" s="45" t="s">
        <v>453</v>
      </c>
      <c r="Q1428" s="35" t="str">
        <f>MID(Tabla1[[#This Row],[Aplicación]],14,1)</f>
        <v>6</v>
      </c>
      <c r="R1428" s="35" t="s">
        <v>442</v>
      </c>
      <c r="S1428" s="35" t="str">
        <f>MID(Tabla1[[#This Row],[Aplicación]],6,2)</f>
        <v>07</v>
      </c>
      <c r="T1428" s="35" t="str">
        <f>VLOOKUP(Tabla1[[#This Row],[AREA]],Hoja1!A:B,2,FALSE)</f>
        <v>07. Medio ambiente y desarrollo sostenible</v>
      </c>
      <c r="U1428" s="35" t="str">
        <f>MID(Tabla1[[#This Row],[Aplicación]],9,4)</f>
        <v>1711</v>
      </c>
      <c r="V1428" s="35" t="str">
        <f>VLOOKUP(Tabla1[[#This Row],[PROGRAMA]],Hoja1!A:B,2,FALSE)</f>
        <v>1711. Parques y jardines</v>
      </c>
      <c r="W1428" s="35" t="str">
        <f>MID(Tabla1[[#This Row],[Aplicación]],14,2)</f>
        <v>61</v>
      </c>
      <c r="X1428" s="35" t="str">
        <f>MID(Tabla1[[#This Row],[Aplicación]],14,6)</f>
        <v>619</v>
      </c>
    </row>
    <row r="1429" spans="1:24" x14ac:dyDescent="0.25">
      <c r="A1429" s="49">
        <v>220220006913</v>
      </c>
      <c r="B1429" s="50" t="s">
        <v>9</v>
      </c>
      <c r="C1429" s="57">
        <v>44622</v>
      </c>
      <c r="D1429" s="49">
        <v>22022002509</v>
      </c>
      <c r="E1429" s="50" t="s">
        <v>1629</v>
      </c>
      <c r="F1429" s="58">
        <v>16185.5</v>
      </c>
      <c r="G1429" s="50" t="s">
        <v>2823</v>
      </c>
      <c r="H1429" s="50" t="s">
        <v>2824</v>
      </c>
      <c r="I1429" s="49" t="s">
        <v>107</v>
      </c>
      <c r="J1429" s="50" t="s">
        <v>2825</v>
      </c>
      <c r="K1429" s="50" t="s">
        <v>1366</v>
      </c>
      <c r="L1429" s="50" t="s">
        <v>12</v>
      </c>
      <c r="M1429" s="50" t="s">
        <v>10</v>
      </c>
      <c r="N1429" s="50" t="s">
        <v>11</v>
      </c>
      <c r="O1429" s="48" t="s">
        <v>632</v>
      </c>
      <c r="P1429" s="45" t="s">
        <v>453</v>
      </c>
      <c r="Q1429" s="35" t="str">
        <f>MID(Tabla1[[#This Row],[Aplicación]],14,1)</f>
        <v>2</v>
      </c>
      <c r="R1429" s="35" t="s">
        <v>441</v>
      </c>
      <c r="S1429" s="35" t="str">
        <f>MID(Tabla1[[#This Row],[Aplicación]],6,2)</f>
        <v>06</v>
      </c>
      <c r="T1429" s="35" t="str">
        <f>VLOOKUP(Tabla1[[#This Row],[AREA]],Hoja1!A:B,2,FALSE)</f>
        <v>06. Educación, infancia, juventud e igualdad</v>
      </c>
      <c r="U1429" s="35" t="str">
        <f>MID(Tabla1[[#This Row],[Aplicación]],9,4)</f>
        <v>2315</v>
      </c>
      <c r="V1429" s="35" t="str">
        <f>VLOOKUP(Tabla1[[#This Row],[PROGRAMA]],Hoja1!A:B,2,FALSE)</f>
        <v>2315. Políticas de Igualdad e infancia</v>
      </c>
      <c r="W1429" s="35" t="str">
        <f>MID(Tabla1[[#This Row],[Aplicación]],14,2)</f>
        <v>22</v>
      </c>
      <c r="X1429" s="35" t="str">
        <f>MID(Tabla1[[#This Row],[Aplicación]],14,6)</f>
        <v>22611</v>
      </c>
    </row>
    <row r="1430" spans="1:24" x14ac:dyDescent="0.25">
      <c r="A1430" s="49">
        <v>220220005821</v>
      </c>
      <c r="B1430" s="50" t="s">
        <v>9</v>
      </c>
      <c r="C1430" s="57">
        <v>44615</v>
      </c>
      <c r="D1430" s="49">
        <v>22022001933</v>
      </c>
      <c r="E1430" s="50" t="s">
        <v>1829</v>
      </c>
      <c r="F1430" s="58">
        <v>16000</v>
      </c>
      <c r="G1430" s="50" t="s">
        <v>184</v>
      </c>
      <c r="H1430" s="50" t="s">
        <v>2826</v>
      </c>
      <c r="I1430" s="49" t="s">
        <v>107</v>
      </c>
      <c r="J1430" s="50" t="s">
        <v>109</v>
      </c>
      <c r="K1430" s="50" t="s">
        <v>109</v>
      </c>
      <c r="L1430" s="50" t="s">
        <v>15</v>
      </c>
      <c r="M1430" s="50" t="s">
        <v>10</v>
      </c>
      <c r="N1430" s="50" t="s">
        <v>11</v>
      </c>
      <c r="O1430" s="48" t="s">
        <v>632</v>
      </c>
      <c r="P1430" s="45" t="s">
        <v>453</v>
      </c>
      <c r="Q1430" s="35" t="str">
        <f>MID(Tabla1[[#This Row],[Aplicación]],14,1)</f>
        <v>2</v>
      </c>
      <c r="R1430" s="35" t="s">
        <v>441</v>
      </c>
      <c r="S1430" s="35" t="str">
        <f>MID(Tabla1[[#This Row],[Aplicación]],6,2)</f>
        <v>04</v>
      </c>
      <c r="T1430" s="35" t="str">
        <f>VLOOKUP(Tabla1[[#This Row],[AREA]],Hoja1!A:B,2,FALSE)</f>
        <v>04. Planificación y recursos</v>
      </c>
      <c r="U1430" s="35" t="str">
        <f>MID(Tabla1[[#This Row],[Aplicación]],9,4)</f>
        <v>3121</v>
      </c>
      <c r="V1430" s="35" t="str">
        <f>VLOOKUP(Tabla1[[#This Row],[PROGRAMA]],Hoja1!A:B,2,FALSE)</f>
        <v>3121. Prevención y salud laboral</v>
      </c>
      <c r="W1430" s="35" t="str">
        <f>MID(Tabla1[[#This Row],[Aplicación]],14,2)</f>
        <v>22</v>
      </c>
      <c r="X1430" s="35" t="str">
        <f>MID(Tabla1[[#This Row],[Aplicación]],14,6)</f>
        <v>22106</v>
      </c>
    </row>
    <row r="1431" spans="1:24" x14ac:dyDescent="0.25">
      <c r="A1431" s="49">
        <v>220220004200</v>
      </c>
      <c r="B1431" s="50" t="s">
        <v>172</v>
      </c>
      <c r="C1431" s="57">
        <v>44610</v>
      </c>
      <c r="D1431" s="49">
        <v>22022000030</v>
      </c>
      <c r="E1431" s="50" t="s">
        <v>2007</v>
      </c>
      <c r="F1431" s="58">
        <v>1532.88</v>
      </c>
      <c r="G1431" s="50" t="s">
        <v>230</v>
      </c>
      <c r="H1431" s="50" t="s">
        <v>2827</v>
      </c>
      <c r="I1431" s="49" t="s">
        <v>173</v>
      </c>
      <c r="J1431" s="50" t="s">
        <v>109</v>
      </c>
      <c r="K1431" s="50" t="s">
        <v>109</v>
      </c>
      <c r="L1431" s="50" t="s">
        <v>15</v>
      </c>
      <c r="M1431" s="50" t="s">
        <v>13</v>
      </c>
      <c r="N1431" s="50" t="s">
        <v>14</v>
      </c>
      <c r="O1431" s="48" t="s">
        <v>631</v>
      </c>
      <c r="P1431" s="45" t="s">
        <v>453</v>
      </c>
      <c r="Q1431" s="35" t="str">
        <f>MID(Tabla1[[#This Row],[Aplicación]],14,1)</f>
        <v>2</v>
      </c>
      <c r="R1431" s="35" t="s">
        <v>441</v>
      </c>
      <c r="S1431" s="35" t="str">
        <f>MID(Tabla1[[#This Row],[Aplicación]],6,2)</f>
        <v>11</v>
      </c>
      <c r="T1431" s="35" t="str">
        <f>VLOOKUP(Tabla1[[#This Row],[AREA]],Hoja1!A:B,2,FALSE)</f>
        <v>11. Salud pública y seguridad ciudadana</v>
      </c>
      <c r="U1431" s="35" t="str">
        <f>MID(Tabla1[[#This Row],[Aplicación]],9,4)</f>
        <v>1621</v>
      </c>
      <c r="V1431" s="35" t="str">
        <f>VLOOKUP(Tabla1[[#This Row],[PROGRAMA]],Hoja1!A:B,2,FALSE)</f>
        <v>1621. Servicio de limpieza</v>
      </c>
      <c r="W1431" s="35" t="str">
        <f>MID(Tabla1[[#This Row],[Aplicación]],14,2)</f>
        <v>22</v>
      </c>
      <c r="X1431" s="35" t="str">
        <f>MID(Tabla1[[#This Row],[Aplicación]],14,6)</f>
        <v>22199</v>
      </c>
    </row>
    <row r="1432" spans="1:24" x14ac:dyDescent="0.25">
      <c r="A1432" s="49">
        <v>220220004229</v>
      </c>
      <c r="B1432" s="50" t="s">
        <v>172</v>
      </c>
      <c r="C1432" s="57">
        <v>44610</v>
      </c>
      <c r="D1432" s="49">
        <v>22022000044</v>
      </c>
      <c r="E1432" s="50" t="s">
        <v>1619</v>
      </c>
      <c r="F1432" s="58">
        <v>819.29</v>
      </c>
      <c r="G1432" s="50" t="s">
        <v>230</v>
      </c>
      <c r="H1432" s="50" t="s">
        <v>2828</v>
      </c>
      <c r="I1432" s="49" t="s">
        <v>173</v>
      </c>
      <c r="J1432" s="50" t="s">
        <v>109</v>
      </c>
      <c r="K1432" s="50" t="s">
        <v>109</v>
      </c>
      <c r="L1432" s="50" t="s">
        <v>15</v>
      </c>
      <c r="M1432" s="50" t="s">
        <v>13</v>
      </c>
      <c r="N1432" s="50" t="s">
        <v>14</v>
      </c>
      <c r="O1432" s="48" t="s">
        <v>631</v>
      </c>
      <c r="P1432" s="45" t="s">
        <v>453</v>
      </c>
      <c r="Q1432" s="35" t="str">
        <f>MID(Tabla1[[#This Row],[Aplicación]],14,1)</f>
        <v>2</v>
      </c>
      <c r="R1432" s="35" t="s">
        <v>441</v>
      </c>
      <c r="S1432" s="35" t="str">
        <f>MID(Tabla1[[#This Row],[Aplicación]],6,2)</f>
        <v>11</v>
      </c>
      <c r="T1432" s="35" t="str">
        <f>VLOOKUP(Tabla1[[#This Row],[AREA]],Hoja1!A:B,2,FALSE)</f>
        <v>11. Salud pública y seguridad ciudadana</v>
      </c>
      <c r="U1432" s="35" t="str">
        <f>MID(Tabla1[[#This Row],[Aplicación]],9,4)</f>
        <v>1631</v>
      </c>
      <c r="V1432" s="35" t="str">
        <f>VLOOKUP(Tabla1[[#This Row],[PROGRAMA]],Hoja1!A:B,2,FALSE)</f>
        <v>1631. Limpieza viaria</v>
      </c>
      <c r="W1432" s="35" t="str">
        <f>MID(Tabla1[[#This Row],[Aplicación]],14,2)</f>
        <v>22</v>
      </c>
      <c r="X1432" s="35" t="str">
        <f>MID(Tabla1[[#This Row],[Aplicación]],14,6)</f>
        <v>22110</v>
      </c>
    </row>
    <row r="1433" spans="1:24" x14ac:dyDescent="0.25">
      <c r="A1433" s="49">
        <v>220220004073</v>
      </c>
      <c r="B1433" s="50" t="s">
        <v>172</v>
      </c>
      <c r="C1433" s="57">
        <v>44610</v>
      </c>
      <c r="D1433" s="49">
        <v>22022000030</v>
      </c>
      <c r="E1433" s="50" t="s">
        <v>2007</v>
      </c>
      <c r="F1433" s="58">
        <v>522.73</v>
      </c>
      <c r="G1433" s="50" t="s">
        <v>230</v>
      </c>
      <c r="H1433" s="50" t="s">
        <v>2829</v>
      </c>
      <c r="I1433" s="49" t="s">
        <v>173</v>
      </c>
      <c r="J1433" s="50" t="s">
        <v>109</v>
      </c>
      <c r="K1433" s="50" t="s">
        <v>109</v>
      </c>
      <c r="L1433" s="50" t="s">
        <v>15</v>
      </c>
      <c r="M1433" s="50" t="s">
        <v>13</v>
      </c>
      <c r="N1433" s="50" t="s">
        <v>14</v>
      </c>
      <c r="O1433" s="48" t="s">
        <v>631</v>
      </c>
      <c r="P1433" s="45" t="s">
        <v>453</v>
      </c>
      <c r="Q1433" s="35" t="str">
        <f>MID(Tabla1[[#This Row],[Aplicación]],14,1)</f>
        <v>2</v>
      </c>
      <c r="R1433" s="35" t="s">
        <v>441</v>
      </c>
      <c r="S1433" s="35" t="str">
        <f>MID(Tabla1[[#This Row],[Aplicación]],6,2)</f>
        <v>11</v>
      </c>
      <c r="T1433" s="35" t="str">
        <f>VLOOKUP(Tabla1[[#This Row],[AREA]],Hoja1!A:B,2,FALSE)</f>
        <v>11. Salud pública y seguridad ciudadana</v>
      </c>
      <c r="U1433" s="35" t="str">
        <f>MID(Tabla1[[#This Row],[Aplicación]],9,4)</f>
        <v>1621</v>
      </c>
      <c r="V1433" s="35" t="str">
        <f>VLOOKUP(Tabla1[[#This Row],[PROGRAMA]],Hoja1!A:B,2,FALSE)</f>
        <v>1621. Servicio de limpieza</v>
      </c>
      <c r="W1433" s="35" t="str">
        <f>MID(Tabla1[[#This Row],[Aplicación]],14,2)</f>
        <v>22</v>
      </c>
      <c r="X1433" s="35" t="str">
        <f>MID(Tabla1[[#This Row],[Aplicación]],14,6)</f>
        <v>22199</v>
      </c>
    </row>
    <row r="1434" spans="1:24" x14ac:dyDescent="0.25">
      <c r="A1434" s="49">
        <v>220220009562</v>
      </c>
      <c r="B1434" s="50" t="s">
        <v>172</v>
      </c>
      <c r="C1434" s="57">
        <v>44636</v>
      </c>
      <c r="D1434" s="49">
        <v>22022000030</v>
      </c>
      <c r="E1434" s="50" t="s">
        <v>2007</v>
      </c>
      <c r="F1434" s="58">
        <v>193.93</v>
      </c>
      <c r="G1434" s="50" t="s">
        <v>230</v>
      </c>
      <c r="H1434" s="50" t="s">
        <v>2830</v>
      </c>
      <c r="I1434" s="49" t="s">
        <v>173</v>
      </c>
      <c r="J1434" s="50" t="s">
        <v>109</v>
      </c>
      <c r="K1434" s="50" t="s">
        <v>109</v>
      </c>
      <c r="L1434" s="50" t="s">
        <v>15</v>
      </c>
      <c r="M1434" s="50" t="s">
        <v>13</v>
      </c>
      <c r="N1434" s="50" t="s">
        <v>14</v>
      </c>
      <c r="O1434" s="48" t="s">
        <v>631</v>
      </c>
      <c r="P1434" s="45" t="s">
        <v>453</v>
      </c>
      <c r="Q1434" s="35" t="str">
        <f>MID(Tabla1[[#This Row],[Aplicación]],14,1)</f>
        <v>2</v>
      </c>
      <c r="R1434" s="35" t="s">
        <v>441</v>
      </c>
      <c r="S1434" s="35" t="str">
        <f>MID(Tabla1[[#This Row],[Aplicación]],6,2)</f>
        <v>11</v>
      </c>
      <c r="T1434" s="35" t="str">
        <f>VLOOKUP(Tabla1[[#This Row],[AREA]],Hoja1!A:B,2,FALSE)</f>
        <v>11. Salud pública y seguridad ciudadana</v>
      </c>
      <c r="U1434" s="35" t="str">
        <f>MID(Tabla1[[#This Row],[Aplicación]],9,4)</f>
        <v>1621</v>
      </c>
      <c r="V1434" s="35" t="str">
        <f>VLOOKUP(Tabla1[[#This Row],[PROGRAMA]],Hoja1!A:B,2,FALSE)</f>
        <v>1621. Servicio de limpieza</v>
      </c>
      <c r="W1434" s="35" t="str">
        <f>MID(Tabla1[[#This Row],[Aplicación]],14,2)</f>
        <v>22</v>
      </c>
      <c r="X1434" s="35" t="str">
        <f>MID(Tabla1[[#This Row],[Aplicación]],14,6)</f>
        <v>22199</v>
      </c>
    </row>
    <row r="1435" spans="1:24" x14ac:dyDescent="0.25">
      <c r="A1435" s="49">
        <v>220220013199</v>
      </c>
      <c r="B1435" s="50" t="s">
        <v>172</v>
      </c>
      <c r="C1435" s="57">
        <v>44650</v>
      </c>
      <c r="D1435" s="49">
        <v>22022001623</v>
      </c>
      <c r="E1435" s="50" t="s">
        <v>1606</v>
      </c>
      <c r="F1435" s="58">
        <v>131.74</v>
      </c>
      <c r="G1435" s="50" t="s">
        <v>230</v>
      </c>
      <c r="H1435" s="50" t="s">
        <v>2831</v>
      </c>
      <c r="I1435" s="49" t="s">
        <v>173</v>
      </c>
      <c r="J1435" s="50" t="s">
        <v>109</v>
      </c>
      <c r="K1435" s="50" t="s">
        <v>109</v>
      </c>
      <c r="L1435" s="50" t="s">
        <v>15</v>
      </c>
      <c r="M1435" s="50" t="s">
        <v>13</v>
      </c>
      <c r="N1435" s="50" t="s">
        <v>14</v>
      </c>
      <c r="O1435" s="48" t="s">
        <v>631</v>
      </c>
      <c r="P1435" s="45" t="s">
        <v>453</v>
      </c>
      <c r="Q1435" s="35" t="str">
        <f>MID(Tabla1[[#This Row],[Aplicación]],14,1)</f>
        <v>2</v>
      </c>
      <c r="R1435" s="35" t="s">
        <v>441</v>
      </c>
      <c r="S1435" s="35" t="str">
        <f>MID(Tabla1[[#This Row],[Aplicación]],6,2)</f>
        <v>11</v>
      </c>
      <c r="T1435" s="35" t="str">
        <f>VLOOKUP(Tabla1[[#This Row],[AREA]],Hoja1!A:B,2,FALSE)</f>
        <v>11. Salud pública y seguridad ciudadana</v>
      </c>
      <c r="U1435" s="35" t="str">
        <f>MID(Tabla1[[#This Row],[Aplicación]],9,4)</f>
        <v>1361</v>
      </c>
      <c r="V1435" s="35" t="str">
        <f>VLOOKUP(Tabla1[[#This Row],[PROGRAMA]],Hoja1!A:B,2,FALSE)</f>
        <v>1361. Prevención y extinción de incencios</v>
      </c>
      <c r="W1435" s="35" t="str">
        <f>MID(Tabla1[[#This Row],[Aplicación]],14,2)</f>
        <v>22</v>
      </c>
      <c r="X1435" s="35" t="str">
        <f>MID(Tabla1[[#This Row],[Aplicación]],14,6)</f>
        <v>22199</v>
      </c>
    </row>
    <row r="1436" spans="1:24" x14ac:dyDescent="0.25">
      <c r="A1436" s="49">
        <v>220220004087</v>
      </c>
      <c r="B1436" s="50" t="s">
        <v>172</v>
      </c>
      <c r="C1436" s="57">
        <v>44610</v>
      </c>
      <c r="D1436" s="49">
        <v>22022000045</v>
      </c>
      <c r="E1436" s="50" t="s">
        <v>2018</v>
      </c>
      <c r="F1436" s="58">
        <v>25.82</v>
      </c>
      <c r="G1436" s="50" t="s">
        <v>230</v>
      </c>
      <c r="H1436" s="50" t="s">
        <v>2832</v>
      </c>
      <c r="I1436" s="49" t="s">
        <v>173</v>
      </c>
      <c r="J1436" s="50" t="s">
        <v>109</v>
      </c>
      <c r="K1436" s="50" t="s">
        <v>109</v>
      </c>
      <c r="L1436" s="50" t="s">
        <v>15</v>
      </c>
      <c r="M1436" s="50" t="s">
        <v>13</v>
      </c>
      <c r="N1436" s="50" t="s">
        <v>14</v>
      </c>
      <c r="O1436" s="48" t="s">
        <v>631</v>
      </c>
      <c r="P1436" s="45" t="s">
        <v>453</v>
      </c>
      <c r="Q1436" s="35" t="str">
        <f>MID(Tabla1[[#This Row],[Aplicación]],14,1)</f>
        <v>2</v>
      </c>
      <c r="R1436" s="35" t="s">
        <v>441</v>
      </c>
      <c r="S1436" s="35" t="str">
        <f>MID(Tabla1[[#This Row],[Aplicación]],6,2)</f>
        <v>11</v>
      </c>
      <c r="T1436" s="35" t="str">
        <f>VLOOKUP(Tabla1[[#This Row],[AREA]],Hoja1!A:B,2,FALSE)</f>
        <v>11. Salud pública y seguridad ciudadana</v>
      </c>
      <c r="U1436" s="35" t="str">
        <f>MID(Tabla1[[#This Row],[Aplicación]],9,4)</f>
        <v>1631</v>
      </c>
      <c r="V1436" s="35" t="str">
        <f>VLOOKUP(Tabla1[[#This Row],[PROGRAMA]],Hoja1!A:B,2,FALSE)</f>
        <v>1631. Limpieza viaria</v>
      </c>
      <c r="W1436" s="35" t="str">
        <f>MID(Tabla1[[#This Row],[Aplicación]],14,2)</f>
        <v>22</v>
      </c>
      <c r="X1436" s="35" t="str">
        <f>MID(Tabla1[[#This Row],[Aplicación]],14,6)</f>
        <v>22199</v>
      </c>
    </row>
    <row r="1437" spans="1:24" x14ac:dyDescent="0.25">
      <c r="A1437" s="49">
        <v>220220005611</v>
      </c>
      <c r="B1437" s="50" t="s">
        <v>172</v>
      </c>
      <c r="C1437" s="57">
        <v>44614</v>
      </c>
      <c r="D1437" s="49">
        <v>22022001593</v>
      </c>
      <c r="E1437" s="50" t="s">
        <v>1581</v>
      </c>
      <c r="F1437" s="58">
        <v>24.39</v>
      </c>
      <c r="G1437" s="50" t="s">
        <v>230</v>
      </c>
      <c r="H1437" s="50" t="s">
        <v>688</v>
      </c>
      <c r="I1437" s="49" t="s">
        <v>173</v>
      </c>
      <c r="J1437" s="50" t="s">
        <v>109</v>
      </c>
      <c r="K1437" s="50" t="s">
        <v>109</v>
      </c>
      <c r="L1437" s="50" t="s">
        <v>15</v>
      </c>
      <c r="M1437" s="50" t="s">
        <v>13</v>
      </c>
      <c r="N1437" s="50" t="s">
        <v>14</v>
      </c>
      <c r="O1437" s="48" t="s">
        <v>631</v>
      </c>
      <c r="P1437" s="45" t="s">
        <v>453</v>
      </c>
      <c r="Q1437" s="35" t="str">
        <f>MID(Tabla1[[#This Row],[Aplicación]],14,1)</f>
        <v>2</v>
      </c>
      <c r="R1437" s="35" t="s">
        <v>441</v>
      </c>
      <c r="S1437" s="35" t="str">
        <f>MID(Tabla1[[#This Row],[Aplicación]],6,2)</f>
        <v>07</v>
      </c>
      <c r="T1437" s="35" t="str">
        <f>VLOOKUP(Tabla1[[#This Row],[AREA]],Hoja1!A:B,2,FALSE)</f>
        <v>07. Medio ambiente y desarrollo sostenible</v>
      </c>
      <c r="U1437" s="35" t="str">
        <f>MID(Tabla1[[#This Row],[Aplicación]],9,4)</f>
        <v>1711</v>
      </c>
      <c r="V1437" s="35" t="str">
        <f>VLOOKUP(Tabla1[[#This Row],[PROGRAMA]],Hoja1!A:B,2,FALSE)</f>
        <v>1711. Parques y jardines</v>
      </c>
      <c r="W1437" s="35" t="str">
        <f>MID(Tabla1[[#This Row],[Aplicación]],14,2)</f>
        <v>22</v>
      </c>
      <c r="X1437" s="35" t="str">
        <f>MID(Tabla1[[#This Row],[Aplicación]],14,6)</f>
        <v>22199</v>
      </c>
    </row>
    <row r="1438" spans="1:24" x14ac:dyDescent="0.25">
      <c r="A1438" s="49">
        <v>220220008670</v>
      </c>
      <c r="B1438" s="50" t="s">
        <v>172</v>
      </c>
      <c r="C1438" s="57">
        <v>44634</v>
      </c>
      <c r="D1438" s="49">
        <v>22022001456</v>
      </c>
      <c r="E1438" s="50" t="s">
        <v>2012</v>
      </c>
      <c r="F1438" s="58">
        <v>12.1</v>
      </c>
      <c r="G1438" s="50" t="s">
        <v>230</v>
      </c>
      <c r="H1438" s="50" t="s">
        <v>2833</v>
      </c>
      <c r="I1438" s="49" t="s">
        <v>173</v>
      </c>
      <c r="J1438" s="50" t="s">
        <v>109</v>
      </c>
      <c r="K1438" s="50" t="s">
        <v>109</v>
      </c>
      <c r="L1438" s="50" t="s">
        <v>15</v>
      </c>
      <c r="M1438" s="50" t="s">
        <v>13</v>
      </c>
      <c r="N1438" s="50" t="s">
        <v>14</v>
      </c>
      <c r="O1438" s="48" t="s">
        <v>631</v>
      </c>
      <c r="P1438" s="45" t="s">
        <v>453</v>
      </c>
      <c r="Q1438" s="35" t="str">
        <f>MID(Tabla1[[#This Row],[Aplicación]],14,1)</f>
        <v>2</v>
      </c>
      <c r="R1438" s="35" t="s">
        <v>441</v>
      </c>
      <c r="S1438" s="35" t="str">
        <f>MID(Tabla1[[#This Row],[Aplicación]],6,2)</f>
        <v>11</v>
      </c>
      <c r="T1438" s="35" t="str">
        <f>VLOOKUP(Tabla1[[#This Row],[AREA]],Hoja1!A:B,2,FALSE)</f>
        <v>11. Salud pública y seguridad ciudadana</v>
      </c>
      <c r="U1438" s="35" t="str">
        <f>MID(Tabla1[[#This Row],[Aplicación]],9,4)</f>
        <v>1321</v>
      </c>
      <c r="V1438" s="35" t="str">
        <f>VLOOKUP(Tabla1[[#This Row],[PROGRAMA]],Hoja1!A:B,2,FALSE)</f>
        <v>1321. Policía municipal</v>
      </c>
      <c r="W1438" s="35" t="str">
        <f>MID(Tabla1[[#This Row],[Aplicación]],14,2)</f>
        <v>22</v>
      </c>
      <c r="X1438" s="35" t="str">
        <f>MID(Tabla1[[#This Row],[Aplicación]],14,6)</f>
        <v>22199</v>
      </c>
    </row>
    <row r="1439" spans="1:24" x14ac:dyDescent="0.25">
      <c r="A1439" s="49">
        <v>220209000711</v>
      </c>
      <c r="B1439" s="50" t="s">
        <v>9</v>
      </c>
      <c r="C1439" s="57">
        <v>44562</v>
      </c>
      <c r="D1439" s="49">
        <v>22022000252</v>
      </c>
      <c r="E1439" s="50" t="s">
        <v>2738</v>
      </c>
      <c r="F1439" s="58">
        <v>15001.5</v>
      </c>
      <c r="G1439" s="50" t="s">
        <v>46</v>
      </c>
      <c r="H1439" s="50" t="s">
        <v>878</v>
      </c>
      <c r="I1439" s="49" t="s">
        <v>107</v>
      </c>
      <c r="J1439" s="50" t="s">
        <v>109</v>
      </c>
      <c r="K1439" s="50" t="s">
        <v>109</v>
      </c>
      <c r="L1439" s="50" t="s">
        <v>12</v>
      </c>
      <c r="M1439" s="50" t="s">
        <v>13</v>
      </c>
      <c r="N1439" s="50" t="s">
        <v>14</v>
      </c>
      <c r="O1439" s="48" t="s">
        <v>620</v>
      </c>
      <c r="P1439" s="45" t="s">
        <v>453</v>
      </c>
      <c r="Q1439" s="35" t="str">
        <f>MID(Tabla1[[#This Row],[Aplicación]],14,1)</f>
        <v>2</v>
      </c>
      <c r="R1439" s="35" t="s">
        <v>441</v>
      </c>
      <c r="S1439" s="35" t="str">
        <f>MID(Tabla1[[#This Row],[Aplicación]],6,2)</f>
        <v>10</v>
      </c>
      <c r="T1439" s="35" t="str">
        <f>VLOOKUP(Tabla1[[#This Row],[AREA]],Hoja1!A:B,2,FALSE)</f>
        <v>10. Servicios sociales y mediación comunitaria</v>
      </c>
      <c r="U1439" s="35" t="str">
        <f>MID(Tabla1[[#This Row],[Aplicación]],9,4)</f>
        <v>2412</v>
      </c>
      <c r="V1439" s="35" t="str">
        <f>VLOOKUP(Tabla1[[#This Row],[PROGRAMA]],Hoja1!A:B,2,FALSE)</f>
        <v>2412. Formación para el empleo</v>
      </c>
      <c r="W1439" s="35" t="str">
        <f>MID(Tabla1[[#This Row],[Aplicación]],14,2)</f>
        <v>22</v>
      </c>
      <c r="X1439" s="35" t="str">
        <f>MID(Tabla1[[#This Row],[Aplicación]],14,6)</f>
        <v>22799</v>
      </c>
    </row>
    <row r="1440" spans="1:24" x14ac:dyDescent="0.25">
      <c r="A1440" s="49">
        <v>220220010678</v>
      </c>
      <c r="B1440" s="50" t="s">
        <v>9</v>
      </c>
      <c r="C1440" s="57">
        <v>44642</v>
      </c>
      <c r="D1440" s="49">
        <v>22022002558</v>
      </c>
      <c r="E1440" s="50" t="s">
        <v>1780</v>
      </c>
      <c r="F1440" s="58">
        <v>15000</v>
      </c>
      <c r="G1440" s="50" t="s">
        <v>1013</v>
      </c>
      <c r="H1440" s="50" t="s">
        <v>2834</v>
      </c>
      <c r="I1440" s="49" t="s">
        <v>107</v>
      </c>
      <c r="J1440" s="50" t="s">
        <v>109</v>
      </c>
      <c r="K1440" s="50" t="s">
        <v>154</v>
      </c>
      <c r="L1440" s="50" t="s">
        <v>12</v>
      </c>
      <c r="M1440" s="50" t="s">
        <v>10</v>
      </c>
      <c r="N1440" s="50" t="s">
        <v>11</v>
      </c>
      <c r="O1440" s="48" t="s">
        <v>632</v>
      </c>
      <c r="P1440" s="45" t="s">
        <v>453</v>
      </c>
      <c r="Q1440" s="35" t="str">
        <f>MID(Tabla1[[#This Row],[Aplicación]],14,1)</f>
        <v>2</v>
      </c>
      <c r="R1440" s="35" t="s">
        <v>441</v>
      </c>
      <c r="S1440" s="35" t="str">
        <f>MID(Tabla1[[#This Row],[Aplicación]],6,2)</f>
        <v>10</v>
      </c>
      <c r="T1440" s="35" t="str">
        <f>VLOOKUP(Tabla1[[#This Row],[AREA]],Hoja1!A:B,2,FALSE)</f>
        <v>10. Servicios sociales y mediación comunitaria</v>
      </c>
      <c r="U1440" s="35" t="str">
        <f>MID(Tabla1[[#This Row],[Aplicación]],9,4)</f>
        <v>2316</v>
      </c>
      <c r="V1440" s="35" t="str">
        <f>VLOOKUP(Tabla1[[#This Row],[PROGRAMA]],Hoja1!A:B,2,FALSE)</f>
        <v>2316. Mediación comunitaria</v>
      </c>
      <c r="W1440" s="35" t="str">
        <f>MID(Tabla1[[#This Row],[Aplicación]],14,2)</f>
        <v>22</v>
      </c>
      <c r="X1440" s="35" t="str">
        <f>MID(Tabla1[[#This Row],[Aplicación]],14,6)</f>
        <v>22799</v>
      </c>
    </row>
    <row r="1441" spans="1:24" x14ac:dyDescent="0.25">
      <c r="A1441" s="49">
        <v>220219001207</v>
      </c>
      <c r="B1441" s="50" t="s">
        <v>9</v>
      </c>
      <c r="C1441" s="57">
        <v>44562</v>
      </c>
      <c r="D1441" s="49">
        <v>22022001834</v>
      </c>
      <c r="E1441" s="50" t="s">
        <v>1659</v>
      </c>
      <c r="F1441" s="58">
        <v>15000</v>
      </c>
      <c r="G1441" s="50" t="s">
        <v>101</v>
      </c>
      <c r="H1441" s="50" t="s">
        <v>2835</v>
      </c>
      <c r="I1441" s="49" t="s">
        <v>107</v>
      </c>
      <c r="J1441" s="50" t="s">
        <v>109</v>
      </c>
      <c r="K1441" s="50" t="s">
        <v>109</v>
      </c>
      <c r="L1441" s="50" t="s">
        <v>12</v>
      </c>
      <c r="M1441" s="50" t="s">
        <v>13</v>
      </c>
      <c r="N1441" s="50" t="s">
        <v>14</v>
      </c>
      <c r="O1441" s="48" t="s">
        <v>620</v>
      </c>
      <c r="P1441" s="45" t="s">
        <v>453</v>
      </c>
      <c r="Q1441" s="35" t="str">
        <f>MID(Tabla1[[#This Row],[Aplicación]],14,1)</f>
        <v>2</v>
      </c>
      <c r="R1441" s="35" t="s">
        <v>441</v>
      </c>
      <c r="S1441" s="35" t="str">
        <f>MID(Tabla1[[#This Row],[Aplicación]],6,2)</f>
        <v>05</v>
      </c>
      <c r="T1441" s="35" t="str">
        <f>VLOOKUP(Tabla1[[#This Row],[AREA]],Hoja1!A:B,2,FALSE)</f>
        <v>05. Innovación, desarrollo económico, empleo y comercio</v>
      </c>
      <c r="U1441" s="35" t="str">
        <f>MID(Tabla1[[#This Row],[Aplicación]],9,4)</f>
        <v>4331</v>
      </c>
      <c r="V1441" s="35" t="str">
        <f>VLOOKUP(Tabla1[[#This Row],[PROGRAMA]],Hoja1!A:B,2,FALSE)</f>
        <v>4331. Desarrollo empresarial</v>
      </c>
      <c r="W1441" s="35" t="str">
        <f>MID(Tabla1[[#This Row],[Aplicación]],14,2)</f>
        <v>22</v>
      </c>
      <c r="X1441" s="35" t="str">
        <f>MID(Tabla1[[#This Row],[Aplicación]],14,6)</f>
        <v>22799</v>
      </c>
    </row>
    <row r="1442" spans="1:24" x14ac:dyDescent="0.25">
      <c r="A1442" s="49">
        <v>220219000182</v>
      </c>
      <c r="B1442" s="50" t="s">
        <v>9</v>
      </c>
      <c r="C1442" s="57">
        <v>44562</v>
      </c>
      <c r="D1442" s="49">
        <v>22022000039</v>
      </c>
      <c r="E1442" s="50" t="s">
        <v>1397</v>
      </c>
      <c r="F1442" s="58">
        <v>14899.94</v>
      </c>
      <c r="G1442" s="50" t="s">
        <v>818</v>
      </c>
      <c r="H1442" s="50" t="s">
        <v>2836</v>
      </c>
      <c r="I1442" s="49" t="s">
        <v>107</v>
      </c>
      <c r="J1442" s="50" t="s">
        <v>109</v>
      </c>
      <c r="K1442" s="50" t="s">
        <v>109</v>
      </c>
      <c r="L1442" s="50" t="s">
        <v>12</v>
      </c>
      <c r="M1442" s="50" t="s">
        <v>13</v>
      </c>
      <c r="N1442" s="50" t="s">
        <v>14</v>
      </c>
      <c r="O1442" s="48" t="s">
        <v>620</v>
      </c>
      <c r="P1442" s="45" t="s">
        <v>453</v>
      </c>
      <c r="Q1442" s="35" t="str">
        <f>MID(Tabla1[[#This Row],[Aplicación]],14,1)</f>
        <v>2</v>
      </c>
      <c r="R1442" s="35" t="s">
        <v>441</v>
      </c>
      <c r="S1442" s="35" t="str">
        <f>MID(Tabla1[[#This Row],[Aplicación]],6,2)</f>
        <v>10</v>
      </c>
      <c r="T1442" s="35" t="str">
        <f>VLOOKUP(Tabla1[[#This Row],[AREA]],Hoja1!A:B,2,FALSE)</f>
        <v>10. Servicios sociales y mediación comunitaria</v>
      </c>
      <c r="U1442" s="35" t="str">
        <f>MID(Tabla1[[#This Row],[Aplicación]],9,4)</f>
        <v>2312</v>
      </c>
      <c r="V1442" s="35" t="str">
        <f>VLOOKUP(Tabla1[[#This Row],[PROGRAMA]],Hoja1!A:B,2,FALSE)</f>
        <v>2312. Iniciativas sociales</v>
      </c>
      <c r="W1442" s="35" t="str">
        <f>MID(Tabla1[[#This Row],[Aplicación]],14,2)</f>
        <v>22</v>
      </c>
      <c r="X1442" s="35" t="str">
        <f>MID(Tabla1[[#This Row],[Aplicación]],14,6)</f>
        <v>22799</v>
      </c>
    </row>
    <row r="1443" spans="1:24" x14ac:dyDescent="0.25">
      <c r="A1443" s="49">
        <v>220219000531</v>
      </c>
      <c r="B1443" s="50" t="s">
        <v>9</v>
      </c>
      <c r="C1443" s="57">
        <v>44562</v>
      </c>
      <c r="D1443" s="49">
        <v>22022000078</v>
      </c>
      <c r="E1443" s="50" t="s">
        <v>1408</v>
      </c>
      <c r="F1443" s="58">
        <v>1996.5</v>
      </c>
      <c r="G1443" s="50" t="s">
        <v>1056</v>
      </c>
      <c r="H1443" s="50" t="s">
        <v>2837</v>
      </c>
      <c r="I1443" s="49" t="s">
        <v>107</v>
      </c>
      <c r="J1443" s="50" t="s">
        <v>151</v>
      </c>
      <c r="K1443" s="50" t="s">
        <v>151</v>
      </c>
      <c r="L1443" s="50" t="s">
        <v>15</v>
      </c>
      <c r="M1443" s="50" t="s">
        <v>13</v>
      </c>
      <c r="N1443" s="50" t="s">
        <v>14</v>
      </c>
      <c r="O1443" s="48" t="s">
        <v>620</v>
      </c>
      <c r="P1443" s="45" t="s">
        <v>453</v>
      </c>
      <c r="Q1443" s="35" t="str">
        <f>MID(Tabla1[[#This Row],[Aplicación]],14,1)</f>
        <v>2</v>
      </c>
      <c r="R1443" s="35" t="s">
        <v>441</v>
      </c>
      <c r="S1443" s="35" t="str">
        <f>MID(Tabla1[[#This Row],[Aplicación]],6,2)</f>
        <v>04</v>
      </c>
      <c r="T1443" s="35" t="str">
        <f>VLOOKUP(Tabla1[[#This Row],[AREA]],Hoja1!A:B,2,FALSE)</f>
        <v>04. Planificación y recursos</v>
      </c>
      <c r="U1443" s="35" t="str">
        <f>MID(Tabla1[[#This Row],[Aplicación]],9,4)</f>
        <v>9204</v>
      </c>
      <c r="V1443" s="35" t="str">
        <f>VLOOKUP(Tabla1[[#This Row],[PROGRAMA]],Hoja1!A:B,2,FALSE)</f>
        <v>9204. Tecnologías de la información y comunicación</v>
      </c>
      <c r="W1443" s="35" t="str">
        <f>MID(Tabla1[[#This Row],[Aplicación]],14,2)</f>
        <v>21</v>
      </c>
      <c r="X1443" s="35" t="str">
        <f>MID(Tabla1[[#This Row],[Aplicación]],14,6)</f>
        <v>216</v>
      </c>
    </row>
    <row r="1444" spans="1:24" x14ac:dyDescent="0.25">
      <c r="A1444" s="49">
        <v>220219000059</v>
      </c>
      <c r="B1444" s="50" t="s">
        <v>9</v>
      </c>
      <c r="C1444" s="57">
        <v>44562</v>
      </c>
      <c r="D1444" s="49">
        <v>22022000370</v>
      </c>
      <c r="E1444" s="50" t="s">
        <v>1780</v>
      </c>
      <c r="F1444" s="58">
        <v>14418.5</v>
      </c>
      <c r="G1444" s="50" t="s">
        <v>735</v>
      </c>
      <c r="H1444" s="50" t="s">
        <v>2838</v>
      </c>
      <c r="I1444" s="49" t="s">
        <v>107</v>
      </c>
      <c r="J1444" s="50" t="s">
        <v>108</v>
      </c>
      <c r="K1444" s="50" t="s">
        <v>108</v>
      </c>
      <c r="L1444" s="50" t="s">
        <v>12</v>
      </c>
      <c r="M1444" s="50" t="s">
        <v>13</v>
      </c>
      <c r="N1444" s="50" t="s">
        <v>14</v>
      </c>
      <c r="O1444" s="48" t="s">
        <v>620</v>
      </c>
      <c r="P1444" s="45" t="s">
        <v>453</v>
      </c>
      <c r="Q1444" s="35" t="str">
        <f>MID(Tabla1[[#This Row],[Aplicación]],14,1)</f>
        <v>2</v>
      </c>
      <c r="R1444" s="35" t="s">
        <v>441</v>
      </c>
      <c r="S1444" s="35" t="str">
        <f>MID(Tabla1[[#This Row],[Aplicación]],6,2)</f>
        <v>10</v>
      </c>
      <c r="T1444" s="35" t="str">
        <f>VLOOKUP(Tabla1[[#This Row],[AREA]],Hoja1!A:B,2,FALSE)</f>
        <v>10. Servicios sociales y mediación comunitaria</v>
      </c>
      <c r="U1444" s="35" t="str">
        <f>MID(Tabla1[[#This Row],[Aplicación]],9,4)</f>
        <v>2316</v>
      </c>
      <c r="V1444" s="35" t="str">
        <f>VLOOKUP(Tabla1[[#This Row],[PROGRAMA]],Hoja1!A:B,2,FALSE)</f>
        <v>2316. Mediación comunitaria</v>
      </c>
      <c r="W1444" s="35" t="str">
        <f>MID(Tabla1[[#This Row],[Aplicación]],14,2)</f>
        <v>22</v>
      </c>
      <c r="X1444" s="35" t="str">
        <f>MID(Tabla1[[#This Row],[Aplicación]],14,6)</f>
        <v>22799</v>
      </c>
    </row>
    <row r="1445" spans="1:24" x14ac:dyDescent="0.25">
      <c r="A1445" s="49">
        <v>220209000688</v>
      </c>
      <c r="B1445" s="50" t="s">
        <v>9</v>
      </c>
      <c r="C1445" s="57">
        <v>44562</v>
      </c>
      <c r="D1445" s="49">
        <v>22022000242</v>
      </c>
      <c r="E1445" s="50" t="s">
        <v>2839</v>
      </c>
      <c r="F1445" s="58">
        <v>62334.2</v>
      </c>
      <c r="G1445" s="50" t="s">
        <v>164</v>
      </c>
      <c r="H1445" s="50" t="s">
        <v>756</v>
      </c>
      <c r="I1445" s="49" t="s">
        <v>107</v>
      </c>
      <c r="J1445" s="50" t="s">
        <v>519</v>
      </c>
      <c r="K1445" s="50" t="s">
        <v>165</v>
      </c>
      <c r="L1445" s="50" t="s">
        <v>12</v>
      </c>
      <c r="M1445" s="50" t="s">
        <v>13</v>
      </c>
      <c r="N1445" s="50" t="s">
        <v>14</v>
      </c>
      <c r="O1445" s="48" t="s">
        <v>620</v>
      </c>
      <c r="P1445" s="45" t="s">
        <v>453</v>
      </c>
      <c r="Q1445" s="35" t="str">
        <f>MID(Tabla1[[#This Row],[Aplicación]],14,1)</f>
        <v>2</v>
      </c>
      <c r="R1445" s="35" t="s">
        <v>441</v>
      </c>
      <c r="S1445" s="35" t="str">
        <f>MID(Tabla1[[#This Row],[Aplicación]],6,2)</f>
        <v>07</v>
      </c>
      <c r="T1445" s="35" t="str">
        <f>VLOOKUP(Tabla1[[#This Row],[AREA]],Hoja1!A:B,2,FALSE)</f>
        <v>07. Medio ambiente y desarrollo sostenible</v>
      </c>
      <c r="U1445" s="35" t="str">
        <f>MID(Tabla1[[#This Row],[Aplicación]],9,4)</f>
        <v>1701</v>
      </c>
      <c r="V1445" s="35" t="str">
        <f>VLOOKUP(Tabla1[[#This Row],[PROGRAMA]],Hoja1!A:B,2,FALSE)</f>
        <v>1701. Dirección del área de medio ambiente</v>
      </c>
      <c r="W1445" s="35" t="str">
        <f>MID(Tabla1[[#This Row],[Aplicación]],14,2)</f>
        <v>22</v>
      </c>
      <c r="X1445" s="35" t="str">
        <f>MID(Tabla1[[#This Row],[Aplicación]],14,6)</f>
        <v>22700</v>
      </c>
    </row>
    <row r="1446" spans="1:24" x14ac:dyDescent="0.25">
      <c r="A1446" s="49">
        <v>220209000556</v>
      </c>
      <c r="B1446" s="50" t="s">
        <v>9</v>
      </c>
      <c r="C1446" s="57">
        <v>44562</v>
      </c>
      <c r="D1446" s="49">
        <v>22022000214</v>
      </c>
      <c r="E1446" s="50" t="s">
        <v>2840</v>
      </c>
      <c r="F1446" s="58">
        <v>6923.45</v>
      </c>
      <c r="G1446" s="50" t="s">
        <v>164</v>
      </c>
      <c r="H1446" s="50" t="s">
        <v>753</v>
      </c>
      <c r="I1446" s="49" t="s">
        <v>107</v>
      </c>
      <c r="J1446" s="50" t="s">
        <v>519</v>
      </c>
      <c r="K1446" s="50" t="s">
        <v>165</v>
      </c>
      <c r="L1446" s="50" t="s">
        <v>12</v>
      </c>
      <c r="M1446" s="50" t="s">
        <v>13</v>
      </c>
      <c r="N1446" s="50" t="s">
        <v>14</v>
      </c>
      <c r="O1446" s="48" t="s">
        <v>620</v>
      </c>
      <c r="P1446" s="45" t="s">
        <v>453</v>
      </c>
      <c r="Q1446" s="35" t="str">
        <f>MID(Tabla1[[#This Row],[Aplicación]],14,1)</f>
        <v>2</v>
      </c>
      <c r="R1446" s="35" t="s">
        <v>441</v>
      </c>
      <c r="S1446" s="35" t="str">
        <f>MID(Tabla1[[#This Row],[Aplicación]],6,2)</f>
        <v>11</v>
      </c>
      <c r="T1446" s="35" t="str">
        <f>VLOOKUP(Tabla1[[#This Row],[AREA]],Hoja1!A:B,2,FALSE)</f>
        <v>11. Salud pública y seguridad ciudadana</v>
      </c>
      <c r="U1446" s="35" t="str">
        <f>MID(Tabla1[[#This Row],[Aplicación]],9,4)</f>
        <v>3111</v>
      </c>
      <c r="V1446" s="35" t="str">
        <f>VLOOKUP(Tabla1[[#This Row],[PROGRAMA]],Hoja1!A:B,2,FALSE)</f>
        <v>3111. Protección de la salubridad pública</v>
      </c>
      <c r="W1446" s="35" t="str">
        <f>MID(Tabla1[[#This Row],[Aplicación]],14,2)</f>
        <v>22</v>
      </c>
      <c r="X1446" s="35" t="str">
        <f>MID(Tabla1[[#This Row],[Aplicación]],14,6)</f>
        <v>22700</v>
      </c>
    </row>
    <row r="1447" spans="1:24" x14ac:dyDescent="0.25">
      <c r="A1447" s="49">
        <v>220209000558</v>
      </c>
      <c r="B1447" s="50" t="s">
        <v>9</v>
      </c>
      <c r="C1447" s="57">
        <v>44562</v>
      </c>
      <c r="D1447" s="49">
        <v>22022000216</v>
      </c>
      <c r="E1447" s="50" t="s">
        <v>2841</v>
      </c>
      <c r="F1447" s="58">
        <v>4461.2700000000004</v>
      </c>
      <c r="G1447" s="50" t="s">
        <v>164</v>
      </c>
      <c r="H1447" s="50" t="s">
        <v>755</v>
      </c>
      <c r="I1447" s="49" t="s">
        <v>107</v>
      </c>
      <c r="J1447" s="50" t="s">
        <v>519</v>
      </c>
      <c r="K1447" s="50" t="s">
        <v>165</v>
      </c>
      <c r="L1447" s="50" t="s">
        <v>12</v>
      </c>
      <c r="M1447" s="50" t="s">
        <v>13</v>
      </c>
      <c r="N1447" s="50" t="s">
        <v>14</v>
      </c>
      <c r="O1447" s="48" t="s">
        <v>620</v>
      </c>
      <c r="P1447" s="45" t="s">
        <v>453</v>
      </c>
      <c r="Q1447" s="35" t="str">
        <f>MID(Tabla1[[#This Row],[Aplicación]],14,1)</f>
        <v>2</v>
      </c>
      <c r="R1447" s="35" t="s">
        <v>441</v>
      </c>
      <c r="S1447" s="35" t="str">
        <f>MID(Tabla1[[#This Row],[Aplicación]],6,2)</f>
        <v>05</v>
      </c>
      <c r="T1447" s="35" t="str">
        <f>VLOOKUP(Tabla1[[#This Row],[AREA]],Hoja1!A:B,2,FALSE)</f>
        <v>05. Innovación, desarrollo económico, empleo y comercio</v>
      </c>
      <c r="U1447" s="35" t="str">
        <f>MID(Tabla1[[#This Row],[Aplicación]],9,4)</f>
        <v>4312</v>
      </c>
      <c r="V1447" s="35" t="str">
        <f>VLOOKUP(Tabla1[[#This Row],[PROGRAMA]],Hoja1!A:B,2,FALSE)</f>
        <v>4312. Mercados, abastos y lonjas</v>
      </c>
      <c r="W1447" s="35" t="str">
        <f>MID(Tabla1[[#This Row],[Aplicación]],14,2)</f>
        <v>22</v>
      </c>
      <c r="X1447" s="35" t="str">
        <f>MID(Tabla1[[#This Row],[Aplicación]],14,6)</f>
        <v>22700</v>
      </c>
    </row>
    <row r="1448" spans="1:24" x14ac:dyDescent="0.25">
      <c r="A1448" s="49">
        <v>220209000557</v>
      </c>
      <c r="B1448" s="50" t="s">
        <v>9</v>
      </c>
      <c r="C1448" s="57">
        <v>44562</v>
      </c>
      <c r="D1448" s="49">
        <v>22022000215</v>
      </c>
      <c r="E1448" s="50" t="s">
        <v>2840</v>
      </c>
      <c r="F1448" s="58">
        <v>3465.58</v>
      </c>
      <c r="G1448" s="50" t="s">
        <v>164</v>
      </c>
      <c r="H1448" s="50" t="s">
        <v>754</v>
      </c>
      <c r="I1448" s="49" t="s">
        <v>107</v>
      </c>
      <c r="J1448" s="50" t="s">
        <v>519</v>
      </c>
      <c r="K1448" s="50" t="s">
        <v>165</v>
      </c>
      <c r="L1448" s="50" t="s">
        <v>12</v>
      </c>
      <c r="M1448" s="50" t="s">
        <v>13</v>
      </c>
      <c r="N1448" s="50" t="s">
        <v>14</v>
      </c>
      <c r="O1448" s="48" t="s">
        <v>620</v>
      </c>
      <c r="P1448" s="45" t="s">
        <v>453</v>
      </c>
      <c r="Q1448" s="35" t="str">
        <f>MID(Tabla1[[#This Row],[Aplicación]],14,1)</f>
        <v>2</v>
      </c>
      <c r="R1448" s="35" t="s">
        <v>441</v>
      </c>
      <c r="S1448" s="35" t="str">
        <f>MID(Tabla1[[#This Row],[Aplicación]],6,2)</f>
        <v>11</v>
      </c>
      <c r="T1448" s="35" t="str">
        <f>VLOOKUP(Tabla1[[#This Row],[AREA]],Hoja1!A:B,2,FALSE)</f>
        <v>11. Salud pública y seguridad ciudadana</v>
      </c>
      <c r="U1448" s="35" t="str">
        <f>MID(Tabla1[[#This Row],[Aplicación]],9,4)</f>
        <v>3111</v>
      </c>
      <c r="V1448" s="35" t="str">
        <f>VLOOKUP(Tabla1[[#This Row],[PROGRAMA]],Hoja1!A:B,2,FALSE)</f>
        <v>3111. Protección de la salubridad pública</v>
      </c>
      <c r="W1448" s="35" t="str">
        <f>MID(Tabla1[[#This Row],[Aplicación]],14,2)</f>
        <v>22</v>
      </c>
      <c r="X1448" s="35" t="str">
        <f>MID(Tabla1[[#This Row],[Aplicación]],14,6)</f>
        <v>22700</v>
      </c>
    </row>
    <row r="1449" spans="1:24" x14ac:dyDescent="0.25">
      <c r="A1449" s="49">
        <v>220209000311</v>
      </c>
      <c r="B1449" s="50" t="s">
        <v>9</v>
      </c>
      <c r="C1449" s="57">
        <v>44562</v>
      </c>
      <c r="D1449" s="49">
        <v>22022000185</v>
      </c>
      <c r="E1449" s="50" t="s">
        <v>1434</v>
      </c>
      <c r="F1449" s="58">
        <v>8712</v>
      </c>
      <c r="G1449" s="50" t="s">
        <v>489</v>
      </c>
      <c r="H1449" s="50" t="s">
        <v>2842</v>
      </c>
      <c r="I1449" s="49" t="s">
        <v>107</v>
      </c>
      <c r="J1449" s="50" t="s">
        <v>109</v>
      </c>
      <c r="K1449" s="50" t="s">
        <v>109</v>
      </c>
      <c r="L1449" s="50" t="s">
        <v>15</v>
      </c>
      <c r="M1449" s="50" t="s">
        <v>13</v>
      </c>
      <c r="N1449" s="50" t="s">
        <v>14</v>
      </c>
      <c r="O1449" s="48" t="s">
        <v>620</v>
      </c>
      <c r="P1449" s="45" t="s">
        <v>453</v>
      </c>
      <c r="Q1449" s="35" t="str">
        <f>MID(Tabla1[[#This Row],[Aplicación]],14,1)</f>
        <v>2</v>
      </c>
      <c r="R1449" s="35" t="s">
        <v>441</v>
      </c>
      <c r="S1449" s="35" t="str">
        <f>MID(Tabla1[[#This Row],[Aplicación]],6,2)</f>
        <v>11</v>
      </c>
      <c r="T1449" s="35" t="str">
        <f>VLOOKUP(Tabla1[[#This Row],[AREA]],Hoja1!A:B,2,FALSE)</f>
        <v>11. Salud pública y seguridad ciudadana</v>
      </c>
      <c r="U1449" s="35" t="str">
        <f>MID(Tabla1[[#This Row],[Aplicación]],9,4)</f>
        <v>1631</v>
      </c>
      <c r="V1449" s="35" t="str">
        <f>VLOOKUP(Tabla1[[#This Row],[PROGRAMA]],Hoja1!A:B,2,FALSE)</f>
        <v>1631. Limpieza viaria</v>
      </c>
      <c r="W1449" s="35" t="str">
        <f>MID(Tabla1[[#This Row],[Aplicación]],14,2)</f>
        <v>21</v>
      </c>
      <c r="X1449" s="35" t="str">
        <f>MID(Tabla1[[#This Row],[Aplicación]],14,6)</f>
        <v>214</v>
      </c>
    </row>
    <row r="1450" spans="1:24" x14ac:dyDescent="0.25">
      <c r="A1450" s="49">
        <v>220220005562</v>
      </c>
      <c r="B1450" s="50" t="s">
        <v>172</v>
      </c>
      <c r="C1450" s="57">
        <v>44614</v>
      </c>
      <c r="D1450" s="49">
        <v>22022001453</v>
      </c>
      <c r="E1450" s="50" t="s">
        <v>1608</v>
      </c>
      <c r="F1450" s="58">
        <v>1497.82</v>
      </c>
      <c r="G1450" s="50" t="s">
        <v>489</v>
      </c>
      <c r="H1450" s="50" t="s">
        <v>2843</v>
      </c>
      <c r="I1450" s="49" t="s">
        <v>173</v>
      </c>
      <c r="J1450" s="50" t="s">
        <v>109</v>
      </c>
      <c r="K1450" s="50" t="s">
        <v>109</v>
      </c>
      <c r="L1450" s="50" t="s">
        <v>12</v>
      </c>
      <c r="M1450" s="50" t="s">
        <v>13</v>
      </c>
      <c r="N1450" s="50" t="s">
        <v>14</v>
      </c>
      <c r="O1450" s="48" t="s">
        <v>631</v>
      </c>
      <c r="P1450" s="45" t="s">
        <v>453</v>
      </c>
      <c r="Q1450" s="35" t="str">
        <f>MID(Tabla1[[#This Row],[Aplicación]],14,1)</f>
        <v>2</v>
      </c>
      <c r="R1450" s="35" t="s">
        <v>441</v>
      </c>
      <c r="S1450" s="35" t="str">
        <f>MID(Tabla1[[#This Row],[Aplicación]],6,2)</f>
        <v>11</v>
      </c>
      <c r="T1450" s="35" t="str">
        <f>VLOOKUP(Tabla1[[#This Row],[AREA]],Hoja1!A:B,2,FALSE)</f>
        <v>11. Salud pública y seguridad ciudadana</v>
      </c>
      <c r="U1450" s="35" t="str">
        <f>MID(Tabla1[[#This Row],[Aplicación]],9,4)</f>
        <v>1321</v>
      </c>
      <c r="V1450" s="35" t="str">
        <f>VLOOKUP(Tabla1[[#This Row],[PROGRAMA]],Hoja1!A:B,2,FALSE)</f>
        <v>1321. Policía municipal</v>
      </c>
      <c r="W1450" s="35" t="str">
        <f>MID(Tabla1[[#This Row],[Aplicación]],14,2)</f>
        <v>21</v>
      </c>
      <c r="X1450" s="35" t="str">
        <f>MID(Tabla1[[#This Row],[Aplicación]],14,6)</f>
        <v>214</v>
      </c>
    </row>
    <row r="1451" spans="1:24" x14ac:dyDescent="0.25">
      <c r="A1451" s="49">
        <v>220220008714</v>
      </c>
      <c r="B1451" s="50" t="s">
        <v>172</v>
      </c>
      <c r="C1451" s="57">
        <v>44634</v>
      </c>
      <c r="D1451" s="49">
        <v>22022001454</v>
      </c>
      <c r="E1451" s="50" t="s">
        <v>1608</v>
      </c>
      <c r="F1451" s="58">
        <v>2159.48</v>
      </c>
      <c r="G1451" s="50" t="s">
        <v>489</v>
      </c>
      <c r="H1451" s="50" t="s">
        <v>2844</v>
      </c>
      <c r="I1451" s="49" t="s">
        <v>173</v>
      </c>
      <c r="J1451" s="50" t="s">
        <v>109</v>
      </c>
      <c r="K1451" s="50" t="s">
        <v>109</v>
      </c>
      <c r="L1451" s="50" t="s">
        <v>12</v>
      </c>
      <c r="M1451" s="50" t="s">
        <v>13</v>
      </c>
      <c r="N1451" s="50" t="s">
        <v>14</v>
      </c>
      <c r="O1451" s="48" t="s">
        <v>631</v>
      </c>
      <c r="P1451" s="45" t="s">
        <v>453</v>
      </c>
      <c r="Q1451" s="35" t="str">
        <f>MID(Tabla1[[#This Row],[Aplicación]],14,1)</f>
        <v>2</v>
      </c>
      <c r="R1451" s="35" t="s">
        <v>441</v>
      </c>
      <c r="S1451" s="35" t="str">
        <f>MID(Tabla1[[#This Row],[Aplicación]],6,2)</f>
        <v>11</v>
      </c>
      <c r="T1451" s="35" t="str">
        <f>VLOOKUP(Tabla1[[#This Row],[AREA]],Hoja1!A:B,2,FALSE)</f>
        <v>11. Salud pública y seguridad ciudadana</v>
      </c>
      <c r="U1451" s="35" t="str">
        <f>MID(Tabla1[[#This Row],[Aplicación]],9,4)</f>
        <v>1321</v>
      </c>
      <c r="V1451" s="35" t="str">
        <f>VLOOKUP(Tabla1[[#This Row],[PROGRAMA]],Hoja1!A:B,2,FALSE)</f>
        <v>1321. Policía municipal</v>
      </c>
      <c r="W1451" s="35" t="str">
        <f>MID(Tabla1[[#This Row],[Aplicación]],14,2)</f>
        <v>21</v>
      </c>
      <c r="X1451" s="35" t="str">
        <f>MID(Tabla1[[#This Row],[Aplicación]],14,6)</f>
        <v>214</v>
      </c>
    </row>
    <row r="1452" spans="1:24" x14ac:dyDescent="0.25">
      <c r="A1452" s="49">
        <v>220220006763</v>
      </c>
      <c r="B1452" s="50" t="s">
        <v>172</v>
      </c>
      <c r="C1452" s="57">
        <v>44622</v>
      </c>
      <c r="D1452" s="49">
        <v>22022001627</v>
      </c>
      <c r="E1452" s="50" t="s">
        <v>1827</v>
      </c>
      <c r="F1452" s="58">
        <v>130.68</v>
      </c>
      <c r="G1452" s="50" t="s">
        <v>489</v>
      </c>
      <c r="H1452" s="50" t="s">
        <v>2845</v>
      </c>
      <c r="I1452" s="49" t="s">
        <v>173</v>
      </c>
      <c r="J1452" s="50" t="s">
        <v>109</v>
      </c>
      <c r="K1452" s="50" t="s">
        <v>109</v>
      </c>
      <c r="L1452" s="50" t="s">
        <v>12</v>
      </c>
      <c r="M1452" s="50" t="s">
        <v>13</v>
      </c>
      <c r="N1452" s="50" t="s">
        <v>14</v>
      </c>
      <c r="O1452" s="48" t="s">
        <v>631</v>
      </c>
      <c r="P1452" s="45" t="s">
        <v>453</v>
      </c>
      <c r="Q1452" s="35" t="str">
        <f>MID(Tabla1[[#This Row],[Aplicación]],14,1)</f>
        <v>2</v>
      </c>
      <c r="R1452" s="35" t="s">
        <v>441</v>
      </c>
      <c r="S1452" s="35" t="str">
        <f>MID(Tabla1[[#This Row],[Aplicación]],6,2)</f>
        <v>11</v>
      </c>
      <c r="T1452" s="35" t="str">
        <f>VLOOKUP(Tabla1[[#This Row],[AREA]],Hoja1!A:B,2,FALSE)</f>
        <v>11. Salud pública y seguridad ciudadana</v>
      </c>
      <c r="U1452" s="35" t="str">
        <f>MID(Tabla1[[#This Row],[Aplicación]],9,4)</f>
        <v>1361</v>
      </c>
      <c r="V1452" s="35" t="str">
        <f>VLOOKUP(Tabla1[[#This Row],[PROGRAMA]],Hoja1!A:B,2,FALSE)</f>
        <v>1361. Prevención y extinción de incencios</v>
      </c>
      <c r="W1452" s="35" t="str">
        <f>MID(Tabla1[[#This Row],[Aplicación]],14,2)</f>
        <v>21</v>
      </c>
      <c r="X1452" s="35" t="str">
        <f>MID(Tabla1[[#This Row],[Aplicación]],14,6)</f>
        <v>214</v>
      </c>
    </row>
    <row r="1453" spans="1:24" x14ac:dyDescent="0.25">
      <c r="A1453" s="49">
        <v>220220005823</v>
      </c>
      <c r="B1453" s="50" t="s">
        <v>9</v>
      </c>
      <c r="C1453" s="57">
        <v>44615</v>
      </c>
      <c r="D1453" s="49">
        <v>22022002127</v>
      </c>
      <c r="E1453" s="50" t="s">
        <v>1629</v>
      </c>
      <c r="F1453" s="58">
        <v>13068</v>
      </c>
      <c r="G1453" s="50" t="s">
        <v>67</v>
      </c>
      <c r="H1453" s="50" t="s">
        <v>2846</v>
      </c>
      <c r="I1453" s="49" t="s">
        <v>107</v>
      </c>
      <c r="J1453" s="50" t="s">
        <v>109</v>
      </c>
      <c r="K1453" s="50" t="s">
        <v>109</v>
      </c>
      <c r="L1453" s="50" t="s">
        <v>12</v>
      </c>
      <c r="M1453" s="50" t="s">
        <v>10</v>
      </c>
      <c r="N1453" s="50" t="s">
        <v>11</v>
      </c>
      <c r="O1453" s="48" t="s">
        <v>632</v>
      </c>
      <c r="P1453" s="45" t="s">
        <v>453</v>
      </c>
      <c r="Q1453" s="35" t="str">
        <f>MID(Tabla1[[#This Row],[Aplicación]],14,1)</f>
        <v>2</v>
      </c>
      <c r="R1453" s="35" t="s">
        <v>441</v>
      </c>
      <c r="S1453" s="35" t="str">
        <f>MID(Tabla1[[#This Row],[Aplicación]],6,2)</f>
        <v>06</v>
      </c>
      <c r="T1453" s="35" t="str">
        <f>VLOOKUP(Tabla1[[#This Row],[AREA]],Hoja1!A:B,2,FALSE)</f>
        <v>06. Educación, infancia, juventud e igualdad</v>
      </c>
      <c r="U1453" s="35" t="str">
        <f>MID(Tabla1[[#This Row],[Aplicación]],9,4)</f>
        <v>2315</v>
      </c>
      <c r="V1453" s="35" t="str">
        <f>VLOOKUP(Tabla1[[#This Row],[PROGRAMA]],Hoja1!A:B,2,FALSE)</f>
        <v>2315. Políticas de Igualdad e infancia</v>
      </c>
      <c r="W1453" s="35" t="str">
        <f>MID(Tabla1[[#This Row],[Aplicación]],14,2)</f>
        <v>22</v>
      </c>
      <c r="X1453" s="35" t="str">
        <f>MID(Tabla1[[#This Row],[Aplicación]],14,6)</f>
        <v>22611</v>
      </c>
    </row>
    <row r="1454" spans="1:24" x14ac:dyDescent="0.25">
      <c r="A1454" s="49">
        <v>220219000214</v>
      </c>
      <c r="B1454" s="50" t="s">
        <v>9</v>
      </c>
      <c r="C1454" s="57">
        <v>44562</v>
      </c>
      <c r="D1454" s="49">
        <v>22022000047</v>
      </c>
      <c r="E1454" s="50" t="s">
        <v>1742</v>
      </c>
      <c r="F1454" s="58">
        <v>29264.94</v>
      </c>
      <c r="G1454" s="50" t="s">
        <v>44</v>
      </c>
      <c r="H1454" s="50" t="s">
        <v>2847</v>
      </c>
      <c r="I1454" s="49" t="s">
        <v>107</v>
      </c>
      <c r="J1454" s="50" t="s">
        <v>109</v>
      </c>
      <c r="K1454" s="50" t="s">
        <v>109</v>
      </c>
      <c r="L1454" s="50" t="s">
        <v>12</v>
      </c>
      <c r="M1454" s="50" t="s">
        <v>13</v>
      </c>
      <c r="N1454" s="50" t="s">
        <v>16</v>
      </c>
      <c r="O1454" s="48" t="s">
        <v>620</v>
      </c>
      <c r="P1454" s="45" t="s">
        <v>453</v>
      </c>
      <c r="Q1454" s="35" t="str">
        <f>MID(Tabla1[[#This Row],[Aplicación]],14,1)</f>
        <v>2</v>
      </c>
      <c r="R1454" s="35" t="s">
        <v>441</v>
      </c>
      <c r="S1454" s="35" t="str">
        <f>MID(Tabla1[[#This Row],[Aplicación]],6,2)</f>
        <v>03</v>
      </c>
      <c r="T1454" s="35" t="str">
        <f>VLOOKUP(Tabla1[[#This Row],[AREA]],Hoja1!A:B,2,FALSE)</f>
        <v>03. Participación ciudadana y deportes</v>
      </c>
      <c r="U1454" s="35" t="str">
        <f>MID(Tabla1[[#This Row],[Aplicación]],9,4)</f>
        <v>9241</v>
      </c>
      <c r="V1454" s="35" t="str">
        <f>VLOOKUP(Tabla1[[#This Row],[PROGRAMA]],Hoja1!A:B,2,FALSE)</f>
        <v>9241. Participación ciudadana</v>
      </c>
      <c r="W1454" s="35" t="str">
        <f>MID(Tabla1[[#This Row],[Aplicación]],14,2)</f>
        <v>21</v>
      </c>
      <c r="X1454" s="35" t="str">
        <f>MID(Tabla1[[#This Row],[Aplicación]],14,6)</f>
        <v>213</v>
      </c>
    </row>
    <row r="1455" spans="1:24" x14ac:dyDescent="0.25">
      <c r="A1455" s="49">
        <v>220220009849</v>
      </c>
      <c r="B1455" s="50" t="s">
        <v>9</v>
      </c>
      <c r="C1455" s="57">
        <v>44637</v>
      </c>
      <c r="D1455" s="49">
        <v>22022002776</v>
      </c>
      <c r="E1455" s="50" t="s">
        <v>1665</v>
      </c>
      <c r="F1455" s="58">
        <v>13019</v>
      </c>
      <c r="G1455" s="50" t="s">
        <v>2848</v>
      </c>
      <c r="H1455" s="50" t="s">
        <v>2849</v>
      </c>
      <c r="I1455" s="49" t="s">
        <v>107</v>
      </c>
      <c r="J1455" s="50" t="s">
        <v>109</v>
      </c>
      <c r="K1455" s="50" t="s">
        <v>109</v>
      </c>
      <c r="L1455" s="50" t="s">
        <v>12</v>
      </c>
      <c r="M1455" s="50" t="s">
        <v>10</v>
      </c>
      <c r="N1455" s="50" t="s">
        <v>11</v>
      </c>
      <c r="O1455" s="48" t="s">
        <v>632</v>
      </c>
      <c r="P1455" s="45" t="s">
        <v>453</v>
      </c>
      <c r="Q1455" s="35" t="str">
        <f>MID(Tabla1[[#This Row],[Aplicación]],14,1)</f>
        <v>6</v>
      </c>
      <c r="R1455" s="35" t="s">
        <v>442</v>
      </c>
      <c r="S1455" s="35" t="str">
        <f>MID(Tabla1[[#This Row],[Aplicación]],6,2)</f>
        <v>02</v>
      </c>
      <c r="T1455" s="35" t="str">
        <f>VLOOKUP(Tabla1[[#This Row],[AREA]],Hoja1!A:B,2,FALSE)</f>
        <v>02. Planeamiento urbanístico y vivienda</v>
      </c>
      <c r="U1455" s="35" t="str">
        <f>MID(Tabla1[[#This Row],[Aplicación]],9,4)</f>
        <v>9332</v>
      </c>
      <c r="V1455" s="35" t="str">
        <f>VLOOKUP(Tabla1[[#This Row],[PROGRAMA]],Hoja1!A:B,2,FALSE)</f>
        <v>9332. Mantenimiento de edificios e instalaciones municipales</v>
      </c>
      <c r="W1455" s="35" t="str">
        <f>MID(Tabla1[[#This Row],[Aplicación]],14,2)</f>
        <v>63</v>
      </c>
      <c r="X1455" s="35" t="str">
        <f>MID(Tabla1[[#This Row],[Aplicación]],14,6)</f>
        <v>632</v>
      </c>
    </row>
    <row r="1456" spans="1:24" x14ac:dyDescent="0.25">
      <c r="A1456" s="49">
        <v>220219001094</v>
      </c>
      <c r="B1456" s="50" t="s">
        <v>9</v>
      </c>
      <c r="C1456" s="57">
        <v>44562</v>
      </c>
      <c r="D1456" s="49">
        <v>22022000520</v>
      </c>
      <c r="E1456" s="50" t="s">
        <v>1417</v>
      </c>
      <c r="F1456" s="58">
        <v>12771</v>
      </c>
      <c r="G1456" s="50" t="s">
        <v>928</v>
      </c>
      <c r="H1456" s="50" t="s">
        <v>2850</v>
      </c>
      <c r="I1456" s="49" t="s">
        <v>107</v>
      </c>
      <c r="J1456" s="50" t="s">
        <v>109</v>
      </c>
      <c r="K1456" s="50" t="s">
        <v>109</v>
      </c>
      <c r="L1456" s="50" t="s">
        <v>12</v>
      </c>
      <c r="M1456" s="50" t="s">
        <v>10</v>
      </c>
      <c r="N1456" s="50" t="s">
        <v>11</v>
      </c>
      <c r="O1456" s="48" t="s">
        <v>632</v>
      </c>
      <c r="P1456" s="45" t="s">
        <v>453</v>
      </c>
      <c r="Q1456" s="35" t="str">
        <f>MID(Tabla1[[#This Row],[Aplicación]],14,1)</f>
        <v>2</v>
      </c>
      <c r="R1456" s="35" t="s">
        <v>441</v>
      </c>
      <c r="S1456" s="35" t="str">
        <f>MID(Tabla1[[#This Row],[Aplicación]],6,2)</f>
        <v>11</v>
      </c>
      <c r="T1456" s="35" t="str">
        <f>VLOOKUP(Tabla1[[#This Row],[AREA]],Hoja1!A:B,2,FALSE)</f>
        <v>11. Salud pública y seguridad ciudadana</v>
      </c>
      <c r="U1456" s="35" t="str">
        <f>MID(Tabla1[[#This Row],[Aplicación]],9,4)</f>
        <v>1621</v>
      </c>
      <c r="V1456" s="35" t="str">
        <f>VLOOKUP(Tabla1[[#This Row],[PROGRAMA]],Hoja1!A:B,2,FALSE)</f>
        <v>1621. Servicio de limpieza</v>
      </c>
      <c r="W1456" s="35" t="str">
        <f>MID(Tabla1[[#This Row],[Aplicación]],14,2)</f>
        <v>22</v>
      </c>
      <c r="X1456" s="35" t="str">
        <f>MID(Tabla1[[#This Row],[Aplicación]],14,6)</f>
        <v>22700</v>
      </c>
    </row>
    <row r="1457" spans="1:24" x14ac:dyDescent="0.25">
      <c r="A1457" s="49">
        <v>220219001112</v>
      </c>
      <c r="B1457" s="50" t="s">
        <v>9</v>
      </c>
      <c r="C1457" s="57">
        <v>44562</v>
      </c>
      <c r="D1457" s="49">
        <v>22022000523</v>
      </c>
      <c r="E1457" s="50" t="s">
        <v>1659</v>
      </c>
      <c r="F1457" s="58">
        <v>11495</v>
      </c>
      <c r="G1457" s="50" t="s">
        <v>1319</v>
      </c>
      <c r="H1457" s="50" t="s">
        <v>1320</v>
      </c>
      <c r="I1457" s="49" t="s">
        <v>107</v>
      </c>
      <c r="J1457" s="50" t="s">
        <v>544</v>
      </c>
      <c r="K1457" s="50" t="s">
        <v>109</v>
      </c>
      <c r="L1457" s="50" t="s">
        <v>12</v>
      </c>
      <c r="M1457" s="50" t="s">
        <v>10</v>
      </c>
      <c r="N1457" s="50" t="s">
        <v>11</v>
      </c>
      <c r="O1457" s="48" t="s">
        <v>632</v>
      </c>
      <c r="P1457" s="45" t="s">
        <v>453</v>
      </c>
      <c r="Q1457" s="35" t="str">
        <f>MID(Tabla1[[#This Row],[Aplicación]],14,1)</f>
        <v>2</v>
      </c>
      <c r="R1457" s="35" t="s">
        <v>441</v>
      </c>
      <c r="S1457" s="35" t="str">
        <f>MID(Tabla1[[#This Row],[Aplicación]],6,2)</f>
        <v>05</v>
      </c>
      <c r="T1457" s="35" t="str">
        <f>VLOOKUP(Tabla1[[#This Row],[AREA]],Hoja1!A:B,2,FALSE)</f>
        <v>05. Innovación, desarrollo económico, empleo y comercio</v>
      </c>
      <c r="U1457" s="35" t="str">
        <f>MID(Tabla1[[#This Row],[Aplicación]],9,4)</f>
        <v>4331</v>
      </c>
      <c r="V1457" s="35" t="str">
        <f>VLOOKUP(Tabla1[[#This Row],[PROGRAMA]],Hoja1!A:B,2,FALSE)</f>
        <v>4331. Desarrollo empresarial</v>
      </c>
      <c r="W1457" s="35" t="str">
        <f>MID(Tabla1[[#This Row],[Aplicación]],14,2)</f>
        <v>22</v>
      </c>
      <c r="X1457" s="35" t="str">
        <f>MID(Tabla1[[#This Row],[Aplicación]],14,6)</f>
        <v>22799</v>
      </c>
    </row>
    <row r="1458" spans="1:24" x14ac:dyDescent="0.25">
      <c r="A1458" s="49">
        <v>220209000090</v>
      </c>
      <c r="B1458" s="50" t="s">
        <v>9</v>
      </c>
      <c r="C1458" s="57">
        <v>44562</v>
      </c>
      <c r="D1458" s="49">
        <v>22022000174</v>
      </c>
      <c r="E1458" s="50" t="s">
        <v>1415</v>
      </c>
      <c r="F1458" s="58">
        <v>11218.75</v>
      </c>
      <c r="G1458" s="50" t="s">
        <v>137</v>
      </c>
      <c r="H1458" s="50" t="s">
        <v>906</v>
      </c>
      <c r="I1458" s="49" t="s">
        <v>107</v>
      </c>
      <c r="J1458" s="50" t="s">
        <v>109</v>
      </c>
      <c r="K1458" s="50" t="s">
        <v>109</v>
      </c>
      <c r="L1458" s="50" t="s">
        <v>12</v>
      </c>
      <c r="M1458" s="50" t="s">
        <v>13</v>
      </c>
      <c r="N1458" s="50" t="s">
        <v>16</v>
      </c>
      <c r="O1458" s="48" t="s">
        <v>620</v>
      </c>
      <c r="P1458" s="45" t="s">
        <v>453</v>
      </c>
      <c r="Q1458" s="35" t="str">
        <f>MID(Tabla1[[#This Row],[Aplicación]],14,1)</f>
        <v>2</v>
      </c>
      <c r="R1458" s="35" t="s">
        <v>441</v>
      </c>
      <c r="S1458" s="35" t="str">
        <f>MID(Tabla1[[#This Row],[Aplicación]],6,2)</f>
        <v>06</v>
      </c>
      <c r="T1458" s="35" t="str">
        <f>VLOOKUP(Tabla1[[#This Row],[AREA]],Hoja1!A:B,2,FALSE)</f>
        <v>06. Educación, infancia, juventud e igualdad</v>
      </c>
      <c r="U1458" s="35" t="str">
        <f>MID(Tabla1[[#This Row],[Aplicación]],9,4)</f>
        <v>3261</v>
      </c>
      <c r="V1458" s="35" t="str">
        <f>VLOOKUP(Tabla1[[#This Row],[PROGRAMA]],Hoja1!A:B,2,FALSE)</f>
        <v>3261. Servicios complementarios de educación</v>
      </c>
      <c r="W1458" s="35" t="str">
        <f>MID(Tabla1[[#This Row],[Aplicación]],14,2)</f>
        <v>22</v>
      </c>
      <c r="X1458" s="35" t="str">
        <f>MID(Tabla1[[#This Row],[Aplicación]],14,6)</f>
        <v>22799</v>
      </c>
    </row>
    <row r="1459" spans="1:24" x14ac:dyDescent="0.25">
      <c r="A1459" s="49">
        <v>220219001086</v>
      </c>
      <c r="B1459" s="50" t="s">
        <v>9</v>
      </c>
      <c r="C1459" s="57">
        <v>44562</v>
      </c>
      <c r="D1459" s="49">
        <v>22022000519</v>
      </c>
      <c r="E1459" s="50" t="s">
        <v>2851</v>
      </c>
      <c r="F1459" s="58">
        <v>11205.81</v>
      </c>
      <c r="G1459" s="50" t="s">
        <v>1344</v>
      </c>
      <c r="H1459" s="50" t="s">
        <v>2852</v>
      </c>
      <c r="I1459" s="49" t="s">
        <v>107</v>
      </c>
      <c r="J1459" s="50" t="s">
        <v>552</v>
      </c>
      <c r="K1459" s="50" t="s">
        <v>109</v>
      </c>
      <c r="L1459" s="50" t="s">
        <v>12</v>
      </c>
      <c r="M1459" s="50" t="s">
        <v>10</v>
      </c>
      <c r="N1459" s="50" t="s">
        <v>11</v>
      </c>
      <c r="O1459" s="48" t="s">
        <v>632</v>
      </c>
      <c r="P1459" s="45" t="s">
        <v>453</v>
      </c>
      <c r="Q1459" s="35" t="str">
        <f>MID(Tabla1[[#This Row],[Aplicación]],14,1)</f>
        <v>2</v>
      </c>
      <c r="R1459" s="35" t="s">
        <v>441</v>
      </c>
      <c r="S1459" s="35" t="str">
        <f>MID(Tabla1[[#This Row],[Aplicación]],6,2)</f>
        <v>05</v>
      </c>
      <c r="T1459" s="35" t="str">
        <f>VLOOKUP(Tabla1[[#This Row],[AREA]],Hoja1!A:B,2,FALSE)</f>
        <v>05. Innovación, desarrollo económico, empleo y comercio</v>
      </c>
      <c r="U1459" s="35" t="str">
        <f>MID(Tabla1[[#This Row],[Aplicación]],9,4)</f>
        <v>4314</v>
      </c>
      <c r="V1459" s="35" t="str">
        <f>VLOOKUP(Tabla1[[#This Row],[PROGRAMA]],Hoja1!A:B,2,FALSE)</f>
        <v>4314. Fomento del comercio</v>
      </c>
      <c r="W1459" s="35" t="str">
        <f>MID(Tabla1[[#This Row],[Aplicación]],14,2)</f>
        <v>22</v>
      </c>
      <c r="X1459" s="35" t="str">
        <f>MID(Tabla1[[#This Row],[Aplicación]],14,6)</f>
        <v>22799</v>
      </c>
    </row>
    <row r="1460" spans="1:24" x14ac:dyDescent="0.25">
      <c r="A1460" s="49">
        <v>220219000850</v>
      </c>
      <c r="B1460" s="50" t="s">
        <v>9</v>
      </c>
      <c r="C1460" s="57">
        <v>44562</v>
      </c>
      <c r="D1460" s="49">
        <v>22022000096</v>
      </c>
      <c r="E1460" s="50" t="s">
        <v>2853</v>
      </c>
      <c r="F1460" s="58">
        <v>11192.5</v>
      </c>
      <c r="G1460" s="50" t="s">
        <v>871</v>
      </c>
      <c r="H1460" s="50" t="s">
        <v>1230</v>
      </c>
      <c r="I1460" s="49" t="s">
        <v>107</v>
      </c>
      <c r="J1460" s="50" t="s">
        <v>109</v>
      </c>
      <c r="K1460" s="50" t="s">
        <v>109</v>
      </c>
      <c r="L1460" s="50" t="s">
        <v>12</v>
      </c>
      <c r="M1460" s="50" t="s">
        <v>13</v>
      </c>
      <c r="N1460" s="50" t="s">
        <v>14</v>
      </c>
      <c r="O1460" s="48" t="s">
        <v>620</v>
      </c>
      <c r="P1460" s="45" t="s">
        <v>453</v>
      </c>
      <c r="Q1460" s="35" t="str">
        <f>MID(Tabla1[[#This Row],[Aplicación]],14,1)</f>
        <v>2</v>
      </c>
      <c r="R1460" s="35" t="s">
        <v>441</v>
      </c>
      <c r="S1460" s="35" t="str">
        <f>MID(Tabla1[[#This Row],[Aplicación]],6,2)</f>
        <v>11</v>
      </c>
      <c r="T1460" s="35" t="str">
        <f>VLOOKUP(Tabla1[[#This Row],[AREA]],Hoja1!A:B,2,FALSE)</f>
        <v>11. Salud pública y seguridad ciudadana</v>
      </c>
      <c r="U1460" s="35" t="str">
        <f>MID(Tabla1[[#This Row],[Aplicación]],9,4)</f>
        <v>3111</v>
      </c>
      <c r="V1460" s="35" t="str">
        <f>VLOOKUP(Tabla1[[#This Row],[PROGRAMA]],Hoja1!A:B,2,FALSE)</f>
        <v>3111. Protección de la salubridad pública</v>
      </c>
      <c r="W1460" s="35" t="str">
        <f>MID(Tabla1[[#This Row],[Aplicación]],14,2)</f>
        <v>22</v>
      </c>
      <c r="X1460" s="35" t="str">
        <f>MID(Tabla1[[#This Row],[Aplicación]],14,6)</f>
        <v>22799</v>
      </c>
    </row>
    <row r="1461" spans="1:24" x14ac:dyDescent="0.25">
      <c r="A1461" s="49">
        <v>220220007922</v>
      </c>
      <c r="B1461" s="50" t="s">
        <v>9</v>
      </c>
      <c r="C1461" s="57">
        <v>44627</v>
      </c>
      <c r="D1461" s="49">
        <v>22022002157</v>
      </c>
      <c r="E1461" s="50" t="s">
        <v>1886</v>
      </c>
      <c r="F1461" s="58">
        <v>11084.43</v>
      </c>
      <c r="G1461" s="50" t="s">
        <v>45</v>
      </c>
      <c r="H1461" s="50" t="s">
        <v>2854</v>
      </c>
      <c r="I1461" s="49" t="s">
        <v>107</v>
      </c>
      <c r="J1461" s="50" t="s">
        <v>539</v>
      </c>
      <c r="K1461" s="50" t="s">
        <v>109</v>
      </c>
      <c r="L1461" s="50" t="s">
        <v>12</v>
      </c>
      <c r="M1461" s="50" t="s">
        <v>13</v>
      </c>
      <c r="N1461" s="50" t="s">
        <v>14</v>
      </c>
      <c r="O1461" s="48" t="s">
        <v>620</v>
      </c>
      <c r="P1461" s="45" t="s">
        <v>453</v>
      </c>
      <c r="Q1461" s="35" t="str">
        <f>MID(Tabla1[[#This Row],[Aplicación]],14,1)</f>
        <v>2</v>
      </c>
      <c r="R1461" s="35" t="s">
        <v>441</v>
      </c>
      <c r="S1461" s="35" t="str">
        <f>MID(Tabla1[[#This Row],[Aplicación]],6,2)</f>
        <v>09</v>
      </c>
      <c r="T1461" s="35" t="str">
        <f>VLOOKUP(Tabla1[[#This Row],[AREA]],Hoja1!A:B,2,FALSE)</f>
        <v>09. Cultura y turismo</v>
      </c>
      <c r="U1461" s="35" t="str">
        <f>MID(Tabla1[[#This Row],[Aplicación]],9,4)</f>
        <v>3341</v>
      </c>
      <c r="V1461" s="35" t="str">
        <f>VLOOKUP(Tabla1[[#This Row],[PROGRAMA]],Hoja1!A:B,2,FALSE)</f>
        <v>3341. Coordinación de políticas culturales</v>
      </c>
      <c r="W1461" s="35" t="str">
        <f>MID(Tabla1[[#This Row],[Aplicación]],14,2)</f>
        <v>22</v>
      </c>
      <c r="X1461" s="35" t="str">
        <f>MID(Tabla1[[#This Row],[Aplicación]],14,6)</f>
        <v>22799</v>
      </c>
    </row>
    <row r="1462" spans="1:24" x14ac:dyDescent="0.25">
      <c r="A1462" s="49">
        <v>220219001239</v>
      </c>
      <c r="B1462" s="50" t="s">
        <v>9</v>
      </c>
      <c r="C1462" s="57">
        <v>44562</v>
      </c>
      <c r="D1462" s="49">
        <v>22022001486</v>
      </c>
      <c r="E1462" s="50" t="s">
        <v>2853</v>
      </c>
      <c r="F1462" s="58">
        <v>10950.5</v>
      </c>
      <c r="G1462" s="50" t="s">
        <v>1018</v>
      </c>
      <c r="H1462" s="50" t="s">
        <v>2855</v>
      </c>
      <c r="I1462" s="49" t="s">
        <v>107</v>
      </c>
      <c r="J1462" s="50" t="s">
        <v>1019</v>
      </c>
      <c r="K1462" s="50" t="s">
        <v>109</v>
      </c>
      <c r="L1462" s="55" t="s">
        <v>12</v>
      </c>
      <c r="M1462" s="55" t="s">
        <v>13</v>
      </c>
      <c r="N1462" s="55" t="s">
        <v>14</v>
      </c>
      <c r="O1462" s="48" t="s">
        <v>620</v>
      </c>
      <c r="P1462" s="45" t="s">
        <v>453</v>
      </c>
      <c r="Q1462" s="35" t="str">
        <f>MID(Tabla1[[#This Row],[Aplicación]],14,1)</f>
        <v>2</v>
      </c>
      <c r="R1462" s="35" t="s">
        <v>441</v>
      </c>
      <c r="S1462" s="35" t="str">
        <f>MID(Tabla1[[#This Row],[Aplicación]],6,2)</f>
        <v>11</v>
      </c>
      <c r="T1462" s="35" t="str">
        <f>VLOOKUP(Tabla1[[#This Row],[AREA]],Hoja1!A:B,2,FALSE)</f>
        <v>11. Salud pública y seguridad ciudadana</v>
      </c>
      <c r="U1462" s="35" t="str">
        <f>MID(Tabla1[[#This Row],[Aplicación]],9,4)</f>
        <v>3111</v>
      </c>
      <c r="V1462" s="35" t="str">
        <f>VLOOKUP(Tabla1[[#This Row],[PROGRAMA]],Hoja1!A:B,2,FALSE)</f>
        <v>3111. Protección de la salubridad pública</v>
      </c>
      <c r="W1462" s="35" t="str">
        <f>MID(Tabla1[[#This Row],[Aplicación]],14,2)</f>
        <v>22</v>
      </c>
      <c r="X1462" s="35" t="str">
        <f>MID(Tabla1[[#This Row],[Aplicación]],14,6)</f>
        <v>22799</v>
      </c>
    </row>
    <row r="1463" spans="1:24" x14ac:dyDescent="0.25">
      <c r="A1463" s="49">
        <v>220219000875</v>
      </c>
      <c r="B1463" s="50" t="s">
        <v>9</v>
      </c>
      <c r="C1463" s="57">
        <v>44562</v>
      </c>
      <c r="D1463" s="49">
        <v>22022002008</v>
      </c>
      <c r="E1463" s="50" t="s">
        <v>1368</v>
      </c>
      <c r="F1463" s="58">
        <v>10587.5</v>
      </c>
      <c r="G1463" s="50" t="s">
        <v>1218</v>
      </c>
      <c r="H1463" s="50" t="s">
        <v>2856</v>
      </c>
      <c r="I1463" s="49" t="s">
        <v>107</v>
      </c>
      <c r="J1463" s="50" t="s">
        <v>539</v>
      </c>
      <c r="K1463" s="50" t="s">
        <v>109</v>
      </c>
      <c r="L1463" s="50" t="s">
        <v>12</v>
      </c>
      <c r="M1463" s="50" t="s">
        <v>13</v>
      </c>
      <c r="N1463" s="50" t="s">
        <v>14</v>
      </c>
      <c r="O1463" s="48" t="s">
        <v>620</v>
      </c>
      <c r="P1463" s="45" t="s">
        <v>453</v>
      </c>
      <c r="Q1463" s="35" t="str">
        <f>MID(Tabla1[[#This Row],[Aplicación]],14,1)</f>
        <v>6</v>
      </c>
      <c r="R1463" s="35" t="s">
        <v>442</v>
      </c>
      <c r="S1463" s="35" t="str">
        <f>MID(Tabla1[[#This Row],[Aplicación]],6,2)</f>
        <v>08</v>
      </c>
      <c r="T1463" s="35" t="str">
        <f>VLOOKUP(Tabla1[[#This Row],[AREA]],Hoja1!A:B,2,FALSE)</f>
        <v>08. Movilidad y espacio urbano</v>
      </c>
      <c r="U1463" s="35" t="str">
        <f>MID(Tabla1[[#This Row],[Aplicación]],9,4)</f>
        <v>1532</v>
      </c>
      <c r="V1463" s="35" t="str">
        <f>VLOOKUP(Tabla1[[#This Row],[PROGRAMA]],Hoja1!A:B,2,FALSE)</f>
        <v>1532. Pavimentación vias públicas y otros servicios urbanísticos</v>
      </c>
      <c r="W1463" s="35" t="str">
        <f>MID(Tabla1[[#This Row],[Aplicación]],14,2)</f>
        <v>61</v>
      </c>
      <c r="X1463" s="35" t="str">
        <f>MID(Tabla1[[#This Row],[Aplicación]],14,6)</f>
        <v>619</v>
      </c>
    </row>
    <row r="1464" spans="1:24" x14ac:dyDescent="0.25">
      <c r="A1464" s="49">
        <v>220219000396</v>
      </c>
      <c r="B1464" s="50" t="s">
        <v>9</v>
      </c>
      <c r="C1464" s="57">
        <v>44562</v>
      </c>
      <c r="D1464" s="49">
        <v>22022000512</v>
      </c>
      <c r="E1464" s="50" t="s">
        <v>1691</v>
      </c>
      <c r="F1464" s="58">
        <v>10000</v>
      </c>
      <c r="G1464" s="50" t="s">
        <v>158</v>
      </c>
      <c r="H1464" s="50" t="s">
        <v>2857</v>
      </c>
      <c r="I1464" s="49" t="s">
        <v>107</v>
      </c>
      <c r="J1464" s="50" t="s">
        <v>108</v>
      </c>
      <c r="K1464" s="50" t="s">
        <v>108</v>
      </c>
      <c r="L1464" s="50" t="s">
        <v>15</v>
      </c>
      <c r="M1464" s="50" t="s">
        <v>13</v>
      </c>
      <c r="N1464" s="50" t="s">
        <v>14</v>
      </c>
      <c r="O1464" s="48" t="s">
        <v>620</v>
      </c>
      <c r="P1464" s="45" t="s">
        <v>453</v>
      </c>
      <c r="Q1464" s="35" t="str">
        <f>MID(Tabla1[[#This Row],[Aplicación]],14,1)</f>
        <v>2</v>
      </c>
      <c r="R1464" s="35" t="s">
        <v>441</v>
      </c>
      <c r="S1464" s="35" t="str">
        <f>MID(Tabla1[[#This Row],[Aplicación]],6,2)</f>
        <v>11</v>
      </c>
      <c r="T1464" s="35" t="str">
        <f>VLOOKUP(Tabla1[[#This Row],[AREA]],Hoja1!A:B,2,FALSE)</f>
        <v>11. Salud pública y seguridad ciudadana</v>
      </c>
      <c r="U1464" s="35" t="str">
        <f>MID(Tabla1[[#This Row],[Aplicación]],9,4)</f>
        <v>1631</v>
      </c>
      <c r="V1464" s="35" t="str">
        <f>VLOOKUP(Tabla1[[#This Row],[PROGRAMA]],Hoja1!A:B,2,FALSE)</f>
        <v>1631. Limpieza viaria</v>
      </c>
      <c r="W1464" s="35" t="str">
        <f>MID(Tabla1[[#This Row],[Aplicación]],14,2)</f>
        <v>22</v>
      </c>
      <c r="X1464" s="35" t="str">
        <f>MID(Tabla1[[#This Row],[Aplicación]],14,6)</f>
        <v>22103</v>
      </c>
    </row>
    <row r="1465" spans="1:24" x14ac:dyDescent="0.25">
      <c r="A1465" s="49">
        <v>220209000032</v>
      </c>
      <c r="B1465" s="50" t="s">
        <v>9</v>
      </c>
      <c r="C1465" s="57">
        <v>44562</v>
      </c>
      <c r="D1465" s="49">
        <v>22022002087</v>
      </c>
      <c r="E1465" s="50" t="s">
        <v>1676</v>
      </c>
      <c r="F1465" s="58">
        <v>9165.75</v>
      </c>
      <c r="G1465" s="50" t="s">
        <v>194</v>
      </c>
      <c r="H1465" s="50" t="s">
        <v>2858</v>
      </c>
      <c r="I1465" s="49" t="s">
        <v>107</v>
      </c>
      <c r="J1465" s="50" t="s">
        <v>108</v>
      </c>
      <c r="K1465" s="50" t="s">
        <v>108</v>
      </c>
      <c r="L1465" s="50" t="s">
        <v>15</v>
      </c>
      <c r="M1465" s="50" t="s">
        <v>13</v>
      </c>
      <c r="N1465" s="50" t="s">
        <v>14</v>
      </c>
      <c r="O1465" s="48" t="s">
        <v>620</v>
      </c>
      <c r="P1465" s="45" t="s">
        <v>453</v>
      </c>
      <c r="Q1465" s="35" t="str">
        <f>MID(Tabla1[[#This Row],[Aplicación]],14,1)</f>
        <v>6</v>
      </c>
      <c r="R1465" s="35" t="s">
        <v>442</v>
      </c>
      <c r="S1465" s="35" t="str">
        <f>MID(Tabla1[[#This Row],[Aplicación]],6,2)</f>
        <v>04</v>
      </c>
      <c r="T1465" s="35" t="str">
        <f>VLOOKUP(Tabla1[[#This Row],[AREA]],Hoja1!A:B,2,FALSE)</f>
        <v>04. Planificación y recursos</v>
      </c>
      <c r="U1465" s="35" t="str">
        <f>MID(Tabla1[[#This Row],[Aplicación]],9,4)</f>
        <v>9204</v>
      </c>
      <c r="V1465" s="35" t="str">
        <f>VLOOKUP(Tabla1[[#This Row],[PROGRAMA]],Hoja1!A:B,2,FALSE)</f>
        <v>9204. Tecnologías de la información y comunicación</v>
      </c>
      <c r="W1465" s="35" t="str">
        <f>MID(Tabla1[[#This Row],[Aplicación]],14,2)</f>
        <v>64</v>
      </c>
      <c r="X1465" s="35" t="str">
        <f>MID(Tabla1[[#This Row],[Aplicación]],14,6)</f>
        <v>641</v>
      </c>
    </row>
    <row r="1466" spans="1:24" x14ac:dyDescent="0.25">
      <c r="A1466" s="49">
        <v>220219000748</v>
      </c>
      <c r="B1466" s="50" t="s">
        <v>9</v>
      </c>
      <c r="C1466" s="57">
        <v>44562</v>
      </c>
      <c r="D1466" s="49">
        <v>22022000590</v>
      </c>
      <c r="E1466" s="50" t="s">
        <v>2859</v>
      </c>
      <c r="F1466" s="58">
        <v>8621.25</v>
      </c>
      <c r="G1466" s="50" t="s">
        <v>2860</v>
      </c>
      <c r="H1466" s="50" t="s">
        <v>2861</v>
      </c>
      <c r="I1466" s="49" t="s">
        <v>107</v>
      </c>
      <c r="J1466" s="50" t="s">
        <v>539</v>
      </c>
      <c r="K1466" s="50" t="s">
        <v>109</v>
      </c>
      <c r="L1466" s="50" t="s">
        <v>12</v>
      </c>
      <c r="M1466" s="50" t="s">
        <v>10</v>
      </c>
      <c r="N1466" s="50" t="s">
        <v>11</v>
      </c>
      <c r="O1466" s="48" t="s">
        <v>632</v>
      </c>
      <c r="P1466" s="45" t="s">
        <v>453</v>
      </c>
      <c r="Q1466" s="35" t="str">
        <f>MID(Tabla1[[#This Row],[Aplicación]],14,1)</f>
        <v>2</v>
      </c>
      <c r="R1466" s="35" t="s">
        <v>441</v>
      </c>
      <c r="S1466" s="35" t="str">
        <f>MID(Tabla1[[#This Row],[Aplicación]],6,2)</f>
        <v>02</v>
      </c>
      <c r="T1466" s="35" t="str">
        <f>VLOOKUP(Tabla1[[#This Row],[AREA]],Hoja1!A:B,2,FALSE)</f>
        <v>02. Planeamiento urbanístico y vivienda</v>
      </c>
      <c r="U1466" s="35" t="str">
        <f>MID(Tabla1[[#This Row],[Aplicación]],9,4)</f>
        <v>1511</v>
      </c>
      <c r="V1466" s="35" t="str">
        <f>VLOOKUP(Tabla1[[#This Row],[PROGRAMA]],Hoja1!A:B,2,FALSE)</f>
        <v>1511. Planficación y gestión del urbanismo</v>
      </c>
      <c r="W1466" s="35" t="str">
        <f>MID(Tabla1[[#This Row],[Aplicación]],14,2)</f>
        <v>22</v>
      </c>
      <c r="X1466" s="35" t="str">
        <f>MID(Tabla1[[#This Row],[Aplicación]],14,6)</f>
        <v>22706</v>
      </c>
    </row>
    <row r="1467" spans="1:24" x14ac:dyDescent="0.25">
      <c r="A1467" s="49">
        <v>220220005774</v>
      </c>
      <c r="B1467" s="50" t="s">
        <v>9</v>
      </c>
      <c r="C1467" s="57">
        <v>44615</v>
      </c>
      <c r="D1467" s="49">
        <v>22022002320</v>
      </c>
      <c r="E1467" s="50" t="s">
        <v>1890</v>
      </c>
      <c r="F1467" s="58">
        <v>998.25</v>
      </c>
      <c r="G1467" s="50" t="s">
        <v>1279</v>
      </c>
      <c r="H1467" s="50" t="s">
        <v>2862</v>
      </c>
      <c r="I1467" s="49" t="s">
        <v>107</v>
      </c>
      <c r="J1467" s="50" t="s">
        <v>1258</v>
      </c>
      <c r="K1467" s="50" t="s">
        <v>144</v>
      </c>
      <c r="L1467" s="50" t="s">
        <v>15</v>
      </c>
      <c r="M1467" s="50" t="s">
        <v>10</v>
      </c>
      <c r="N1467" s="50" t="s">
        <v>11</v>
      </c>
      <c r="O1467" s="48" t="s">
        <v>632</v>
      </c>
      <c r="P1467" s="45" t="s">
        <v>453</v>
      </c>
      <c r="Q1467" s="35" t="str">
        <f>MID(Tabla1[[#This Row],[Aplicación]],14,1)</f>
        <v>2</v>
      </c>
      <c r="R1467" s="35" t="s">
        <v>441</v>
      </c>
      <c r="S1467" s="35" t="str">
        <f>MID(Tabla1[[#This Row],[Aplicación]],6,2)</f>
        <v>02</v>
      </c>
      <c r="T1467" s="35" t="str">
        <f>VLOOKUP(Tabla1[[#This Row],[AREA]],Hoja1!A:B,2,FALSE)</f>
        <v>02. Planeamiento urbanístico y vivienda</v>
      </c>
      <c r="U1467" s="35" t="str">
        <f>MID(Tabla1[[#This Row],[Aplicación]],9,4)</f>
        <v>9332</v>
      </c>
      <c r="V1467" s="35" t="str">
        <f>VLOOKUP(Tabla1[[#This Row],[PROGRAMA]],Hoja1!A:B,2,FALSE)</f>
        <v>9332. Mantenimiento de edificios e instalaciones municipales</v>
      </c>
      <c r="W1467" s="35" t="str">
        <f>MID(Tabla1[[#This Row],[Aplicación]],14,2)</f>
        <v>21</v>
      </c>
      <c r="X1467" s="35" t="str">
        <f>MID(Tabla1[[#This Row],[Aplicación]],14,6)</f>
        <v>212</v>
      </c>
    </row>
    <row r="1468" spans="1:24" x14ac:dyDescent="0.25">
      <c r="A1468" s="49">
        <v>220220008630</v>
      </c>
      <c r="B1468" s="50" t="s">
        <v>9</v>
      </c>
      <c r="C1468" s="57">
        <v>44631</v>
      </c>
      <c r="D1468" s="49">
        <v>22022002704</v>
      </c>
      <c r="E1468" s="50" t="s">
        <v>1890</v>
      </c>
      <c r="F1468" s="58">
        <v>418.78</v>
      </c>
      <c r="G1468" s="50" t="s">
        <v>1279</v>
      </c>
      <c r="H1468" s="50" t="s">
        <v>2863</v>
      </c>
      <c r="I1468" s="49" t="s">
        <v>107</v>
      </c>
      <c r="J1468" s="50" t="s">
        <v>1258</v>
      </c>
      <c r="K1468" s="50" t="s">
        <v>144</v>
      </c>
      <c r="L1468" s="50" t="s">
        <v>15</v>
      </c>
      <c r="M1468" s="50" t="s">
        <v>10</v>
      </c>
      <c r="N1468" s="50" t="s">
        <v>11</v>
      </c>
      <c r="O1468" s="48" t="s">
        <v>632</v>
      </c>
      <c r="P1468" s="45" t="s">
        <v>453</v>
      </c>
      <c r="Q1468" s="35" t="str">
        <f>MID(Tabla1[[#This Row],[Aplicación]],14,1)</f>
        <v>2</v>
      </c>
      <c r="R1468" s="35" t="s">
        <v>441</v>
      </c>
      <c r="S1468" s="35" t="str">
        <f>MID(Tabla1[[#This Row],[Aplicación]],6,2)</f>
        <v>02</v>
      </c>
      <c r="T1468" s="35" t="str">
        <f>VLOOKUP(Tabla1[[#This Row],[AREA]],Hoja1!A:B,2,FALSE)</f>
        <v>02. Planeamiento urbanístico y vivienda</v>
      </c>
      <c r="U1468" s="35" t="str">
        <f>MID(Tabla1[[#This Row],[Aplicación]],9,4)</f>
        <v>9332</v>
      </c>
      <c r="V1468" s="35" t="str">
        <f>VLOOKUP(Tabla1[[#This Row],[PROGRAMA]],Hoja1!A:B,2,FALSE)</f>
        <v>9332. Mantenimiento de edificios e instalaciones municipales</v>
      </c>
      <c r="W1468" s="35" t="str">
        <f>MID(Tabla1[[#This Row],[Aplicación]],14,2)</f>
        <v>21</v>
      </c>
      <c r="X1468" s="35" t="str">
        <f>MID(Tabla1[[#This Row],[Aplicación]],14,6)</f>
        <v>212</v>
      </c>
    </row>
    <row r="1469" spans="1:24" x14ac:dyDescent="0.25">
      <c r="A1469" s="49">
        <v>220220000062</v>
      </c>
      <c r="B1469" s="50" t="s">
        <v>9</v>
      </c>
      <c r="C1469" s="57">
        <v>44580</v>
      </c>
      <c r="D1469" s="49">
        <v>22022000004</v>
      </c>
      <c r="E1469" s="50" t="s">
        <v>2605</v>
      </c>
      <c r="F1469" s="58">
        <v>772.47</v>
      </c>
      <c r="G1469" s="50" t="s">
        <v>458</v>
      </c>
      <c r="H1469" s="50" t="s">
        <v>2864</v>
      </c>
      <c r="I1469" s="49" t="s">
        <v>107</v>
      </c>
      <c r="J1469" s="50" t="s">
        <v>109</v>
      </c>
      <c r="K1469" s="50" t="s">
        <v>109</v>
      </c>
      <c r="L1469" s="50" t="s">
        <v>12</v>
      </c>
      <c r="M1469" s="50" t="s">
        <v>13</v>
      </c>
      <c r="N1469" s="50" t="s">
        <v>14</v>
      </c>
      <c r="O1469" s="48" t="s">
        <v>631</v>
      </c>
      <c r="P1469" s="45" t="s">
        <v>453</v>
      </c>
      <c r="Q1469" s="35" t="str">
        <f>MID(Tabla1[[#This Row],[Aplicación]],14,1)</f>
        <v>2</v>
      </c>
      <c r="R1469" s="35" t="s">
        <v>441</v>
      </c>
      <c r="S1469" s="35" t="str">
        <f>MID(Tabla1[[#This Row],[Aplicación]],6,2)</f>
        <v>04</v>
      </c>
      <c r="T1469" s="35" t="str">
        <f>VLOOKUP(Tabla1[[#This Row],[AREA]],Hoja1!A:B,2,FALSE)</f>
        <v>04. Planificación y recursos</v>
      </c>
      <c r="U1469" s="35" t="str">
        <f>MID(Tabla1[[#This Row],[Aplicación]],9,4)</f>
        <v>9231</v>
      </c>
      <c r="V1469" s="35" t="str">
        <f>VLOOKUP(Tabla1[[#This Row],[PROGRAMA]],Hoja1!A:B,2,FALSE)</f>
        <v>9231. Información, registro y gestión del padrón</v>
      </c>
      <c r="W1469" s="35" t="str">
        <f>MID(Tabla1[[#This Row],[Aplicación]],14,2)</f>
        <v>22</v>
      </c>
      <c r="X1469" s="35" t="str">
        <f>MID(Tabla1[[#This Row],[Aplicación]],14,6)</f>
        <v>22705</v>
      </c>
    </row>
    <row r="1470" spans="1:24" x14ac:dyDescent="0.25">
      <c r="A1470" s="49">
        <v>220210069586</v>
      </c>
      <c r="B1470" s="50" t="s">
        <v>9</v>
      </c>
      <c r="C1470" s="57">
        <v>44620</v>
      </c>
      <c r="D1470" s="49">
        <v>22021004824</v>
      </c>
      <c r="E1470" s="50" t="s">
        <v>1368</v>
      </c>
      <c r="F1470" s="58">
        <v>8470</v>
      </c>
      <c r="G1470" s="50" t="s">
        <v>1218</v>
      </c>
      <c r="H1470" s="50" t="s">
        <v>1219</v>
      </c>
      <c r="I1470" s="49" t="s">
        <v>107</v>
      </c>
      <c r="J1470" s="50" t="s">
        <v>539</v>
      </c>
      <c r="K1470" s="50" t="s">
        <v>109</v>
      </c>
      <c r="L1470" s="50" t="s">
        <v>25</v>
      </c>
      <c r="M1470" s="50" t="s">
        <v>13</v>
      </c>
      <c r="N1470" s="50" t="s">
        <v>14</v>
      </c>
      <c r="O1470" s="48" t="s">
        <v>620</v>
      </c>
      <c r="P1470" s="45" t="s">
        <v>453</v>
      </c>
      <c r="Q1470" s="35" t="str">
        <f>MID(Tabla1[[#This Row],[Aplicación]],14,1)</f>
        <v>6</v>
      </c>
      <c r="R1470" s="35" t="s">
        <v>442</v>
      </c>
      <c r="S1470" s="35" t="str">
        <f>MID(Tabla1[[#This Row],[Aplicación]],6,2)</f>
        <v>08</v>
      </c>
      <c r="T1470" s="35" t="str">
        <f>VLOOKUP(Tabla1[[#This Row],[AREA]],Hoja1!A:B,2,FALSE)</f>
        <v>08. Movilidad y espacio urbano</v>
      </c>
      <c r="U1470" s="35" t="str">
        <f>MID(Tabla1[[#This Row],[Aplicación]],9,4)</f>
        <v>1532</v>
      </c>
      <c r="V1470" s="35" t="str">
        <f>VLOOKUP(Tabla1[[#This Row],[PROGRAMA]],Hoja1!A:B,2,FALSE)</f>
        <v>1532. Pavimentación vias públicas y otros servicios urbanísticos</v>
      </c>
      <c r="W1470" s="35" t="str">
        <f>MID(Tabla1[[#This Row],[Aplicación]],14,2)</f>
        <v>61</v>
      </c>
      <c r="X1470" s="35" t="str">
        <f>MID(Tabla1[[#This Row],[Aplicación]],14,6)</f>
        <v>619</v>
      </c>
    </row>
    <row r="1471" spans="1:24" x14ac:dyDescent="0.25">
      <c r="A1471" s="49">
        <v>220219000235</v>
      </c>
      <c r="B1471" s="50" t="s">
        <v>9</v>
      </c>
      <c r="C1471" s="57">
        <v>44562</v>
      </c>
      <c r="D1471" s="49">
        <v>22022000425</v>
      </c>
      <c r="E1471" s="50" t="s">
        <v>2203</v>
      </c>
      <c r="F1471" s="58">
        <v>2090.88</v>
      </c>
      <c r="G1471" s="50" t="s">
        <v>55</v>
      </c>
      <c r="H1471" s="50" t="s">
        <v>2865</v>
      </c>
      <c r="I1471" s="49" t="s">
        <v>107</v>
      </c>
      <c r="J1471" s="50" t="s">
        <v>109</v>
      </c>
      <c r="K1471" s="50" t="s">
        <v>109</v>
      </c>
      <c r="L1471" s="50" t="s">
        <v>12</v>
      </c>
      <c r="M1471" s="50" t="s">
        <v>13</v>
      </c>
      <c r="N1471" s="50" t="s">
        <v>14</v>
      </c>
      <c r="O1471" s="48" t="s">
        <v>631</v>
      </c>
      <c r="P1471" s="45" t="s">
        <v>453</v>
      </c>
      <c r="Q1471" s="35" t="str">
        <f>MID(Tabla1[[#This Row],[Aplicación]],14,1)</f>
        <v>2</v>
      </c>
      <c r="R1471" s="35" t="s">
        <v>441</v>
      </c>
      <c r="S1471" s="35" t="str">
        <f>MID(Tabla1[[#This Row],[Aplicación]],6,2)</f>
        <v>05</v>
      </c>
      <c r="T1471" s="35" t="str">
        <f>VLOOKUP(Tabla1[[#This Row],[AREA]],Hoja1!A:B,2,FALSE)</f>
        <v>05. Innovación, desarrollo económico, empleo y comercio</v>
      </c>
      <c r="U1471" s="35" t="str">
        <f>MID(Tabla1[[#This Row],[Aplicación]],9,4)</f>
        <v>4331</v>
      </c>
      <c r="V1471" s="35" t="str">
        <f>VLOOKUP(Tabla1[[#This Row],[PROGRAMA]],Hoja1!A:B,2,FALSE)</f>
        <v>4331. Desarrollo empresarial</v>
      </c>
      <c r="W1471" s="35" t="str">
        <f>MID(Tabla1[[#This Row],[Aplicación]],14,2)</f>
        <v>22</v>
      </c>
      <c r="X1471" s="35" t="str">
        <f>MID(Tabla1[[#This Row],[Aplicación]],14,6)</f>
        <v>22602</v>
      </c>
    </row>
    <row r="1472" spans="1:24" x14ac:dyDescent="0.25">
      <c r="A1472" s="49">
        <v>220209000657</v>
      </c>
      <c r="B1472" s="50" t="s">
        <v>9</v>
      </c>
      <c r="C1472" s="57">
        <v>44562</v>
      </c>
      <c r="D1472" s="49">
        <v>22022000227</v>
      </c>
      <c r="E1472" s="50" t="s">
        <v>2866</v>
      </c>
      <c r="F1472" s="58">
        <v>8000</v>
      </c>
      <c r="G1472" s="50" t="s">
        <v>904</v>
      </c>
      <c r="H1472" s="50" t="s">
        <v>905</v>
      </c>
      <c r="I1472" s="49" t="s">
        <v>107</v>
      </c>
      <c r="J1472" s="50" t="s">
        <v>109</v>
      </c>
      <c r="K1472" s="50" t="s">
        <v>109</v>
      </c>
      <c r="L1472" s="50" t="s">
        <v>12</v>
      </c>
      <c r="M1472" s="50" t="s">
        <v>13</v>
      </c>
      <c r="N1472" s="50" t="s">
        <v>14</v>
      </c>
      <c r="O1472" s="48" t="s">
        <v>620</v>
      </c>
      <c r="P1472" s="45" t="s">
        <v>453</v>
      </c>
      <c r="Q1472" s="35" t="str">
        <f>MID(Tabla1[[#This Row],[Aplicación]],14,1)</f>
        <v>2</v>
      </c>
      <c r="R1472" s="35" t="s">
        <v>441</v>
      </c>
      <c r="S1472" s="35" t="str">
        <f>MID(Tabla1[[#This Row],[Aplicación]],6,2)</f>
        <v>05</v>
      </c>
      <c r="T1472" s="35" t="str">
        <f>VLOOKUP(Tabla1[[#This Row],[AREA]],Hoja1!A:B,2,FALSE)</f>
        <v>05. Innovación, desarrollo económico, empleo y comercio</v>
      </c>
      <c r="U1472" s="35" t="str">
        <f>MID(Tabla1[[#This Row],[Aplicación]],9,4)</f>
        <v>4312</v>
      </c>
      <c r="V1472" s="35" t="str">
        <f>VLOOKUP(Tabla1[[#This Row],[PROGRAMA]],Hoja1!A:B,2,FALSE)</f>
        <v>4312. Mercados, abastos y lonjas</v>
      </c>
      <c r="W1472" s="35" t="str">
        <f>MID(Tabla1[[#This Row],[Aplicación]],14,2)</f>
        <v>22</v>
      </c>
      <c r="X1472" s="35" t="str">
        <f>MID(Tabla1[[#This Row],[Aplicación]],14,6)</f>
        <v>22606</v>
      </c>
    </row>
    <row r="1473" spans="1:24" x14ac:dyDescent="0.25">
      <c r="A1473" s="49">
        <v>220220005195</v>
      </c>
      <c r="B1473" s="50" t="s">
        <v>9</v>
      </c>
      <c r="C1473" s="57">
        <v>44614</v>
      </c>
      <c r="D1473" s="49">
        <v>22022002029</v>
      </c>
      <c r="E1473" s="50" t="s">
        <v>1611</v>
      </c>
      <c r="F1473" s="58">
        <v>1456</v>
      </c>
      <c r="G1473" s="50" t="s">
        <v>55</v>
      </c>
      <c r="H1473" s="50" t="s">
        <v>2867</v>
      </c>
      <c r="I1473" s="49" t="s">
        <v>107</v>
      </c>
      <c r="J1473" s="50" t="s">
        <v>109</v>
      </c>
      <c r="K1473" s="50" t="s">
        <v>109</v>
      </c>
      <c r="L1473" s="50" t="s">
        <v>15</v>
      </c>
      <c r="M1473" s="50" t="s">
        <v>10</v>
      </c>
      <c r="N1473" s="50" t="s">
        <v>11</v>
      </c>
      <c r="O1473" s="48" t="s">
        <v>632</v>
      </c>
      <c r="P1473" s="45" t="s">
        <v>453</v>
      </c>
      <c r="Q1473" s="35" t="str">
        <f>MID(Tabla1[[#This Row],[Aplicación]],14,1)</f>
        <v>2</v>
      </c>
      <c r="R1473" s="35" t="s">
        <v>441</v>
      </c>
      <c r="S1473" s="35" t="str">
        <f>MID(Tabla1[[#This Row],[Aplicación]],6,2)</f>
        <v>01</v>
      </c>
      <c r="T1473" s="35" t="str">
        <f>VLOOKUP(Tabla1[[#This Row],[AREA]],Hoja1!A:B,2,FALSE)</f>
        <v>01. Alcaldía</v>
      </c>
      <c r="U1473" s="35" t="str">
        <f>MID(Tabla1[[#This Row],[Aplicación]],9,4)</f>
        <v>9207</v>
      </c>
      <c r="V1473" s="35" t="str">
        <f>VLOOKUP(Tabla1[[#This Row],[PROGRAMA]],Hoja1!A:B,2,FALSE)</f>
        <v>9207. Gobierno y relaciones</v>
      </c>
      <c r="W1473" s="35" t="str">
        <f>MID(Tabla1[[#This Row],[Aplicación]],14,2)</f>
        <v>22</v>
      </c>
      <c r="X1473" s="35" t="str">
        <f>MID(Tabla1[[#This Row],[Aplicación]],14,6)</f>
        <v>22001</v>
      </c>
    </row>
    <row r="1474" spans="1:24" x14ac:dyDescent="0.25">
      <c r="A1474" s="49">
        <v>220220002605</v>
      </c>
      <c r="B1474" s="50" t="s">
        <v>9</v>
      </c>
      <c r="C1474" s="57">
        <v>44599</v>
      </c>
      <c r="D1474" s="49">
        <v>22022001880</v>
      </c>
      <c r="E1474" s="50" t="s">
        <v>1907</v>
      </c>
      <c r="F1474" s="58">
        <v>7260</v>
      </c>
      <c r="G1474" s="50" t="s">
        <v>1247</v>
      </c>
      <c r="H1474" s="50" t="s">
        <v>2868</v>
      </c>
      <c r="I1474" s="49" t="s">
        <v>107</v>
      </c>
      <c r="J1474" s="50" t="s">
        <v>1248</v>
      </c>
      <c r="K1474" s="50" t="s">
        <v>128</v>
      </c>
      <c r="L1474" s="50" t="s">
        <v>15</v>
      </c>
      <c r="M1474" s="50" t="s">
        <v>10</v>
      </c>
      <c r="N1474" s="50" t="s">
        <v>11</v>
      </c>
      <c r="O1474" s="48" t="s">
        <v>632</v>
      </c>
      <c r="P1474" s="45" t="s">
        <v>453</v>
      </c>
      <c r="Q1474" s="35" t="str">
        <f>MID(Tabla1[[#This Row],[Aplicación]],14,1)</f>
        <v>2</v>
      </c>
      <c r="R1474" s="35" t="s">
        <v>441</v>
      </c>
      <c r="S1474" s="35" t="str">
        <f>MID(Tabla1[[#This Row],[Aplicación]],6,2)</f>
        <v>11</v>
      </c>
      <c r="T1474" s="35" t="str">
        <f>VLOOKUP(Tabla1[[#This Row],[AREA]],Hoja1!A:B,2,FALSE)</f>
        <v>11. Salud pública y seguridad ciudadana</v>
      </c>
      <c r="U1474" s="35" t="str">
        <f>MID(Tabla1[[#This Row],[Aplicación]],9,4)</f>
        <v>3111</v>
      </c>
      <c r="V1474" s="35" t="str">
        <f>VLOOKUP(Tabla1[[#This Row],[PROGRAMA]],Hoja1!A:B,2,FALSE)</f>
        <v>3111. Protección de la salubridad pública</v>
      </c>
      <c r="W1474" s="35" t="str">
        <f>MID(Tabla1[[#This Row],[Aplicación]],14,2)</f>
        <v>22</v>
      </c>
      <c r="X1474" s="35" t="str">
        <f>MID(Tabla1[[#This Row],[Aplicación]],14,6)</f>
        <v>22106</v>
      </c>
    </row>
    <row r="1475" spans="1:24" x14ac:dyDescent="0.25">
      <c r="A1475" s="49">
        <v>220220005197</v>
      </c>
      <c r="B1475" s="50" t="s">
        <v>9</v>
      </c>
      <c r="C1475" s="57">
        <v>44614</v>
      </c>
      <c r="D1475" s="49">
        <v>22022002067</v>
      </c>
      <c r="E1475" s="50" t="s">
        <v>1659</v>
      </c>
      <c r="F1475" s="58">
        <v>7260</v>
      </c>
      <c r="G1475" s="50" t="s">
        <v>887</v>
      </c>
      <c r="H1475" s="50" t="s">
        <v>2869</v>
      </c>
      <c r="I1475" s="49" t="s">
        <v>107</v>
      </c>
      <c r="J1475" s="50" t="s">
        <v>888</v>
      </c>
      <c r="K1475" s="50" t="s">
        <v>108</v>
      </c>
      <c r="L1475" s="50" t="s">
        <v>12</v>
      </c>
      <c r="M1475" s="50" t="s">
        <v>10</v>
      </c>
      <c r="N1475" s="50" t="s">
        <v>11</v>
      </c>
      <c r="O1475" s="48" t="s">
        <v>632</v>
      </c>
      <c r="P1475" s="45" t="s">
        <v>453</v>
      </c>
      <c r="Q1475" s="35" t="str">
        <f>MID(Tabla1[[#This Row],[Aplicación]],14,1)</f>
        <v>2</v>
      </c>
      <c r="R1475" s="35" t="s">
        <v>441</v>
      </c>
      <c r="S1475" s="35" t="str">
        <f>MID(Tabla1[[#This Row],[Aplicación]],6,2)</f>
        <v>05</v>
      </c>
      <c r="T1475" s="35" t="str">
        <f>VLOOKUP(Tabla1[[#This Row],[AREA]],Hoja1!A:B,2,FALSE)</f>
        <v>05. Innovación, desarrollo económico, empleo y comercio</v>
      </c>
      <c r="U1475" s="35" t="str">
        <f>MID(Tabla1[[#This Row],[Aplicación]],9,4)</f>
        <v>4331</v>
      </c>
      <c r="V1475" s="35" t="str">
        <f>VLOOKUP(Tabla1[[#This Row],[PROGRAMA]],Hoja1!A:B,2,FALSE)</f>
        <v>4331. Desarrollo empresarial</v>
      </c>
      <c r="W1475" s="35" t="str">
        <f>MID(Tabla1[[#This Row],[Aplicación]],14,2)</f>
        <v>22</v>
      </c>
      <c r="X1475" s="35" t="str">
        <f>MID(Tabla1[[#This Row],[Aplicación]],14,6)</f>
        <v>22799</v>
      </c>
    </row>
    <row r="1476" spans="1:24" x14ac:dyDescent="0.25">
      <c r="A1476" s="49">
        <v>220220005799</v>
      </c>
      <c r="B1476" s="50" t="s">
        <v>9</v>
      </c>
      <c r="C1476" s="57">
        <v>44615</v>
      </c>
      <c r="D1476" s="49">
        <v>22022002390</v>
      </c>
      <c r="E1476" s="50" t="s">
        <v>2309</v>
      </c>
      <c r="F1476" s="58">
        <v>7260</v>
      </c>
      <c r="G1476" s="50" t="s">
        <v>581</v>
      </c>
      <c r="H1476" s="50" t="s">
        <v>2870</v>
      </c>
      <c r="I1476" s="49" t="s">
        <v>107</v>
      </c>
      <c r="J1476" s="50" t="s">
        <v>572</v>
      </c>
      <c r="K1476" s="50" t="s">
        <v>108</v>
      </c>
      <c r="L1476" s="50" t="s">
        <v>12</v>
      </c>
      <c r="M1476" s="50" t="s">
        <v>10</v>
      </c>
      <c r="N1476" s="50" t="s">
        <v>11</v>
      </c>
      <c r="O1476" s="48" t="s">
        <v>632</v>
      </c>
      <c r="P1476" s="45" t="s">
        <v>453</v>
      </c>
      <c r="Q1476" s="35" t="str">
        <f>MID(Tabla1[[#This Row],[Aplicación]],14,1)</f>
        <v>2</v>
      </c>
      <c r="R1476" s="35" t="s">
        <v>441</v>
      </c>
      <c r="S1476" s="35" t="str">
        <f>MID(Tabla1[[#This Row],[Aplicación]],6,2)</f>
        <v>07</v>
      </c>
      <c r="T1476" s="35" t="str">
        <f>VLOOKUP(Tabla1[[#This Row],[AREA]],Hoja1!A:B,2,FALSE)</f>
        <v>07. Medio ambiente y desarrollo sostenible</v>
      </c>
      <c r="U1476" s="35" t="str">
        <f>MID(Tabla1[[#This Row],[Aplicación]],9,4)</f>
        <v>1721</v>
      </c>
      <c r="V1476" s="35" t="str">
        <f>VLOOKUP(Tabla1[[#This Row],[PROGRAMA]],Hoja1!A:B,2,FALSE)</f>
        <v>1721. Protección del medio ambiente</v>
      </c>
      <c r="W1476" s="35" t="str">
        <f>MID(Tabla1[[#This Row],[Aplicación]],14,2)</f>
        <v>21</v>
      </c>
      <c r="X1476" s="35" t="str">
        <f>MID(Tabla1[[#This Row],[Aplicación]],14,6)</f>
        <v>213</v>
      </c>
    </row>
    <row r="1477" spans="1:24" x14ac:dyDescent="0.25">
      <c r="A1477" s="49">
        <v>220220007934</v>
      </c>
      <c r="B1477" s="50" t="s">
        <v>9</v>
      </c>
      <c r="C1477" s="57">
        <v>44627</v>
      </c>
      <c r="D1477" s="49">
        <v>22022002605</v>
      </c>
      <c r="E1477" s="50" t="s">
        <v>1946</v>
      </c>
      <c r="F1477" s="58">
        <v>7255.16</v>
      </c>
      <c r="G1477" s="50" t="s">
        <v>86</v>
      </c>
      <c r="H1477" s="50" t="s">
        <v>2871</v>
      </c>
      <c r="I1477" s="49" t="s">
        <v>107</v>
      </c>
      <c r="J1477" s="50" t="s">
        <v>109</v>
      </c>
      <c r="K1477" s="50" t="s">
        <v>109</v>
      </c>
      <c r="L1477" s="50" t="s">
        <v>25</v>
      </c>
      <c r="M1477" s="50" t="s">
        <v>10</v>
      </c>
      <c r="N1477" s="50" t="s">
        <v>11</v>
      </c>
      <c r="O1477" s="48" t="s">
        <v>632</v>
      </c>
      <c r="P1477" s="45" t="s">
        <v>453</v>
      </c>
      <c r="Q1477" s="35" t="str">
        <f>MID(Tabla1[[#This Row],[Aplicación]],14,1)</f>
        <v>6</v>
      </c>
      <c r="R1477" s="35" t="s">
        <v>442</v>
      </c>
      <c r="S1477" s="35" t="str">
        <f>MID(Tabla1[[#This Row],[Aplicación]],6,2)</f>
        <v>06</v>
      </c>
      <c r="T1477" s="35" t="str">
        <f>VLOOKUP(Tabla1[[#This Row],[AREA]],Hoja1!A:B,2,FALSE)</f>
        <v>06. Educación, infancia, juventud e igualdad</v>
      </c>
      <c r="U1477" s="35" t="str">
        <f>MID(Tabla1[[#This Row],[Aplicación]],9,4)</f>
        <v>3232</v>
      </c>
      <c r="V1477" s="35" t="str">
        <f>VLOOKUP(Tabla1[[#This Row],[PROGRAMA]],Hoja1!A:B,2,FALSE)</f>
        <v>3232. Conservación y mantenimiento centros educación infantil y primaria</v>
      </c>
      <c r="W1477" s="35" t="str">
        <f>MID(Tabla1[[#This Row],[Aplicación]],14,2)</f>
        <v>63</v>
      </c>
      <c r="X1477" s="35" t="str">
        <f>MID(Tabla1[[#This Row],[Aplicación]],14,6)</f>
        <v>632</v>
      </c>
    </row>
    <row r="1478" spans="1:24" x14ac:dyDescent="0.25">
      <c r="A1478" s="49">
        <v>220220007946</v>
      </c>
      <c r="B1478" s="50" t="s">
        <v>9</v>
      </c>
      <c r="C1478" s="57">
        <v>44628</v>
      </c>
      <c r="D1478" s="49">
        <v>22022002545</v>
      </c>
      <c r="E1478" s="50" t="s">
        <v>2872</v>
      </c>
      <c r="F1478" s="58">
        <v>276.18</v>
      </c>
      <c r="G1478" s="50" t="s">
        <v>55</v>
      </c>
      <c r="H1478" s="50" t="s">
        <v>2873</v>
      </c>
      <c r="I1478" s="49" t="s">
        <v>107</v>
      </c>
      <c r="J1478" s="50" t="s">
        <v>109</v>
      </c>
      <c r="K1478" s="50" t="s">
        <v>109</v>
      </c>
      <c r="L1478" s="50" t="s">
        <v>15</v>
      </c>
      <c r="M1478" s="50" t="s">
        <v>10</v>
      </c>
      <c r="N1478" s="50" t="s">
        <v>11</v>
      </c>
      <c r="O1478" s="48" t="s">
        <v>632</v>
      </c>
      <c r="P1478" s="45" t="s">
        <v>453</v>
      </c>
      <c r="Q1478" s="35" t="str">
        <f>MID(Tabla1[[#This Row],[Aplicación]],14,1)</f>
        <v>2</v>
      </c>
      <c r="R1478" s="35" t="s">
        <v>441</v>
      </c>
      <c r="S1478" s="35" t="str">
        <f>MID(Tabla1[[#This Row],[Aplicación]],6,2)</f>
        <v>10</v>
      </c>
      <c r="T1478" s="35" t="str">
        <f>VLOOKUP(Tabla1[[#This Row],[AREA]],Hoja1!A:B,2,FALSE)</f>
        <v>10. Servicios sociales y mediación comunitaria</v>
      </c>
      <c r="U1478" s="35" t="str">
        <f>MID(Tabla1[[#This Row],[Aplicación]],9,4)</f>
        <v>2311</v>
      </c>
      <c r="V1478" s="35" t="str">
        <f>VLOOKUP(Tabla1[[#This Row],[PROGRAMA]],Hoja1!A:B,2,FALSE)</f>
        <v>2311. Intervención social</v>
      </c>
      <c r="W1478" s="35" t="str">
        <f>MID(Tabla1[[#This Row],[Aplicación]],14,2)</f>
        <v>22</v>
      </c>
      <c r="X1478" s="35" t="str">
        <f>MID(Tabla1[[#This Row],[Aplicación]],14,6)</f>
        <v>22001</v>
      </c>
    </row>
    <row r="1479" spans="1:24" x14ac:dyDescent="0.25">
      <c r="A1479" s="49">
        <v>220220007926</v>
      </c>
      <c r="B1479" s="50" t="s">
        <v>9</v>
      </c>
      <c r="C1479" s="57">
        <v>44627</v>
      </c>
      <c r="D1479" s="49">
        <v>22022002568</v>
      </c>
      <c r="E1479" s="50" t="s">
        <v>1762</v>
      </c>
      <c r="F1479" s="58">
        <v>6566.5</v>
      </c>
      <c r="G1479" s="50" t="s">
        <v>55</v>
      </c>
      <c r="H1479" s="50" t="s">
        <v>2874</v>
      </c>
      <c r="I1479" s="49" t="s">
        <v>107</v>
      </c>
      <c r="J1479" s="50" t="s">
        <v>109</v>
      </c>
      <c r="K1479" s="50" t="s">
        <v>109</v>
      </c>
      <c r="L1479" s="50" t="s">
        <v>15</v>
      </c>
      <c r="M1479" s="50" t="s">
        <v>10</v>
      </c>
      <c r="N1479" s="50" t="s">
        <v>11</v>
      </c>
      <c r="O1479" s="48" t="s">
        <v>632</v>
      </c>
      <c r="P1479" s="45" t="s">
        <v>453</v>
      </c>
      <c r="Q1479" s="35" t="str">
        <f>MID(Tabla1[[#This Row],[Aplicación]],14,1)</f>
        <v>2</v>
      </c>
      <c r="R1479" s="35" t="s">
        <v>441</v>
      </c>
      <c r="S1479" s="35" t="str">
        <f>MID(Tabla1[[#This Row],[Aplicación]],6,2)</f>
        <v>06</v>
      </c>
      <c r="T1479" s="35" t="str">
        <f>VLOOKUP(Tabla1[[#This Row],[AREA]],Hoja1!A:B,2,FALSE)</f>
        <v>06. Educación, infancia, juventud e igualdad</v>
      </c>
      <c r="U1479" s="35" t="str">
        <f>MID(Tabla1[[#This Row],[Aplicación]],9,4)</f>
        <v>3321</v>
      </c>
      <c r="V1479" s="35" t="str">
        <f>VLOOKUP(Tabla1[[#This Row],[PROGRAMA]],Hoja1!A:B,2,FALSE)</f>
        <v>3321. Bibliotecas públicas</v>
      </c>
      <c r="W1479" s="35" t="str">
        <f>MID(Tabla1[[#This Row],[Aplicación]],14,2)</f>
        <v>22</v>
      </c>
      <c r="X1479" s="35" t="str">
        <f>MID(Tabla1[[#This Row],[Aplicación]],14,6)</f>
        <v>22001</v>
      </c>
    </row>
    <row r="1480" spans="1:24" x14ac:dyDescent="0.25">
      <c r="A1480" s="49">
        <v>220220003117</v>
      </c>
      <c r="B1480" s="50" t="s">
        <v>26</v>
      </c>
      <c r="C1480" s="57">
        <v>44601</v>
      </c>
      <c r="D1480" s="49">
        <v>22022001844</v>
      </c>
      <c r="E1480" s="50" t="s">
        <v>1771</v>
      </c>
      <c r="F1480" s="58">
        <v>8470</v>
      </c>
      <c r="G1480" s="50" t="s">
        <v>1225</v>
      </c>
      <c r="H1480" s="50" t="s">
        <v>2875</v>
      </c>
      <c r="I1480" s="49" t="s">
        <v>197</v>
      </c>
      <c r="J1480" s="50" t="s">
        <v>108</v>
      </c>
      <c r="K1480" s="50" t="s">
        <v>108</v>
      </c>
      <c r="L1480" s="50" t="s">
        <v>12</v>
      </c>
      <c r="M1480" s="50" t="s">
        <v>10</v>
      </c>
      <c r="N1480" s="50" t="s">
        <v>11</v>
      </c>
      <c r="O1480" s="48" t="s">
        <v>632</v>
      </c>
      <c r="P1480" s="45" t="s">
        <v>453</v>
      </c>
      <c r="Q1480" s="35" t="str">
        <f>MID(Tabla1[[#This Row],[Aplicación]],14,1)</f>
        <v>2</v>
      </c>
      <c r="R1480" s="35" t="s">
        <v>441</v>
      </c>
      <c r="S1480" s="35" t="str">
        <f>MID(Tabla1[[#This Row],[Aplicación]],6,2)</f>
        <v>05</v>
      </c>
      <c r="T1480" s="35" t="str">
        <f>VLOOKUP(Tabla1[[#This Row],[AREA]],Hoja1!A:B,2,FALSE)</f>
        <v>05. Innovación, desarrollo económico, empleo y comercio</v>
      </c>
      <c r="U1480" s="35" t="str">
        <f>MID(Tabla1[[#This Row],[Aplicación]],9,4)</f>
        <v>4331</v>
      </c>
      <c r="V1480" s="35" t="str">
        <f>VLOOKUP(Tabla1[[#This Row],[PROGRAMA]],Hoja1!A:B,2,FALSE)</f>
        <v>4331. Desarrollo empresarial</v>
      </c>
      <c r="W1480" s="35" t="str">
        <f>MID(Tabla1[[#This Row],[Aplicación]],14,2)</f>
        <v>22</v>
      </c>
      <c r="X1480" s="35" t="str">
        <f>MID(Tabla1[[#This Row],[Aplicación]],14,6)</f>
        <v>22699</v>
      </c>
    </row>
    <row r="1481" spans="1:24" x14ac:dyDescent="0.25">
      <c r="A1481" s="49">
        <v>220219001200</v>
      </c>
      <c r="B1481" s="50" t="s">
        <v>9</v>
      </c>
      <c r="C1481" s="57">
        <v>44562</v>
      </c>
      <c r="D1481" s="49">
        <v>22022000539</v>
      </c>
      <c r="E1481" s="50" t="s">
        <v>2603</v>
      </c>
      <c r="F1481" s="58">
        <v>8179.41</v>
      </c>
      <c r="G1481" s="50" t="s">
        <v>480</v>
      </c>
      <c r="H1481" s="50" t="s">
        <v>2876</v>
      </c>
      <c r="I1481" s="49" t="s">
        <v>107</v>
      </c>
      <c r="J1481" s="50" t="s">
        <v>109</v>
      </c>
      <c r="K1481" s="50" t="s">
        <v>109</v>
      </c>
      <c r="L1481" s="50" t="s">
        <v>12</v>
      </c>
      <c r="M1481" s="50" t="s">
        <v>13</v>
      </c>
      <c r="N1481" s="50" t="s">
        <v>14</v>
      </c>
      <c r="O1481" s="48" t="s">
        <v>631</v>
      </c>
      <c r="P1481" s="45" t="s">
        <v>453</v>
      </c>
      <c r="Q1481" s="35" t="str">
        <f>MID(Tabla1[[#This Row],[Aplicación]],14,1)</f>
        <v>2</v>
      </c>
      <c r="R1481" s="35" t="s">
        <v>441</v>
      </c>
      <c r="S1481" s="35" t="str">
        <f>MID(Tabla1[[#This Row],[Aplicación]],6,2)</f>
        <v>04</v>
      </c>
      <c r="T1481" s="35" t="str">
        <f>VLOOKUP(Tabla1[[#This Row],[AREA]],Hoja1!A:B,2,FALSE)</f>
        <v>04. Planificación y recursos</v>
      </c>
      <c r="U1481" s="35" t="str">
        <f>MID(Tabla1[[#This Row],[Aplicación]],9,4)</f>
        <v>3121</v>
      </c>
      <c r="V1481" s="35" t="str">
        <f>VLOOKUP(Tabla1[[#This Row],[PROGRAMA]],Hoja1!A:B,2,FALSE)</f>
        <v>3121. Prevención y salud laboral</v>
      </c>
      <c r="W1481" s="35" t="str">
        <f>MID(Tabla1[[#This Row],[Aplicación]],14,2)</f>
        <v>22</v>
      </c>
      <c r="X1481" s="35" t="str">
        <f>MID(Tabla1[[#This Row],[Aplicación]],14,6)</f>
        <v>22706</v>
      </c>
    </row>
    <row r="1482" spans="1:24" x14ac:dyDescent="0.25">
      <c r="A1482" s="49">
        <v>220220005930</v>
      </c>
      <c r="B1482" s="50" t="s">
        <v>9</v>
      </c>
      <c r="C1482" s="57">
        <v>44616</v>
      </c>
      <c r="D1482" s="49">
        <v>22022001892</v>
      </c>
      <c r="E1482" s="50" t="s">
        <v>1471</v>
      </c>
      <c r="F1482" s="58">
        <v>7442.9</v>
      </c>
      <c r="G1482" s="50" t="s">
        <v>894</v>
      </c>
      <c r="H1482" s="50" t="s">
        <v>2877</v>
      </c>
      <c r="I1482" s="49" t="s">
        <v>107</v>
      </c>
      <c r="J1482" s="50" t="s">
        <v>491</v>
      </c>
      <c r="K1482" s="50" t="s">
        <v>108</v>
      </c>
      <c r="L1482" s="50" t="s">
        <v>12</v>
      </c>
      <c r="M1482" s="50" t="s">
        <v>10</v>
      </c>
      <c r="N1482" s="50" t="s">
        <v>11</v>
      </c>
      <c r="O1482" s="48" t="s">
        <v>632</v>
      </c>
      <c r="P1482" s="45" t="s">
        <v>453</v>
      </c>
      <c r="Q1482" s="35" t="str">
        <f>MID(Tabla1[[#This Row],[Aplicación]],14,1)</f>
        <v>2</v>
      </c>
      <c r="R1482" s="35" t="s">
        <v>441</v>
      </c>
      <c r="S1482" s="35" t="str">
        <f>MID(Tabla1[[#This Row],[Aplicación]],6,2)</f>
        <v>11</v>
      </c>
      <c r="T1482" s="35" t="str">
        <f>VLOOKUP(Tabla1[[#This Row],[AREA]],Hoja1!A:B,2,FALSE)</f>
        <v>11. Salud pública y seguridad ciudadana</v>
      </c>
      <c r="U1482" s="35" t="str">
        <f>MID(Tabla1[[#This Row],[Aplicación]],9,4)</f>
        <v>1321</v>
      </c>
      <c r="V1482" s="35" t="str">
        <f>VLOOKUP(Tabla1[[#This Row],[PROGRAMA]],Hoja1!A:B,2,FALSE)</f>
        <v>1321. Policía municipal</v>
      </c>
      <c r="W1482" s="35" t="str">
        <f>MID(Tabla1[[#This Row],[Aplicación]],14,2)</f>
        <v>21</v>
      </c>
      <c r="X1482" s="35" t="str">
        <f>MID(Tabla1[[#This Row],[Aplicación]],14,6)</f>
        <v>213</v>
      </c>
    </row>
    <row r="1483" spans="1:24" x14ac:dyDescent="0.25">
      <c r="A1483" s="49">
        <v>220220003488</v>
      </c>
      <c r="B1483" s="50" t="s">
        <v>9</v>
      </c>
      <c r="C1483" s="57">
        <v>44606</v>
      </c>
      <c r="D1483" s="49">
        <v>22022001971</v>
      </c>
      <c r="E1483" s="50" t="s">
        <v>1714</v>
      </c>
      <c r="F1483" s="58">
        <v>7199.5</v>
      </c>
      <c r="G1483" s="50" t="s">
        <v>44</v>
      </c>
      <c r="H1483" s="50" t="s">
        <v>2878</v>
      </c>
      <c r="I1483" s="49" t="s">
        <v>107</v>
      </c>
      <c r="J1483" s="50" t="s">
        <v>109</v>
      </c>
      <c r="K1483" s="50" t="s">
        <v>109</v>
      </c>
      <c r="L1483" s="50" t="s">
        <v>12</v>
      </c>
      <c r="M1483" s="50" t="s">
        <v>10</v>
      </c>
      <c r="N1483" s="50" t="s">
        <v>11</v>
      </c>
      <c r="O1483" s="48" t="s">
        <v>632</v>
      </c>
      <c r="P1483" s="45" t="s">
        <v>453</v>
      </c>
      <c r="Q1483" s="35" t="str">
        <f>MID(Tabla1[[#This Row],[Aplicación]],14,1)</f>
        <v>2</v>
      </c>
      <c r="R1483" s="35" t="s">
        <v>441</v>
      </c>
      <c r="S1483" s="35" t="str">
        <f>MID(Tabla1[[#This Row],[Aplicación]],6,2)</f>
        <v>06</v>
      </c>
      <c r="T1483" s="35" t="str">
        <f>VLOOKUP(Tabla1[[#This Row],[AREA]],Hoja1!A:B,2,FALSE)</f>
        <v>06. Educación, infancia, juventud e igualdad</v>
      </c>
      <c r="U1483" s="35" t="str">
        <f>MID(Tabla1[[#This Row],[Aplicación]],9,4)</f>
        <v>3231</v>
      </c>
      <c r="V1483" s="35" t="str">
        <f>VLOOKUP(Tabla1[[#This Row],[PROGRAMA]],Hoja1!A:B,2,FALSE)</f>
        <v>3231. Escuelas infantiles</v>
      </c>
      <c r="W1483" s="35" t="str">
        <f>MID(Tabla1[[#This Row],[Aplicación]],14,2)</f>
        <v>21</v>
      </c>
      <c r="X1483" s="35" t="str">
        <f>MID(Tabla1[[#This Row],[Aplicación]],14,6)</f>
        <v>213</v>
      </c>
    </row>
    <row r="1484" spans="1:24" x14ac:dyDescent="0.25">
      <c r="A1484" s="49">
        <v>220210088318</v>
      </c>
      <c r="B1484" s="50" t="s">
        <v>9</v>
      </c>
      <c r="C1484" s="57">
        <v>44620</v>
      </c>
      <c r="D1484" s="49">
        <v>22021005678</v>
      </c>
      <c r="E1484" s="50" t="s">
        <v>1362</v>
      </c>
      <c r="F1484" s="58">
        <v>733.32</v>
      </c>
      <c r="G1484" s="50" t="s">
        <v>1249</v>
      </c>
      <c r="H1484" s="50" t="s">
        <v>1345</v>
      </c>
      <c r="I1484" s="49" t="s">
        <v>107</v>
      </c>
      <c r="J1484" s="50" t="s">
        <v>1250</v>
      </c>
      <c r="K1484" s="50" t="s">
        <v>138</v>
      </c>
      <c r="L1484" s="50" t="s">
        <v>12</v>
      </c>
      <c r="M1484" s="50" t="s">
        <v>13</v>
      </c>
      <c r="N1484" s="50" t="s">
        <v>16</v>
      </c>
      <c r="O1484" s="48" t="s">
        <v>631</v>
      </c>
      <c r="P1484" s="45" t="s">
        <v>453</v>
      </c>
      <c r="Q1484" s="35" t="str">
        <f>MID(Tabla1[[#This Row],[Aplicación]],14,1)</f>
        <v>6</v>
      </c>
      <c r="R1484" s="35" t="s">
        <v>442</v>
      </c>
      <c r="S1484" s="35" t="str">
        <f>MID(Tabla1[[#This Row],[Aplicación]],6,2)</f>
        <v>08</v>
      </c>
      <c r="T1484" s="35" t="str">
        <f>VLOOKUP(Tabla1[[#This Row],[AREA]],Hoja1!A:B,2,FALSE)</f>
        <v>08. Movilidad y espacio urbano</v>
      </c>
      <c r="U1484" s="35" t="str">
        <f>MID(Tabla1[[#This Row],[Aplicación]],9,4)</f>
        <v>1341</v>
      </c>
      <c r="V1484" s="35" t="str">
        <f>VLOOKUP(Tabla1[[#This Row],[PROGRAMA]],Hoja1!A:B,2,FALSE)</f>
        <v>1341. Movilidad</v>
      </c>
      <c r="W1484" s="35" t="str">
        <f>MID(Tabla1[[#This Row],[Aplicación]],14,2)</f>
        <v>60</v>
      </c>
      <c r="X1484" s="35" t="str">
        <f>MID(Tabla1[[#This Row],[Aplicación]],14,6)</f>
        <v>609</v>
      </c>
    </row>
    <row r="1485" spans="1:24" x14ac:dyDescent="0.25">
      <c r="A1485" s="49">
        <v>220219001270</v>
      </c>
      <c r="B1485" s="50" t="s">
        <v>9</v>
      </c>
      <c r="C1485" s="57">
        <v>44562</v>
      </c>
      <c r="D1485" s="49">
        <v>22022001993</v>
      </c>
      <c r="E1485" s="50" t="s">
        <v>1362</v>
      </c>
      <c r="F1485" s="58">
        <v>6599.93</v>
      </c>
      <c r="G1485" s="50" t="s">
        <v>1249</v>
      </c>
      <c r="H1485" s="50" t="s">
        <v>2879</v>
      </c>
      <c r="I1485" s="49" t="s">
        <v>107</v>
      </c>
      <c r="J1485" s="50" t="s">
        <v>1250</v>
      </c>
      <c r="K1485" s="50" t="s">
        <v>138</v>
      </c>
      <c r="L1485" s="50" t="s">
        <v>12</v>
      </c>
      <c r="M1485" s="50" t="s">
        <v>13</v>
      </c>
      <c r="N1485" s="50" t="s">
        <v>16</v>
      </c>
      <c r="O1485" s="48" t="s">
        <v>631</v>
      </c>
      <c r="P1485" s="45" t="s">
        <v>453</v>
      </c>
      <c r="Q1485" s="35" t="str">
        <f>MID(Tabla1[[#This Row],[Aplicación]],14,1)</f>
        <v>6</v>
      </c>
      <c r="R1485" s="35" t="s">
        <v>442</v>
      </c>
      <c r="S1485" s="35" t="str">
        <f>MID(Tabla1[[#This Row],[Aplicación]],6,2)</f>
        <v>08</v>
      </c>
      <c r="T1485" s="35" t="str">
        <f>VLOOKUP(Tabla1[[#This Row],[AREA]],Hoja1!A:B,2,FALSE)</f>
        <v>08. Movilidad y espacio urbano</v>
      </c>
      <c r="U1485" s="35" t="str">
        <f>MID(Tabla1[[#This Row],[Aplicación]],9,4)</f>
        <v>1341</v>
      </c>
      <c r="V1485" s="35" t="str">
        <f>VLOOKUP(Tabla1[[#This Row],[PROGRAMA]],Hoja1!A:B,2,FALSE)</f>
        <v>1341. Movilidad</v>
      </c>
      <c r="W1485" s="35" t="str">
        <f>MID(Tabla1[[#This Row],[Aplicación]],14,2)</f>
        <v>60</v>
      </c>
      <c r="X1485" s="35" t="str">
        <f>MID(Tabla1[[#This Row],[Aplicación]],14,6)</f>
        <v>609</v>
      </c>
    </row>
    <row r="1486" spans="1:24" x14ac:dyDescent="0.25">
      <c r="A1486" s="49">
        <v>220220007918</v>
      </c>
      <c r="B1486" s="50" t="s">
        <v>9</v>
      </c>
      <c r="C1486" s="57">
        <v>44627</v>
      </c>
      <c r="D1486" s="49">
        <v>22022002079</v>
      </c>
      <c r="E1486" s="50" t="s">
        <v>1368</v>
      </c>
      <c r="F1486" s="58">
        <v>6531.82</v>
      </c>
      <c r="G1486" s="50" t="s">
        <v>1249</v>
      </c>
      <c r="H1486" s="50" t="s">
        <v>2707</v>
      </c>
      <c r="I1486" s="49" t="s">
        <v>107</v>
      </c>
      <c r="J1486" s="50" t="s">
        <v>1250</v>
      </c>
      <c r="K1486" s="50" t="s">
        <v>138</v>
      </c>
      <c r="L1486" s="50" t="s">
        <v>12</v>
      </c>
      <c r="M1486" s="50" t="s">
        <v>13</v>
      </c>
      <c r="N1486" s="50" t="s">
        <v>14</v>
      </c>
      <c r="O1486" s="48" t="s">
        <v>631</v>
      </c>
      <c r="P1486" s="45" t="s">
        <v>453</v>
      </c>
      <c r="Q1486" s="35" t="str">
        <f>MID(Tabla1[[#This Row],[Aplicación]],14,1)</f>
        <v>6</v>
      </c>
      <c r="R1486" s="35" t="s">
        <v>442</v>
      </c>
      <c r="S1486" s="35" t="str">
        <f>MID(Tabla1[[#This Row],[Aplicación]],6,2)</f>
        <v>08</v>
      </c>
      <c r="T1486" s="35" t="str">
        <f>VLOOKUP(Tabla1[[#This Row],[AREA]],Hoja1!A:B,2,FALSE)</f>
        <v>08. Movilidad y espacio urbano</v>
      </c>
      <c r="U1486" s="35" t="str">
        <f>MID(Tabla1[[#This Row],[Aplicación]],9,4)</f>
        <v>1532</v>
      </c>
      <c r="V1486" s="35" t="str">
        <f>VLOOKUP(Tabla1[[#This Row],[PROGRAMA]],Hoja1!A:B,2,FALSE)</f>
        <v>1532. Pavimentación vias públicas y otros servicios urbanísticos</v>
      </c>
      <c r="W1486" s="35" t="str">
        <f>MID(Tabla1[[#This Row],[Aplicación]],14,2)</f>
        <v>61</v>
      </c>
      <c r="X1486" s="35" t="str">
        <f>MID(Tabla1[[#This Row],[Aplicación]],14,6)</f>
        <v>619</v>
      </c>
    </row>
    <row r="1487" spans="1:24" x14ac:dyDescent="0.25">
      <c r="A1487" s="49">
        <v>220220007919</v>
      </c>
      <c r="B1487" s="50" t="s">
        <v>9</v>
      </c>
      <c r="C1487" s="57">
        <v>44627</v>
      </c>
      <c r="D1487" s="49">
        <v>22022002108</v>
      </c>
      <c r="E1487" s="50" t="s">
        <v>1368</v>
      </c>
      <c r="F1487" s="58">
        <v>9269.5</v>
      </c>
      <c r="G1487" s="50" t="s">
        <v>1249</v>
      </c>
      <c r="H1487" s="50" t="s">
        <v>2880</v>
      </c>
      <c r="I1487" s="49" t="s">
        <v>107</v>
      </c>
      <c r="J1487" s="50" t="s">
        <v>1250</v>
      </c>
      <c r="K1487" s="50" t="s">
        <v>138</v>
      </c>
      <c r="L1487" s="50" t="s">
        <v>12</v>
      </c>
      <c r="M1487" s="50" t="s">
        <v>13</v>
      </c>
      <c r="N1487" s="50" t="s">
        <v>14</v>
      </c>
      <c r="O1487" s="48" t="s">
        <v>631</v>
      </c>
      <c r="P1487" s="45" t="s">
        <v>453</v>
      </c>
      <c r="Q1487" s="35" t="str">
        <f>MID(Tabla1[[#This Row],[Aplicación]],14,1)</f>
        <v>6</v>
      </c>
      <c r="R1487" s="35" t="s">
        <v>442</v>
      </c>
      <c r="S1487" s="35" t="str">
        <f>MID(Tabla1[[#This Row],[Aplicación]],6,2)</f>
        <v>08</v>
      </c>
      <c r="T1487" s="35" t="str">
        <f>VLOOKUP(Tabla1[[#This Row],[AREA]],Hoja1!A:B,2,FALSE)</f>
        <v>08. Movilidad y espacio urbano</v>
      </c>
      <c r="U1487" s="35" t="str">
        <f>MID(Tabla1[[#This Row],[Aplicación]],9,4)</f>
        <v>1532</v>
      </c>
      <c r="V1487" s="35" t="str">
        <f>VLOOKUP(Tabla1[[#This Row],[PROGRAMA]],Hoja1!A:B,2,FALSE)</f>
        <v>1532. Pavimentación vias públicas y otros servicios urbanísticos</v>
      </c>
      <c r="W1487" s="35" t="str">
        <f>MID(Tabla1[[#This Row],[Aplicación]],14,2)</f>
        <v>61</v>
      </c>
      <c r="X1487" s="35" t="str">
        <f>MID(Tabla1[[#This Row],[Aplicación]],14,6)</f>
        <v>619</v>
      </c>
    </row>
    <row r="1488" spans="1:24" x14ac:dyDescent="0.25">
      <c r="A1488" s="49">
        <v>220220007920</v>
      </c>
      <c r="B1488" s="50" t="s">
        <v>9</v>
      </c>
      <c r="C1488" s="57">
        <v>44627</v>
      </c>
      <c r="D1488" s="49">
        <v>22022002115</v>
      </c>
      <c r="E1488" s="50" t="s">
        <v>1368</v>
      </c>
      <c r="F1488" s="58">
        <v>4016.3</v>
      </c>
      <c r="G1488" s="50" t="s">
        <v>1249</v>
      </c>
      <c r="H1488" s="50" t="s">
        <v>2881</v>
      </c>
      <c r="I1488" s="49" t="s">
        <v>107</v>
      </c>
      <c r="J1488" s="50" t="s">
        <v>1250</v>
      </c>
      <c r="K1488" s="50" t="s">
        <v>138</v>
      </c>
      <c r="L1488" s="50" t="s">
        <v>12</v>
      </c>
      <c r="M1488" s="50" t="s">
        <v>13</v>
      </c>
      <c r="N1488" s="50" t="s">
        <v>14</v>
      </c>
      <c r="O1488" s="48" t="s">
        <v>631</v>
      </c>
      <c r="P1488" s="45" t="s">
        <v>453</v>
      </c>
      <c r="Q1488" s="35" t="str">
        <f>MID(Tabla1[[#This Row],[Aplicación]],14,1)</f>
        <v>6</v>
      </c>
      <c r="R1488" s="35" t="s">
        <v>442</v>
      </c>
      <c r="S1488" s="35" t="str">
        <f>MID(Tabla1[[#This Row],[Aplicación]],6,2)</f>
        <v>08</v>
      </c>
      <c r="T1488" s="35" t="str">
        <f>VLOOKUP(Tabla1[[#This Row],[AREA]],Hoja1!A:B,2,FALSE)</f>
        <v>08. Movilidad y espacio urbano</v>
      </c>
      <c r="U1488" s="35" t="str">
        <f>MID(Tabla1[[#This Row],[Aplicación]],9,4)</f>
        <v>1532</v>
      </c>
      <c r="V1488" s="35" t="str">
        <f>VLOOKUP(Tabla1[[#This Row],[PROGRAMA]],Hoja1!A:B,2,FALSE)</f>
        <v>1532. Pavimentación vias públicas y otros servicios urbanísticos</v>
      </c>
      <c r="W1488" s="35" t="str">
        <f>MID(Tabla1[[#This Row],[Aplicación]],14,2)</f>
        <v>61</v>
      </c>
      <c r="X1488" s="35" t="str">
        <f>MID(Tabla1[[#This Row],[Aplicación]],14,6)</f>
        <v>619</v>
      </c>
    </row>
    <row r="1489" spans="1:24" x14ac:dyDescent="0.25">
      <c r="A1489" s="49">
        <v>220220012523</v>
      </c>
      <c r="B1489" s="50" t="s">
        <v>26</v>
      </c>
      <c r="C1489" s="57">
        <v>44644</v>
      </c>
      <c r="D1489" s="49">
        <v>22022002417</v>
      </c>
      <c r="E1489" s="50" t="s">
        <v>1759</v>
      </c>
      <c r="F1489" s="58">
        <v>1614.81</v>
      </c>
      <c r="G1489" s="50" t="s">
        <v>153</v>
      </c>
      <c r="H1489" s="50" t="s">
        <v>2882</v>
      </c>
      <c r="I1489" s="49" t="s">
        <v>197</v>
      </c>
      <c r="J1489" s="50" t="s">
        <v>126</v>
      </c>
      <c r="K1489" s="50" t="s">
        <v>126</v>
      </c>
      <c r="L1489" s="50" t="s">
        <v>12</v>
      </c>
      <c r="M1489" s="50" t="s">
        <v>10</v>
      </c>
      <c r="N1489" s="50" t="s">
        <v>11</v>
      </c>
      <c r="O1489" s="48" t="s">
        <v>632</v>
      </c>
      <c r="P1489" s="45" t="s">
        <v>453</v>
      </c>
      <c r="Q1489" s="35" t="str">
        <f>MID(Tabla1[[#This Row],[Aplicación]],14,1)</f>
        <v>2</v>
      </c>
      <c r="R1489" s="35" t="s">
        <v>441</v>
      </c>
      <c r="S1489" s="35" t="str">
        <f>MID(Tabla1[[#This Row],[Aplicación]],6,2)</f>
        <v>02</v>
      </c>
      <c r="T1489" s="35" t="str">
        <f>VLOOKUP(Tabla1[[#This Row],[AREA]],Hoja1!A:B,2,FALSE)</f>
        <v>02. Planeamiento urbanístico y vivienda</v>
      </c>
      <c r="U1489" s="35" t="str">
        <f>MID(Tabla1[[#This Row],[Aplicación]],9,4)</f>
        <v>9332</v>
      </c>
      <c r="V1489" s="35" t="str">
        <f>VLOOKUP(Tabla1[[#This Row],[PROGRAMA]],Hoja1!A:B,2,FALSE)</f>
        <v>9332. Mantenimiento de edificios e instalaciones municipales</v>
      </c>
      <c r="W1489" s="35" t="str">
        <f>MID(Tabla1[[#This Row],[Aplicación]],14,2)</f>
        <v>21</v>
      </c>
      <c r="X1489" s="35" t="str">
        <f>MID(Tabla1[[#This Row],[Aplicación]],14,6)</f>
        <v>213</v>
      </c>
    </row>
    <row r="1490" spans="1:24" x14ac:dyDescent="0.25">
      <c r="A1490" s="49">
        <v>220219000432</v>
      </c>
      <c r="B1490" s="50" t="s">
        <v>9</v>
      </c>
      <c r="C1490" s="57">
        <v>44562</v>
      </c>
      <c r="D1490" s="49">
        <v>22022002190</v>
      </c>
      <c r="E1490" s="50" t="s">
        <v>1431</v>
      </c>
      <c r="F1490" s="58">
        <v>7199.5</v>
      </c>
      <c r="G1490" s="50" t="s">
        <v>1140</v>
      </c>
      <c r="H1490" s="50" t="s">
        <v>2883</v>
      </c>
      <c r="I1490" s="49" t="s">
        <v>107</v>
      </c>
      <c r="J1490" s="50" t="s">
        <v>1141</v>
      </c>
      <c r="K1490" s="50" t="s">
        <v>1017</v>
      </c>
      <c r="L1490" s="50" t="s">
        <v>15</v>
      </c>
      <c r="M1490" s="50" t="s">
        <v>10</v>
      </c>
      <c r="N1490" s="50" t="s">
        <v>11</v>
      </c>
      <c r="O1490" s="48" t="s">
        <v>632</v>
      </c>
      <c r="P1490" s="45" t="s">
        <v>453</v>
      </c>
      <c r="Q1490" s="35" t="str">
        <f>MID(Tabla1[[#This Row],[Aplicación]],14,1)</f>
        <v>6</v>
      </c>
      <c r="R1490" s="35" t="s">
        <v>442</v>
      </c>
      <c r="S1490" s="35" t="str">
        <f>MID(Tabla1[[#This Row],[Aplicación]],6,2)</f>
        <v>07</v>
      </c>
      <c r="T1490" s="35" t="str">
        <f>VLOOKUP(Tabla1[[#This Row],[AREA]],Hoja1!A:B,2,FALSE)</f>
        <v>07. Medio ambiente y desarrollo sostenible</v>
      </c>
      <c r="U1490" s="35" t="str">
        <f>MID(Tabla1[[#This Row],[Aplicación]],9,4)</f>
        <v>1721</v>
      </c>
      <c r="V1490" s="35" t="str">
        <f>VLOOKUP(Tabla1[[#This Row],[PROGRAMA]],Hoja1!A:B,2,FALSE)</f>
        <v>1721. Protección del medio ambiente</v>
      </c>
      <c r="W1490" s="35" t="str">
        <f>MID(Tabla1[[#This Row],[Aplicación]],14,2)</f>
        <v>63</v>
      </c>
      <c r="X1490" s="35" t="str">
        <f>MID(Tabla1[[#This Row],[Aplicación]],14,6)</f>
        <v>633</v>
      </c>
    </row>
    <row r="1491" spans="1:24" x14ac:dyDescent="0.25">
      <c r="A1491" s="49">
        <v>220220000343</v>
      </c>
      <c r="B1491" s="50" t="s">
        <v>9</v>
      </c>
      <c r="C1491" s="57">
        <v>44585</v>
      </c>
      <c r="D1491" s="49">
        <v>22022001246</v>
      </c>
      <c r="E1491" s="50" t="s">
        <v>2738</v>
      </c>
      <c r="F1491" s="58">
        <v>6441.28</v>
      </c>
      <c r="G1491" s="50" t="s">
        <v>46</v>
      </c>
      <c r="H1491" s="50" t="s">
        <v>2884</v>
      </c>
      <c r="I1491" s="49" t="s">
        <v>107</v>
      </c>
      <c r="J1491" s="50" t="s">
        <v>109</v>
      </c>
      <c r="K1491" s="50" t="s">
        <v>109</v>
      </c>
      <c r="L1491" s="50" t="s">
        <v>12</v>
      </c>
      <c r="M1491" s="50" t="s">
        <v>13</v>
      </c>
      <c r="N1491" s="50" t="s">
        <v>14</v>
      </c>
      <c r="O1491" s="48" t="s">
        <v>620</v>
      </c>
      <c r="P1491" s="45" t="s">
        <v>453</v>
      </c>
      <c r="Q1491" s="35" t="str">
        <f>MID(Tabla1[[#This Row],[Aplicación]],14,1)</f>
        <v>2</v>
      </c>
      <c r="R1491" s="35" t="s">
        <v>441</v>
      </c>
      <c r="S1491" s="35" t="str">
        <f>MID(Tabla1[[#This Row],[Aplicación]],6,2)</f>
        <v>10</v>
      </c>
      <c r="T1491" s="35" t="str">
        <f>VLOOKUP(Tabla1[[#This Row],[AREA]],Hoja1!A:B,2,FALSE)</f>
        <v>10. Servicios sociales y mediación comunitaria</v>
      </c>
      <c r="U1491" s="35" t="str">
        <f>MID(Tabla1[[#This Row],[Aplicación]],9,4)</f>
        <v>2412</v>
      </c>
      <c r="V1491" s="35" t="str">
        <f>VLOOKUP(Tabla1[[#This Row],[PROGRAMA]],Hoja1!A:B,2,FALSE)</f>
        <v>2412. Formación para el empleo</v>
      </c>
      <c r="W1491" s="35" t="str">
        <f>MID(Tabla1[[#This Row],[Aplicación]],14,2)</f>
        <v>22</v>
      </c>
      <c r="X1491" s="35" t="str">
        <f>MID(Tabla1[[#This Row],[Aplicación]],14,6)</f>
        <v>22799</v>
      </c>
    </row>
    <row r="1492" spans="1:24" x14ac:dyDescent="0.25">
      <c r="A1492" s="49">
        <v>220220003502</v>
      </c>
      <c r="B1492" s="50" t="s">
        <v>9</v>
      </c>
      <c r="C1492" s="57">
        <v>44606</v>
      </c>
      <c r="D1492" s="49">
        <v>22022002243</v>
      </c>
      <c r="E1492" s="50" t="s">
        <v>1704</v>
      </c>
      <c r="F1492" s="58">
        <v>7169.25</v>
      </c>
      <c r="G1492" s="50" t="s">
        <v>952</v>
      </c>
      <c r="H1492" s="50" t="s">
        <v>2885</v>
      </c>
      <c r="I1492" s="49" t="s">
        <v>107</v>
      </c>
      <c r="J1492" s="50" t="s">
        <v>109</v>
      </c>
      <c r="K1492" s="50" t="s">
        <v>109</v>
      </c>
      <c r="L1492" s="50" t="s">
        <v>12</v>
      </c>
      <c r="M1492" s="50" t="s">
        <v>10</v>
      </c>
      <c r="N1492" s="50" t="s">
        <v>11</v>
      </c>
      <c r="O1492" s="48" t="s">
        <v>632</v>
      </c>
      <c r="P1492" s="45" t="s">
        <v>453</v>
      </c>
      <c r="Q1492" s="35" t="str">
        <f>MID(Tabla1[[#This Row],[Aplicación]],14,1)</f>
        <v>2</v>
      </c>
      <c r="R1492" s="35" t="s">
        <v>441</v>
      </c>
      <c r="S1492" s="35" t="str">
        <f>MID(Tabla1[[#This Row],[Aplicación]],6,2)</f>
        <v>11</v>
      </c>
      <c r="T1492" s="35" t="str">
        <f>VLOOKUP(Tabla1[[#This Row],[AREA]],Hoja1!A:B,2,FALSE)</f>
        <v>11. Salud pública y seguridad ciudadana</v>
      </c>
      <c r="U1492" s="35" t="str">
        <f>MID(Tabla1[[#This Row],[Aplicación]],9,4)</f>
        <v>1321</v>
      </c>
      <c r="V1492" s="35" t="str">
        <f>VLOOKUP(Tabla1[[#This Row],[PROGRAMA]],Hoja1!A:B,2,FALSE)</f>
        <v>1321. Policía municipal</v>
      </c>
      <c r="W1492" s="35" t="str">
        <f>MID(Tabla1[[#This Row],[Aplicación]],14,2)</f>
        <v>22</v>
      </c>
      <c r="X1492" s="35" t="str">
        <f>MID(Tabla1[[#This Row],[Aplicación]],14,6)</f>
        <v>22706</v>
      </c>
    </row>
    <row r="1493" spans="1:24" x14ac:dyDescent="0.25">
      <c r="A1493" s="49">
        <v>220209000655</v>
      </c>
      <c r="B1493" s="50" t="s">
        <v>9</v>
      </c>
      <c r="C1493" s="57">
        <v>44562</v>
      </c>
      <c r="D1493" s="49">
        <v>22022000226</v>
      </c>
      <c r="E1493" s="50" t="s">
        <v>2382</v>
      </c>
      <c r="F1493" s="58">
        <v>6120.82</v>
      </c>
      <c r="G1493" s="50" t="s">
        <v>145</v>
      </c>
      <c r="H1493" s="50" t="s">
        <v>724</v>
      </c>
      <c r="I1493" s="49" t="s">
        <v>107</v>
      </c>
      <c r="J1493" s="50" t="s">
        <v>547</v>
      </c>
      <c r="K1493" s="50" t="s">
        <v>109</v>
      </c>
      <c r="L1493" s="50" t="s">
        <v>12</v>
      </c>
      <c r="M1493" s="50" t="s">
        <v>13</v>
      </c>
      <c r="N1493" s="50" t="s">
        <v>14</v>
      </c>
      <c r="O1493" s="48" t="s">
        <v>620</v>
      </c>
      <c r="P1493" s="45" t="s">
        <v>453</v>
      </c>
      <c r="Q1493" s="35" t="str">
        <f>MID(Tabla1[[#This Row],[Aplicación]],14,1)</f>
        <v>2</v>
      </c>
      <c r="R1493" s="35" t="s">
        <v>441</v>
      </c>
      <c r="S1493" s="35" t="str">
        <f>MID(Tabla1[[#This Row],[Aplicación]],6,2)</f>
        <v>01</v>
      </c>
      <c r="T1493" s="35" t="str">
        <f>VLOOKUP(Tabla1[[#This Row],[AREA]],Hoja1!A:B,2,FALSE)</f>
        <v>01. Alcaldía</v>
      </c>
      <c r="U1493" s="35" t="str">
        <f>MID(Tabla1[[#This Row],[Aplicación]],9,4)</f>
        <v>9201</v>
      </c>
      <c r="V1493" s="35" t="str">
        <f>VLOOKUP(Tabla1[[#This Row],[PROGRAMA]],Hoja1!A:B,2,FALSE)</f>
        <v>9201. Secretaría General</v>
      </c>
      <c r="W1493" s="35" t="str">
        <f>MID(Tabla1[[#This Row],[Aplicación]],14,2)</f>
        <v>22</v>
      </c>
      <c r="X1493" s="35" t="str">
        <f>MID(Tabla1[[#This Row],[Aplicación]],14,6)</f>
        <v>22799</v>
      </c>
    </row>
    <row r="1494" spans="1:24" x14ac:dyDescent="0.25">
      <c r="A1494" s="49">
        <v>220220007951</v>
      </c>
      <c r="B1494" s="50" t="s">
        <v>9</v>
      </c>
      <c r="C1494" s="57">
        <v>44628</v>
      </c>
      <c r="D1494" s="49">
        <v>22022002651</v>
      </c>
      <c r="E1494" s="50" t="s">
        <v>2886</v>
      </c>
      <c r="F1494" s="58">
        <v>375.1</v>
      </c>
      <c r="G1494" s="50" t="s">
        <v>2887</v>
      </c>
      <c r="H1494" s="50" t="s">
        <v>2888</v>
      </c>
      <c r="I1494" s="49" t="s">
        <v>107</v>
      </c>
      <c r="J1494" s="50" t="s">
        <v>109</v>
      </c>
      <c r="K1494" s="50" t="s">
        <v>109</v>
      </c>
      <c r="L1494" s="50" t="s">
        <v>15</v>
      </c>
      <c r="M1494" s="50" t="s">
        <v>10</v>
      </c>
      <c r="N1494" s="50" t="s">
        <v>11</v>
      </c>
      <c r="O1494" s="48" t="s">
        <v>632</v>
      </c>
      <c r="P1494" s="45" t="s">
        <v>453</v>
      </c>
      <c r="Q1494" s="35" t="str">
        <f>MID(Tabla1[[#This Row],[Aplicación]],14,1)</f>
        <v>2</v>
      </c>
      <c r="R1494" s="35" t="s">
        <v>441</v>
      </c>
      <c r="S1494" s="35" t="str">
        <f>MID(Tabla1[[#This Row],[Aplicación]],6,2)</f>
        <v>02</v>
      </c>
      <c r="T1494" s="35" t="str">
        <f>VLOOKUP(Tabla1[[#This Row],[AREA]],Hoja1!A:B,2,FALSE)</f>
        <v>02. Planeamiento urbanístico y vivienda</v>
      </c>
      <c r="U1494" s="35" t="str">
        <f>MID(Tabla1[[#This Row],[Aplicación]],9,4)</f>
        <v>9332</v>
      </c>
      <c r="V1494" s="35" t="str">
        <f>VLOOKUP(Tabla1[[#This Row],[PROGRAMA]],Hoja1!A:B,2,FALSE)</f>
        <v>9332. Mantenimiento de edificios e instalaciones municipales</v>
      </c>
      <c r="W1494" s="35" t="str">
        <f>MID(Tabla1[[#This Row],[Aplicación]],14,2)</f>
        <v>22</v>
      </c>
      <c r="X1494" s="35" t="str">
        <f>MID(Tabla1[[#This Row],[Aplicación]],14,6)</f>
        <v>22104</v>
      </c>
    </row>
    <row r="1495" spans="1:24" x14ac:dyDescent="0.25">
      <c r="A1495" s="49">
        <v>220220010299</v>
      </c>
      <c r="B1495" s="50" t="s">
        <v>9</v>
      </c>
      <c r="C1495" s="57">
        <v>44641</v>
      </c>
      <c r="D1495" s="49">
        <v>22022000038</v>
      </c>
      <c r="E1495" s="50" t="s">
        <v>1361</v>
      </c>
      <c r="F1495" s="58">
        <v>6061.5</v>
      </c>
      <c r="G1495" s="50" t="s">
        <v>818</v>
      </c>
      <c r="H1495" s="50" t="s">
        <v>2889</v>
      </c>
      <c r="I1495" s="49" t="s">
        <v>107</v>
      </c>
      <c r="J1495" s="50" t="s">
        <v>109</v>
      </c>
      <c r="K1495" s="50" t="s">
        <v>109</v>
      </c>
      <c r="L1495" s="50" t="s">
        <v>12</v>
      </c>
      <c r="M1495" s="50" t="s">
        <v>13</v>
      </c>
      <c r="N1495" s="50" t="s">
        <v>14</v>
      </c>
      <c r="O1495" s="48" t="s">
        <v>620</v>
      </c>
      <c r="P1495" s="45" t="s">
        <v>453</v>
      </c>
      <c r="Q1495" s="35" t="str">
        <f>MID(Tabla1[[#This Row],[Aplicación]],14,1)</f>
        <v>2</v>
      </c>
      <c r="R1495" s="35" t="s">
        <v>441</v>
      </c>
      <c r="S1495" s="35" t="str">
        <f>MID(Tabla1[[#This Row],[Aplicación]],6,2)</f>
        <v>10</v>
      </c>
      <c r="T1495" s="35" t="str">
        <f>VLOOKUP(Tabla1[[#This Row],[AREA]],Hoja1!A:B,2,FALSE)</f>
        <v>10. Servicios sociales y mediación comunitaria</v>
      </c>
      <c r="U1495" s="35" t="str">
        <f>MID(Tabla1[[#This Row],[Aplicación]],9,4)</f>
        <v>2311</v>
      </c>
      <c r="V1495" s="35" t="str">
        <f>VLOOKUP(Tabla1[[#This Row],[PROGRAMA]],Hoja1!A:B,2,FALSE)</f>
        <v>2311. Intervención social</v>
      </c>
      <c r="W1495" s="35" t="str">
        <f>MID(Tabla1[[#This Row],[Aplicación]],14,2)</f>
        <v>22</v>
      </c>
      <c r="X1495" s="35" t="str">
        <f>MID(Tabla1[[#This Row],[Aplicación]],14,6)</f>
        <v>22799</v>
      </c>
    </row>
    <row r="1496" spans="1:24" x14ac:dyDescent="0.25">
      <c r="A1496" s="49">
        <v>220219000394</v>
      </c>
      <c r="B1496" s="50" t="s">
        <v>9</v>
      </c>
      <c r="C1496" s="57">
        <v>44562</v>
      </c>
      <c r="D1496" s="49">
        <v>22022000510</v>
      </c>
      <c r="E1496" s="50" t="s">
        <v>2890</v>
      </c>
      <c r="F1496" s="58">
        <v>6000</v>
      </c>
      <c r="G1496" s="50" t="s">
        <v>158</v>
      </c>
      <c r="H1496" s="50" t="s">
        <v>2891</v>
      </c>
      <c r="I1496" s="49" t="s">
        <v>107</v>
      </c>
      <c r="J1496" s="50" t="s">
        <v>108</v>
      </c>
      <c r="K1496" s="50" t="s">
        <v>108</v>
      </c>
      <c r="L1496" s="50" t="s">
        <v>15</v>
      </c>
      <c r="M1496" s="50" t="s">
        <v>13</v>
      </c>
      <c r="N1496" s="50" t="s">
        <v>14</v>
      </c>
      <c r="O1496" s="48" t="s">
        <v>620</v>
      </c>
      <c r="P1496" s="45" t="s">
        <v>453</v>
      </c>
      <c r="Q1496" s="35" t="str">
        <f>MID(Tabla1[[#This Row],[Aplicación]],14,1)</f>
        <v>2</v>
      </c>
      <c r="R1496" s="35" t="s">
        <v>441</v>
      </c>
      <c r="S1496" s="35" t="str">
        <f>MID(Tabla1[[#This Row],[Aplicación]],6,2)</f>
        <v>02</v>
      </c>
      <c r="T1496" s="35" t="str">
        <f>VLOOKUP(Tabla1[[#This Row],[AREA]],Hoja1!A:B,2,FALSE)</f>
        <v>02. Planeamiento urbanístico y vivienda</v>
      </c>
      <c r="U1496" s="35" t="str">
        <f>MID(Tabla1[[#This Row],[Aplicación]],9,4)</f>
        <v>9332</v>
      </c>
      <c r="V1496" s="35" t="str">
        <f>VLOOKUP(Tabla1[[#This Row],[PROGRAMA]],Hoja1!A:B,2,FALSE)</f>
        <v>9332. Mantenimiento de edificios e instalaciones municipales</v>
      </c>
      <c r="W1496" s="35" t="str">
        <f>MID(Tabla1[[#This Row],[Aplicación]],14,2)</f>
        <v>22</v>
      </c>
      <c r="X1496" s="35" t="str">
        <f>MID(Tabla1[[#This Row],[Aplicación]],14,6)</f>
        <v>22103</v>
      </c>
    </row>
    <row r="1497" spans="1:24" x14ac:dyDescent="0.25">
      <c r="A1497" s="49">
        <v>220219000133</v>
      </c>
      <c r="B1497" s="50" t="s">
        <v>9</v>
      </c>
      <c r="C1497" s="57">
        <v>44562</v>
      </c>
      <c r="D1497" s="49">
        <v>22022000382</v>
      </c>
      <c r="E1497" s="50" t="s">
        <v>2162</v>
      </c>
      <c r="F1497" s="58">
        <v>103.38</v>
      </c>
      <c r="G1497" s="50" t="s">
        <v>44</v>
      </c>
      <c r="H1497" s="50" t="s">
        <v>2892</v>
      </c>
      <c r="I1497" s="49" t="s">
        <v>107</v>
      </c>
      <c r="J1497" s="50" t="s">
        <v>109</v>
      </c>
      <c r="K1497" s="50" t="s">
        <v>109</v>
      </c>
      <c r="L1497" s="50" t="s">
        <v>12</v>
      </c>
      <c r="M1497" s="50" t="s">
        <v>13</v>
      </c>
      <c r="N1497" s="50" t="s">
        <v>16</v>
      </c>
      <c r="O1497" s="48" t="s">
        <v>620</v>
      </c>
      <c r="P1497" s="45" t="s">
        <v>453</v>
      </c>
      <c r="Q1497" s="35" t="str">
        <f>MID(Tabla1[[#This Row],[Aplicación]],14,1)</f>
        <v>2</v>
      </c>
      <c r="R1497" s="35" t="s">
        <v>441</v>
      </c>
      <c r="S1497" s="35" t="str">
        <f>MID(Tabla1[[#This Row],[Aplicación]],6,2)</f>
        <v>09</v>
      </c>
      <c r="T1497" s="35" t="str">
        <f>VLOOKUP(Tabla1[[#This Row],[AREA]],Hoja1!A:B,2,FALSE)</f>
        <v>09. Cultura y turismo</v>
      </c>
      <c r="U1497" s="35" t="str">
        <f>MID(Tabla1[[#This Row],[Aplicación]],9,4)</f>
        <v>3341</v>
      </c>
      <c r="V1497" s="35" t="str">
        <f>VLOOKUP(Tabla1[[#This Row],[PROGRAMA]],Hoja1!A:B,2,FALSE)</f>
        <v>3341. Coordinación de políticas culturales</v>
      </c>
      <c r="W1497" s="35" t="str">
        <f>MID(Tabla1[[#This Row],[Aplicación]],14,2)</f>
        <v>22</v>
      </c>
      <c r="X1497" s="35" t="str">
        <f>MID(Tabla1[[#This Row],[Aplicación]],14,6)</f>
        <v>22701</v>
      </c>
    </row>
    <row r="1498" spans="1:24" x14ac:dyDescent="0.25">
      <c r="A1498" s="49">
        <v>220219000398</v>
      </c>
      <c r="B1498" s="50" t="s">
        <v>9</v>
      </c>
      <c r="C1498" s="57">
        <v>44562</v>
      </c>
      <c r="D1498" s="49">
        <v>22022000514</v>
      </c>
      <c r="E1498" s="50" t="s">
        <v>2220</v>
      </c>
      <c r="F1498" s="58">
        <v>6000</v>
      </c>
      <c r="G1498" s="50" t="s">
        <v>158</v>
      </c>
      <c r="H1498" s="50" t="s">
        <v>2893</v>
      </c>
      <c r="I1498" s="49" t="s">
        <v>107</v>
      </c>
      <c r="J1498" s="50" t="s">
        <v>108</v>
      </c>
      <c r="K1498" s="50" t="s">
        <v>108</v>
      </c>
      <c r="L1498" s="50" t="s">
        <v>15</v>
      </c>
      <c r="M1498" s="50" t="s">
        <v>13</v>
      </c>
      <c r="N1498" s="50" t="s">
        <v>14</v>
      </c>
      <c r="O1498" s="48" t="s">
        <v>620</v>
      </c>
      <c r="P1498" s="45" t="s">
        <v>453</v>
      </c>
      <c r="Q1498" s="35" t="str">
        <f>MID(Tabla1[[#This Row],[Aplicación]],14,1)</f>
        <v>2</v>
      </c>
      <c r="R1498" s="35" t="s">
        <v>441</v>
      </c>
      <c r="S1498" s="35" t="str">
        <f>MID(Tabla1[[#This Row],[Aplicación]],6,2)</f>
        <v>08</v>
      </c>
      <c r="T1498" s="35" t="str">
        <f>VLOOKUP(Tabla1[[#This Row],[AREA]],Hoja1!A:B,2,FALSE)</f>
        <v>08. Movilidad y espacio urbano</v>
      </c>
      <c r="U1498" s="35" t="str">
        <f>MID(Tabla1[[#This Row],[Aplicación]],9,4)</f>
        <v>1532</v>
      </c>
      <c r="V1498" s="35" t="str">
        <f>VLOOKUP(Tabla1[[#This Row],[PROGRAMA]],Hoja1!A:B,2,FALSE)</f>
        <v>1532. Pavimentación vias públicas y otros servicios urbanísticos</v>
      </c>
      <c r="W1498" s="35" t="str">
        <f>MID(Tabla1[[#This Row],[Aplicación]],14,2)</f>
        <v>22</v>
      </c>
      <c r="X1498" s="35" t="str">
        <f>MID(Tabla1[[#This Row],[Aplicación]],14,6)</f>
        <v>22103</v>
      </c>
    </row>
    <row r="1499" spans="1:24" x14ac:dyDescent="0.25">
      <c r="A1499" s="49">
        <v>220220003489</v>
      </c>
      <c r="B1499" s="50" t="s">
        <v>9</v>
      </c>
      <c r="C1499" s="57">
        <v>44606</v>
      </c>
      <c r="D1499" s="49">
        <v>22022002014</v>
      </c>
      <c r="E1499" s="50" t="s">
        <v>1415</v>
      </c>
      <c r="F1499" s="58">
        <v>5900</v>
      </c>
      <c r="G1499" s="50" t="s">
        <v>2894</v>
      </c>
      <c r="H1499" s="50" t="s">
        <v>2895</v>
      </c>
      <c r="I1499" s="49" t="s">
        <v>107</v>
      </c>
      <c r="J1499" s="50" t="s">
        <v>109</v>
      </c>
      <c r="K1499" s="50" t="s">
        <v>109</v>
      </c>
      <c r="L1499" s="50" t="s">
        <v>12</v>
      </c>
      <c r="M1499" s="50" t="s">
        <v>10</v>
      </c>
      <c r="N1499" s="50" t="s">
        <v>11</v>
      </c>
      <c r="O1499" s="48" t="s">
        <v>632</v>
      </c>
      <c r="P1499" s="45" t="s">
        <v>453</v>
      </c>
      <c r="Q1499" s="35" t="str">
        <f>MID(Tabla1[[#This Row],[Aplicación]],14,1)</f>
        <v>2</v>
      </c>
      <c r="R1499" s="35" t="s">
        <v>441</v>
      </c>
      <c r="S1499" s="35" t="str">
        <f>MID(Tabla1[[#This Row],[Aplicación]],6,2)</f>
        <v>06</v>
      </c>
      <c r="T1499" s="35" t="str">
        <f>VLOOKUP(Tabla1[[#This Row],[AREA]],Hoja1!A:B,2,FALSE)</f>
        <v>06. Educación, infancia, juventud e igualdad</v>
      </c>
      <c r="U1499" s="35" t="str">
        <f>MID(Tabla1[[#This Row],[Aplicación]],9,4)</f>
        <v>3261</v>
      </c>
      <c r="V1499" s="35" t="str">
        <f>VLOOKUP(Tabla1[[#This Row],[PROGRAMA]],Hoja1!A:B,2,FALSE)</f>
        <v>3261. Servicios complementarios de educación</v>
      </c>
      <c r="W1499" s="35" t="str">
        <f>MID(Tabla1[[#This Row],[Aplicación]],14,2)</f>
        <v>22</v>
      </c>
      <c r="X1499" s="35" t="str">
        <f>MID(Tabla1[[#This Row],[Aplicación]],14,6)</f>
        <v>22799</v>
      </c>
    </row>
    <row r="1500" spans="1:24" x14ac:dyDescent="0.25">
      <c r="A1500" s="49">
        <v>220210077197</v>
      </c>
      <c r="B1500" s="50" t="s">
        <v>9</v>
      </c>
      <c r="C1500" s="57">
        <v>44631</v>
      </c>
      <c r="D1500" s="49">
        <v>22021008145</v>
      </c>
      <c r="E1500" s="50" t="s">
        <v>1791</v>
      </c>
      <c r="F1500" s="58">
        <v>7161.6</v>
      </c>
      <c r="G1500" s="50" t="s">
        <v>794</v>
      </c>
      <c r="H1500" s="50" t="s">
        <v>1274</v>
      </c>
      <c r="I1500" s="49" t="s">
        <v>107</v>
      </c>
      <c r="J1500" s="50" t="s">
        <v>109</v>
      </c>
      <c r="K1500" s="50" t="s">
        <v>109</v>
      </c>
      <c r="L1500" s="50" t="s">
        <v>17</v>
      </c>
      <c r="M1500" s="50" t="s">
        <v>10</v>
      </c>
      <c r="N1500" s="50" t="s">
        <v>11</v>
      </c>
      <c r="O1500" s="48" t="s">
        <v>632</v>
      </c>
      <c r="P1500" s="45" t="s">
        <v>453</v>
      </c>
      <c r="Q1500" s="35" t="str">
        <f>MID(Tabla1[[#This Row],[Aplicación]],14,1)</f>
        <v>6</v>
      </c>
      <c r="R1500" s="35" t="s">
        <v>442</v>
      </c>
      <c r="S1500" s="35" t="str">
        <f>MID(Tabla1[[#This Row],[Aplicación]],6,2)</f>
        <v>11</v>
      </c>
      <c r="T1500" s="35" t="str">
        <f>VLOOKUP(Tabla1[[#This Row],[AREA]],Hoja1!A:B,2,FALSE)</f>
        <v>11. Salud pública y seguridad ciudadana</v>
      </c>
      <c r="U1500" s="35" t="str">
        <f>MID(Tabla1[[#This Row],[Aplicación]],9,4)</f>
        <v>1631</v>
      </c>
      <c r="V1500" s="35" t="str">
        <f>VLOOKUP(Tabla1[[#This Row],[PROGRAMA]],Hoja1!A:B,2,FALSE)</f>
        <v>1631. Limpieza viaria</v>
      </c>
      <c r="W1500" s="35" t="str">
        <f>MID(Tabla1[[#This Row],[Aplicación]],14,2)</f>
        <v>63</v>
      </c>
      <c r="X1500" s="35" t="str">
        <f>MID(Tabla1[[#This Row],[Aplicación]],14,6)</f>
        <v>632</v>
      </c>
    </row>
    <row r="1501" spans="1:24" x14ac:dyDescent="0.25">
      <c r="A1501" s="49">
        <v>220220001710</v>
      </c>
      <c r="B1501" s="50" t="s">
        <v>9</v>
      </c>
      <c r="C1501" s="57">
        <v>44588</v>
      </c>
      <c r="D1501" s="49">
        <v>22022001642</v>
      </c>
      <c r="E1501" s="50" t="s">
        <v>2886</v>
      </c>
      <c r="F1501" s="58">
        <v>160</v>
      </c>
      <c r="G1501" s="50" t="s">
        <v>1268</v>
      </c>
      <c r="H1501" s="50" t="s">
        <v>2896</v>
      </c>
      <c r="I1501" s="49" t="s">
        <v>107</v>
      </c>
      <c r="J1501" s="50" t="s">
        <v>109</v>
      </c>
      <c r="K1501" s="50" t="s">
        <v>109</v>
      </c>
      <c r="L1501" s="50" t="s">
        <v>15</v>
      </c>
      <c r="M1501" s="50" t="s">
        <v>10</v>
      </c>
      <c r="N1501" s="50" t="s">
        <v>11</v>
      </c>
      <c r="O1501" s="48" t="s">
        <v>632</v>
      </c>
      <c r="P1501" s="45" t="s">
        <v>453</v>
      </c>
      <c r="Q1501" s="35" t="str">
        <f>MID(Tabla1[[#This Row],[Aplicación]],14,1)</f>
        <v>2</v>
      </c>
      <c r="R1501" s="35" t="s">
        <v>441</v>
      </c>
      <c r="S1501" s="35" t="str">
        <f>MID(Tabla1[[#This Row],[Aplicación]],6,2)</f>
        <v>02</v>
      </c>
      <c r="T1501" s="35" t="str">
        <f>VLOOKUP(Tabla1[[#This Row],[AREA]],Hoja1!A:B,2,FALSE)</f>
        <v>02. Planeamiento urbanístico y vivienda</v>
      </c>
      <c r="U1501" s="35" t="str">
        <f>MID(Tabla1[[#This Row],[Aplicación]],9,4)</f>
        <v>9332</v>
      </c>
      <c r="V1501" s="35" t="str">
        <f>VLOOKUP(Tabla1[[#This Row],[PROGRAMA]],Hoja1!A:B,2,FALSE)</f>
        <v>9332. Mantenimiento de edificios e instalaciones municipales</v>
      </c>
      <c r="W1501" s="35" t="str">
        <f>MID(Tabla1[[#This Row],[Aplicación]],14,2)</f>
        <v>22</v>
      </c>
      <c r="X1501" s="35" t="str">
        <f>MID(Tabla1[[#This Row],[Aplicación]],14,6)</f>
        <v>22104</v>
      </c>
    </row>
    <row r="1502" spans="1:24" x14ac:dyDescent="0.25">
      <c r="A1502" s="49">
        <v>220220002195</v>
      </c>
      <c r="B1502" s="50" t="s">
        <v>9</v>
      </c>
      <c r="C1502" s="57">
        <v>44592</v>
      </c>
      <c r="D1502" s="49">
        <v>22022001771</v>
      </c>
      <c r="E1502" s="50" t="s">
        <v>2191</v>
      </c>
      <c r="F1502" s="58">
        <v>5679.93</v>
      </c>
      <c r="G1502" s="50" t="s">
        <v>2897</v>
      </c>
      <c r="H1502" s="50" t="s">
        <v>2898</v>
      </c>
      <c r="I1502" s="49" t="s">
        <v>107</v>
      </c>
      <c r="J1502" s="50" t="s">
        <v>109</v>
      </c>
      <c r="K1502" s="50" t="s">
        <v>109</v>
      </c>
      <c r="L1502" s="50" t="s">
        <v>12</v>
      </c>
      <c r="M1502" s="50" t="s">
        <v>10</v>
      </c>
      <c r="N1502" s="50" t="s">
        <v>11</v>
      </c>
      <c r="O1502" s="48" t="s">
        <v>632</v>
      </c>
      <c r="P1502" s="45" t="s">
        <v>453</v>
      </c>
      <c r="Q1502" s="35" t="str">
        <f>MID(Tabla1[[#This Row],[Aplicación]],14,1)</f>
        <v>2</v>
      </c>
      <c r="R1502" s="35" t="s">
        <v>441</v>
      </c>
      <c r="S1502" s="35" t="str">
        <f>MID(Tabla1[[#This Row],[Aplicación]],6,2)</f>
        <v>01</v>
      </c>
      <c r="T1502" s="35" t="str">
        <f>VLOOKUP(Tabla1[[#This Row],[AREA]],Hoja1!A:B,2,FALSE)</f>
        <v>01. Alcaldía</v>
      </c>
      <c r="U1502" s="35" t="str">
        <f>MID(Tabla1[[#This Row],[Aplicación]],9,4)</f>
        <v>9206</v>
      </c>
      <c r="V1502" s="35" t="str">
        <f>VLOOKUP(Tabla1[[#This Row],[PROGRAMA]],Hoja1!A:B,2,FALSE)</f>
        <v>9206. Archivo municipal</v>
      </c>
      <c r="W1502" s="35" t="str">
        <f>MID(Tabla1[[#This Row],[Aplicación]],14,2)</f>
        <v>22</v>
      </c>
      <c r="X1502" s="35" t="str">
        <f>MID(Tabla1[[#This Row],[Aplicación]],14,6)</f>
        <v>22799</v>
      </c>
    </row>
    <row r="1503" spans="1:24" x14ac:dyDescent="0.25">
      <c r="A1503" s="49">
        <v>220220008966</v>
      </c>
      <c r="B1503" s="50" t="s">
        <v>9</v>
      </c>
      <c r="C1503" s="57">
        <v>44635</v>
      </c>
      <c r="D1503" s="49">
        <v>22022002766</v>
      </c>
      <c r="E1503" s="50" t="s">
        <v>2886</v>
      </c>
      <c r="F1503" s="58">
        <v>100</v>
      </c>
      <c r="G1503" s="50" t="s">
        <v>1268</v>
      </c>
      <c r="H1503" s="50" t="s">
        <v>2899</v>
      </c>
      <c r="I1503" s="49" t="s">
        <v>107</v>
      </c>
      <c r="J1503" s="50" t="s">
        <v>109</v>
      </c>
      <c r="K1503" s="50" t="s">
        <v>109</v>
      </c>
      <c r="L1503" s="50" t="s">
        <v>15</v>
      </c>
      <c r="M1503" s="50" t="s">
        <v>10</v>
      </c>
      <c r="N1503" s="50" t="s">
        <v>11</v>
      </c>
      <c r="O1503" s="48" t="s">
        <v>632</v>
      </c>
      <c r="P1503" s="45" t="s">
        <v>453</v>
      </c>
      <c r="Q1503" s="35" t="str">
        <f>MID(Tabla1[[#This Row],[Aplicación]],14,1)</f>
        <v>2</v>
      </c>
      <c r="R1503" s="35" t="s">
        <v>441</v>
      </c>
      <c r="S1503" s="35" t="str">
        <f>MID(Tabla1[[#This Row],[Aplicación]],6,2)</f>
        <v>02</v>
      </c>
      <c r="T1503" s="35" t="str">
        <f>VLOOKUP(Tabla1[[#This Row],[AREA]],Hoja1!A:B,2,FALSE)</f>
        <v>02. Planeamiento urbanístico y vivienda</v>
      </c>
      <c r="U1503" s="35" t="str">
        <f>MID(Tabla1[[#This Row],[Aplicación]],9,4)</f>
        <v>9332</v>
      </c>
      <c r="V1503" s="35" t="str">
        <f>VLOOKUP(Tabla1[[#This Row],[PROGRAMA]],Hoja1!A:B,2,FALSE)</f>
        <v>9332. Mantenimiento de edificios e instalaciones municipales</v>
      </c>
      <c r="W1503" s="35" t="str">
        <f>MID(Tabla1[[#This Row],[Aplicación]],14,2)</f>
        <v>22</v>
      </c>
      <c r="X1503" s="35" t="str">
        <f>MID(Tabla1[[#This Row],[Aplicación]],14,6)</f>
        <v>22104</v>
      </c>
    </row>
    <row r="1504" spans="1:24" x14ac:dyDescent="0.25">
      <c r="A1504" s="49">
        <v>220220007394</v>
      </c>
      <c r="B1504" s="50" t="s">
        <v>9</v>
      </c>
      <c r="C1504" s="57">
        <v>44624</v>
      </c>
      <c r="D1504" s="49">
        <v>22022002552</v>
      </c>
      <c r="E1504" s="50" t="s">
        <v>1742</v>
      </c>
      <c r="F1504" s="58">
        <v>7148.08</v>
      </c>
      <c r="G1504" s="50" t="s">
        <v>139</v>
      </c>
      <c r="H1504" s="50" t="s">
        <v>2900</v>
      </c>
      <c r="I1504" s="49" t="s">
        <v>107</v>
      </c>
      <c r="J1504" s="50" t="s">
        <v>109</v>
      </c>
      <c r="K1504" s="50" t="s">
        <v>108</v>
      </c>
      <c r="L1504" s="50" t="s">
        <v>15</v>
      </c>
      <c r="M1504" s="50" t="s">
        <v>10</v>
      </c>
      <c r="N1504" s="50" t="s">
        <v>11</v>
      </c>
      <c r="O1504" s="48" t="s">
        <v>632</v>
      </c>
      <c r="P1504" s="45" t="s">
        <v>453</v>
      </c>
      <c r="Q1504" s="35" t="str">
        <f>MID(Tabla1[[#This Row],[Aplicación]],14,1)</f>
        <v>2</v>
      </c>
      <c r="R1504" s="35" t="s">
        <v>441</v>
      </c>
      <c r="S1504" s="35" t="str">
        <f>MID(Tabla1[[#This Row],[Aplicación]],6,2)</f>
        <v>03</v>
      </c>
      <c r="T1504" s="35" t="str">
        <f>VLOOKUP(Tabla1[[#This Row],[AREA]],Hoja1!A:B,2,FALSE)</f>
        <v>03. Participación ciudadana y deportes</v>
      </c>
      <c r="U1504" s="35" t="str">
        <f>MID(Tabla1[[#This Row],[Aplicación]],9,4)</f>
        <v>9241</v>
      </c>
      <c r="V1504" s="35" t="str">
        <f>VLOOKUP(Tabla1[[#This Row],[PROGRAMA]],Hoja1!A:B,2,FALSE)</f>
        <v>9241. Participación ciudadana</v>
      </c>
      <c r="W1504" s="35" t="str">
        <f>MID(Tabla1[[#This Row],[Aplicación]],14,2)</f>
        <v>21</v>
      </c>
      <c r="X1504" s="35" t="str">
        <f>MID(Tabla1[[#This Row],[Aplicación]],14,6)</f>
        <v>213</v>
      </c>
    </row>
    <row r="1505" spans="1:24" x14ac:dyDescent="0.25">
      <c r="A1505" s="49">
        <v>220220002537</v>
      </c>
      <c r="B1505" s="50" t="s">
        <v>9</v>
      </c>
      <c r="C1505" s="57">
        <v>44595</v>
      </c>
      <c r="D1505" s="49">
        <v>22022001847</v>
      </c>
      <c r="E1505" s="50" t="s">
        <v>2080</v>
      </c>
      <c r="F1505" s="58">
        <v>5684.58</v>
      </c>
      <c r="G1505" s="50" t="s">
        <v>48</v>
      </c>
      <c r="H1505" s="50" t="s">
        <v>2901</v>
      </c>
      <c r="I1505" s="49" t="s">
        <v>107</v>
      </c>
      <c r="J1505" s="50" t="s">
        <v>109</v>
      </c>
      <c r="K1505" s="50" t="s">
        <v>109</v>
      </c>
      <c r="L1505" s="50" t="s">
        <v>12</v>
      </c>
      <c r="M1505" s="50" t="s">
        <v>10</v>
      </c>
      <c r="N1505" s="50" t="s">
        <v>11</v>
      </c>
      <c r="O1505" s="48" t="s">
        <v>632</v>
      </c>
      <c r="P1505" s="45" t="s">
        <v>453</v>
      </c>
      <c r="Q1505" s="35" t="str">
        <f>MID(Tabla1[[#This Row],[Aplicación]],14,1)</f>
        <v>2</v>
      </c>
      <c r="R1505" s="35" t="s">
        <v>441</v>
      </c>
      <c r="S1505" s="35" t="str">
        <f>MID(Tabla1[[#This Row],[Aplicación]],6,2)</f>
        <v>04</v>
      </c>
      <c r="T1505" s="35" t="str">
        <f>VLOOKUP(Tabla1[[#This Row],[AREA]],Hoja1!A:B,2,FALSE)</f>
        <v>04. Planificación y recursos</v>
      </c>
      <c r="U1505" s="35" t="str">
        <f>MID(Tabla1[[#This Row],[Aplicación]],9,4)</f>
        <v>9321</v>
      </c>
      <c r="V1505" s="35" t="str">
        <f>VLOOKUP(Tabla1[[#This Row],[PROGRAMA]],Hoja1!A:B,2,FALSE)</f>
        <v>9321. Gestión de ingresos e inspección</v>
      </c>
      <c r="W1505" s="35" t="str">
        <f>MID(Tabla1[[#This Row],[Aplicación]],14,2)</f>
        <v>22</v>
      </c>
      <c r="X1505" s="35" t="str">
        <f>MID(Tabla1[[#This Row],[Aplicación]],14,6)</f>
        <v>22799</v>
      </c>
    </row>
    <row r="1506" spans="1:24" x14ac:dyDescent="0.25">
      <c r="A1506" s="49">
        <v>220219000979</v>
      </c>
      <c r="B1506" s="50" t="s">
        <v>9</v>
      </c>
      <c r="C1506" s="57">
        <v>44562</v>
      </c>
      <c r="D1506" s="49">
        <v>22022000438</v>
      </c>
      <c r="E1506" s="50" t="s">
        <v>1603</v>
      </c>
      <c r="F1506" s="58">
        <v>48400</v>
      </c>
      <c r="G1506" s="50" t="s">
        <v>87</v>
      </c>
      <c r="H1506" s="50" t="s">
        <v>2902</v>
      </c>
      <c r="I1506" s="49" t="s">
        <v>107</v>
      </c>
      <c r="J1506" s="50" t="s">
        <v>565</v>
      </c>
      <c r="K1506" s="50" t="s">
        <v>109</v>
      </c>
      <c r="L1506" s="50" t="s">
        <v>12</v>
      </c>
      <c r="M1506" s="50" t="s">
        <v>13</v>
      </c>
      <c r="N1506" s="50" t="s">
        <v>14</v>
      </c>
      <c r="O1506" s="48" t="s">
        <v>620</v>
      </c>
      <c r="P1506" s="45" t="s">
        <v>453</v>
      </c>
      <c r="Q1506" s="35" t="str">
        <f>MID(Tabla1[[#This Row],[Aplicación]],14,1)</f>
        <v>2</v>
      </c>
      <c r="R1506" s="35" t="s">
        <v>441</v>
      </c>
      <c r="S1506" s="35" t="str">
        <f>MID(Tabla1[[#This Row],[Aplicación]],6,2)</f>
        <v>06</v>
      </c>
      <c r="T1506" s="35" t="str">
        <f>VLOOKUP(Tabla1[[#This Row],[AREA]],Hoja1!A:B,2,FALSE)</f>
        <v>06. Educación, infancia, juventud e igualdad</v>
      </c>
      <c r="U1506" s="35" t="str">
        <f>MID(Tabla1[[#This Row],[Aplicación]],9,4)</f>
        <v>3321</v>
      </c>
      <c r="V1506" s="35" t="str">
        <f>VLOOKUP(Tabla1[[#This Row],[PROGRAMA]],Hoja1!A:B,2,FALSE)</f>
        <v>3321. Bibliotecas públicas</v>
      </c>
      <c r="W1506" s="35" t="str">
        <f>MID(Tabla1[[#This Row],[Aplicación]],14,2)</f>
        <v>22</v>
      </c>
      <c r="X1506" s="35" t="str">
        <f>MID(Tabla1[[#This Row],[Aplicación]],14,6)</f>
        <v>22799</v>
      </c>
    </row>
    <row r="1507" spans="1:24" x14ac:dyDescent="0.25">
      <c r="A1507" s="49">
        <v>220220012880</v>
      </c>
      <c r="B1507" s="50" t="s">
        <v>9</v>
      </c>
      <c r="C1507" s="57">
        <v>44645</v>
      </c>
      <c r="D1507" s="49">
        <v>22022002656</v>
      </c>
      <c r="E1507" s="50" t="s">
        <v>2903</v>
      </c>
      <c r="F1507" s="58">
        <v>5390.55</v>
      </c>
      <c r="G1507" s="50" t="s">
        <v>936</v>
      </c>
      <c r="H1507" s="50" t="s">
        <v>2904</v>
      </c>
      <c r="I1507" s="49" t="s">
        <v>107</v>
      </c>
      <c r="J1507" s="50" t="s">
        <v>108</v>
      </c>
      <c r="K1507" s="50" t="s">
        <v>108</v>
      </c>
      <c r="L1507" s="50" t="s">
        <v>12</v>
      </c>
      <c r="M1507" s="50" t="s">
        <v>10</v>
      </c>
      <c r="N1507" s="50" t="s">
        <v>11</v>
      </c>
      <c r="O1507" s="48" t="s">
        <v>632</v>
      </c>
      <c r="P1507" s="45" t="s">
        <v>453</v>
      </c>
      <c r="Q1507" s="35" t="str">
        <f>MID(Tabla1[[#This Row],[Aplicación]],14,1)</f>
        <v>2</v>
      </c>
      <c r="R1507" s="35" t="s">
        <v>441</v>
      </c>
      <c r="S1507" s="35" t="str">
        <f>MID(Tabla1[[#This Row],[Aplicación]],6,2)</f>
        <v>05</v>
      </c>
      <c r="T1507" s="35" t="str">
        <f>VLOOKUP(Tabla1[[#This Row],[AREA]],Hoja1!A:B,2,FALSE)</f>
        <v>05. Innovación, desarrollo económico, empleo y comercio</v>
      </c>
      <c r="U1507" s="35" t="str">
        <f>MID(Tabla1[[#This Row],[Aplicación]],9,4)</f>
        <v>4312</v>
      </c>
      <c r="V1507" s="35" t="str">
        <f>VLOOKUP(Tabla1[[#This Row],[PROGRAMA]],Hoja1!A:B,2,FALSE)</f>
        <v>4312. Mercados, abastos y lonjas</v>
      </c>
      <c r="W1507" s="35" t="str">
        <f>MID(Tabla1[[#This Row],[Aplicación]],14,2)</f>
        <v>22</v>
      </c>
      <c r="X1507" s="35" t="str">
        <f>MID(Tabla1[[#This Row],[Aplicación]],14,6)</f>
        <v>22799</v>
      </c>
    </row>
    <row r="1508" spans="1:24" x14ac:dyDescent="0.25">
      <c r="A1508" s="49">
        <v>220220012879</v>
      </c>
      <c r="B1508" s="50" t="s">
        <v>9</v>
      </c>
      <c r="C1508" s="57">
        <v>44645</v>
      </c>
      <c r="D1508" s="49">
        <v>22022002655</v>
      </c>
      <c r="E1508" s="50" t="s">
        <v>2903</v>
      </c>
      <c r="F1508" s="58">
        <v>5390.4</v>
      </c>
      <c r="G1508" s="50" t="s">
        <v>1184</v>
      </c>
      <c r="H1508" s="50" t="s">
        <v>2905</v>
      </c>
      <c r="I1508" s="49" t="s">
        <v>107</v>
      </c>
      <c r="J1508" s="50" t="s">
        <v>1186</v>
      </c>
      <c r="K1508" s="50" t="s">
        <v>796</v>
      </c>
      <c r="L1508" s="50" t="s">
        <v>12</v>
      </c>
      <c r="M1508" s="50" t="s">
        <v>10</v>
      </c>
      <c r="N1508" s="50" t="s">
        <v>11</v>
      </c>
      <c r="O1508" s="48" t="s">
        <v>632</v>
      </c>
      <c r="P1508" s="45" t="s">
        <v>453</v>
      </c>
      <c r="Q1508" s="35" t="str">
        <f>MID(Tabla1[[#This Row],[Aplicación]],14,1)</f>
        <v>2</v>
      </c>
      <c r="R1508" s="35" t="s">
        <v>441</v>
      </c>
      <c r="S1508" s="35" t="str">
        <f>MID(Tabla1[[#This Row],[Aplicación]],6,2)</f>
        <v>05</v>
      </c>
      <c r="T1508" s="35" t="str">
        <f>VLOOKUP(Tabla1[[#This Row],[AREA]],Hoja1!A:B,2,FALSE)</f>
        <v>05. Innovación, desarrollo económico, empleo y comercio</v>
      </c>
      <c r="U1508" s="35" t="str">
        <f>MID(Tabla1[[#This Row],[Aplicación]],9,4)</f>
        <v>4312</v>
      </c>
      <c r="V1508" s="35" t="str">
        <f>VLOOKUP(Tabla1[[#This Row],[PROGRAMA]],Hoja1!A:B,2,FALSE)</f>
        <v>4312. Mercados, abastos y lonjas</v>
      </c>
      <c r="W1508" s="35" t="str">
        <f>MID(Tabla1[[#This Row],[Aplicación]],14,2)</f>
        <v>22</v>
      </c>
      <c r="X1508" s="35" t="str">
        <f>MID(Tabla1[[#This Row],[Aplicación]],14,6)</f>
        <v>22799</v>
      </c>
    </row>
    <row r="1509" spans="1:24" x14ac:dyDescent="0.25">
      <c r="A1509" s="49">
        <v>220219000406</v>
      </c>
      <c r="B1509" s="50" t="s">
        <v>9</v>
      </c>
      <c r="C1509" s="57">
        <v>44562</v>
      </c>
      <c r="D1509" s="49">
        <v>22022000543</v>
      </c>
      <c r="E1509" s="50" t="s">
        <v>1694</v>
      </c>
      <c r="F1509" s="58">
        <v>1452</v>
      </c>
      <c r="G1509" s="50" t="s">
        <v>93</v>
      </c>
      <c r="H1509" s="50" t="s">
        <v>2906</v>
      </c>
      <c r="I1509" s="49" t="s">
        <v>107</v>
      </c>
      <c r="J1509" s="50" t="s">
        <v>109</v>
      </c>
      <c r="K1509" s="50" t="s">
        <v>109</v>
      </c>
      <c r="L1509" s="50" t="s">
        <v>12</v>
      </c>
      <c r="M1509" s="50" t="s">
        <v>10</v>
      </c>
      <c r="N1509" s="50" t="s">
        <v>11</v>
      </c>
      <c r="O1509" s="48" t="s">
        <v>632</v>
      </c>
      <c r="P1509" s="45" t="s">
        <v>453</v>
      </c>
      <c r="Q1509" s="35" t="str">
        <f>MID(Tabla1[[#This Row],[Aplicación]],14,1)</f>
        <v>2</v>
      </c>
      <c r="R1509" s="35" t="s">
        <v>441</v>
      </c>
      <c r="S1509" s="35" t="str">
        <f>MID(Tabla1[[#This Row],[Aplicación]],6,2)</f>
        <v>05</v>
      </c>
      <c r="T1509" s="35" t="str">
        <f>VLOOKUP(Tabla1[[#This Row],[AREA]],Hoja1!A:B,2,FALSE)</f>
        <v>05. Innovación, desarrollo económico, empleo y comercio</v>
      </c>
      <c r="U1509" s="35" t="str">
        <f>MID(Tabla1[[#This Row],[Aplicación]],9,4)</f>
        <v>4314</v>
      </c>
      <c r="V1509" s="35" t="str">
        <f>VLOOKUP(Tabla1[[#This Row],[PROGRAMA]],Hoja1!A:B,2,FALSE)</f>
        <v>4314. Fomento del comercio</v>
      </c>
      <c r="W1509" s="35" t="str">
        <f>MID(Tabla1[[#This Row],[Aplicación]],14,2)</f>
        <v>22</v>
      </c>
      <c r="X1509" s="35" t="str">
        <f>MID(Tabla1[[#This Row],[Aplicación]],14,6)</f>
        <v>22706</v>
      </c>
    </row>
    <row r="1510" spans="1:24" x14ac:dyDescent="0.25">
      <c r="A1510" s="49">
        <v>220220005808</v>
      </c>
      <c r="B1510" s="50" t="s">
        <v>9</v>
      </c>
      <c r="C1510" s="57">
        <v>44615</v>
      </c>
      <c r="D1510" s="49">
        <v>22022002407</v>
      </c>
      <c r="E1510" s="50" t="s">
        <v>1701</v>
      </c>
      <c r="F1510" s="58">
        <v>7101.49</v>
      </c>
      <c r="G1510" s="50" t="s">
        <v>1236</v>
      </c>
      <c r="H1510" s="50" t="s">
        <v>2907</v>
      </c>
      <c r="I1510" s="49" t="s">
        <v>107</v>
      </c>
      <c r="J1510" s="50" t="s">
        <v>1237</v>
      </c>
      <c r="K1510" s="50" t="s">
        <v>108</v>
      </c>
      <c r="L1510" s="50" t="s">
        <v>12</v>
      </c>
      <c r="M1510" s="50" t="s">
        <v>10</v>
      </c>
      <c r="N1510" s="50" t="s">
        <v>11</v>
      </c>
      <c r="O1510" s="48" t="s">
        <v>632</v>
      </c>
      <c r="P1510" s="45" t="s">
        <v>453</v>
      </c>
      <c r="Q1510" s="35" t="str">
        <f>MID(Tabla1[[#This Row],[Aplicación]],14,1)</f>
        <v>2</v>
      </c>
      <c r="R1510" s="35" t="s">
        <v>441</v>
      </c>
      <c r="S1510" s="35" t="str">
        <f>MID(Tabla1[[#This Row],[Aplicación]],6,2)</f>
        <v>11</v>
      </c>
      <c r="T1510" s="35" t="str">
        <f>VLOOKUP(Tabla1[[#This Row],[AREA]],Hoja1!A:B,2,FALSE)</f>
        <v>11. Salud pública y seguridad ciudadana</v>
      </c>
      <c r="U1510" s="35" t="str">
        <f>MID(Tabla1[[#This Row],[Aplicación]],9,4)</f>
        <v>1621</v>
      </c>
      <c r="V1510" s="35" t="str">
        <f>VLOOKUP(Tabla1[[#This Row],[PROGRAMA]],Hoja1!A:B,2,FALSE)</f>
        <v>1621. Servicio de limpieza</v>
      </c>
      <c r="W1510" s="35" t="str">
        <f>MID(Tabla1[[#This Row],[Aplicación]],14,2)</f>
        <v>21</v>
      </c>
      <c r="X1510" s="35" t="str">
        <f>MID(Tabla1[[#This Row],[Aplicación]],14,6)</f>
        <v>212</v>
      </c>
    </row>
    <row r="1511" spans="1:24" x14ac:dyDescent="0.25">
      <c r="A1511" s="49">
        <v>220220004119</v>
      </c>
      <c r="B1511" s="50" t="s">
        <v>172</v>
      </c>
      <c r="C1511" s="57">
        <v>44610</v>
      </c>
      <c r="D1511" s="49">
        <v>22022001454</v>
      </c>
      <c r="E1511" s="50" t="s">
        <v>1608</v>
      </c>
      <c r="F1511" s="58">
        <v>988.64</v>
      </c>
      <c r="G1511" s="50" t="s">
        <v>205</v>
      </c>
      <c r="H1511" s="50" t="s">
        <v>2908</v>
      </c>
      <c r="I1511" s="49" t="s">
        <v>173</v>
      </c>
      <c r="J1511" s="50" t="s">
        <v>109</v>
      </c>
      <c r="K1511" s="50" t="s">
        <v>109</v>
      </c>
      <c r="L1511" s="50" t="s">
        <v>15</v>
      </c>
      <c r="M1511" s="50" t="s">
        <v>13</v>
      </c>
      <c r="N1511" s="50" t="s">
        <v>14</v>
      </c>
      <c r="O1511" s="48" t="s">
        <v>631</v>
      </c>
      <c r="P1511" s="45" t="s">
        <v>453</v>
      </c>
      <c r="Q1511" s="35" t="str">
        <f>MID(Tabla1[[#This Row],[Aplicación]],14,1)</f>
        <v>2</v>
      </c>
      <c r="R1511" s="35" t="s">
        <v>441</v>
      </c>
      <c r="S1511" s="35" t="str">
        <f>MID(Tabla1[[#This Row],[Aplicación]],6,2)</f>
        <v>11</v>
      </c>
      <c r="T1511" s="35" t="str">
        <f>VLOOKUP(Tabla1[[#This Row],[AREA]],Hoja1!A:B,2,FALSE)</f>
        <v>11. Salud pública y seguridad ciudadana</v>
      </c>
      <c r="U1511" s="35" t="str">
        <f>MID(Tabla1[[#This Row],[Aplicación]],9,4)</f>
        <v>1321</v>
      </c>
      <c r="V1511" s="35" t="str">
        <f>VLOOKUP(Tabla1[[#This Row],[PROGRAMA]],Hoja1!A:B,2,FALSE)</f>
        <v>1321. Policía municipal</v>
      </c>
      <c r="W1511" s="35" t="str">
        <f>MID(Tabla1[[#This Row],[Aplicación]],14,2)</f>
        <v>21</v>
      </c>
      <c r="X1511" s="35" t="str">
        <f>MID(Tabla1[[#This Row],[Aplicación]],14,6)</f>
        <v>214</v>
      </c>
    </row>
    <row r="1512" spans="1:24" x14ac:dyDescent="0.25">
      <c r="A1512" s="49">
        <v>220220008665</v>
      </c>
      <c r="B1512" s="50" t="s">
        <v>172</v>
      </c>
      <c r="C1512" s="57">
        <v>44634</v>
      </c>
      <c r="D1512" s="49">
        <v>22022001454</v>
      </c>
      <c r="E1512" s="50" t="s">
        <v>1608</v>
      </c>
      <c r="F1512" s="58">
        <v>861.05</v>
      </c>
      <c r="G1512" s="50" t="s">
        <v>205</v>
      </c>
      <c r="H1512" s="50" t="s">
        <v>2909</v>
      </c>
      <c r="I1512" s="49" t="s">
        <v>173</v>
      </c>
      <c r="J1512" s="50" t="s">
        <v>109</v>
      </c>
      <c r="K1512" s="50" t="s">
        <v>109</v>
      </c>
      <c r="L1512" s="50" t="s">
        <v>15</v>
      </c>
      <c r="M1512" s="50" t="s">
        <v>13</v>
      </c>
      <c r="N1512" s="50" t="s">
        <v>14</v>
      </c>
      <c r="O1512" s="48" t="s">
        <v>631</v>
      </c>
      <c r="P1512" s="45" t="s">
        <v>453</v>
      </c>
      <c r="Q1512" s="35" t="str">
        <f>MID(Tabla1[[#This Row],[Aplicación]],14,1)</f>
        <v>2</v>
      </c>
      <c r="R1512" s="35" t="s">
        <v>441</v>
      </c>
      <c r="S1512" s="35" t="str">
        <f>MID(Tabla1[[#This Row],[Aplicación]],6,2)</f>
        <v>11</v>
      </c>
      <c r="T1512" s="35" t="str">
        <f>VLOOKUP(Tabla1[[#This Row],[AREA]],Hoja1!A:B,2,FALSE)</f>
        <v>11. Salud pública y seguridad ciudadana</v>
      </c>
      <c r="U1512" s="35" t="str">
        <f>MID(Tabla1[[#This Row],[Aplicación]],9,4)</f>
        <v>1321</v>
      </c>
      <c r="V1512" s="35" t="str">
        <f>VLOOKUP(Tabla1[[#This Row],[PROGRAMA]],Hoja1!A:B,2,FALSE)</f>
        <v>1321. Policía municipal</v>
      </c>
      <c r="W1512" s="35" t="str">
        <f>MID(Tabla1[[#This Row],[Aplicación]],14,2)</f>
        <v>21</v>
      </c>
      <c r="X1512" s="35" t="str">
        <f>MID(Tabla1[[#This Row],[Aplicación]],14,6)</f>
        <v>214</v>
      </c>
    </row>
    <row r="1513" spans="1:24" x14ac:dyDescent="0.25">
      <c r="A1513" s="49">
        <v>220220005554</v>
      </c>
      <c r="B1513" s="50" t="s">
        <v>172</v>
      </c>
      <c r="C1513" s="57">
        <v>44614</v>
      </c>
      <c r="D1513" s="49">
        <v>22022001454</v>
      </c>
      <c r="E1513" s="50" t="s">
        <v>1608</v>
      </c>
      <c r="F1513" s="58">
        <v>95.35</v>
      </c>
      <c r="G1513" s="50" t="s">
        <v>205</v>
      </c>
      <c r="H1513" s="50" t="s">
        <v>1029</v>
      </c>
      <c r="I1513" s="49" t="s">
        <v>173</v>
      </c>
      <c r="J1513" s="50" t="s">
        <v>109</v>
      </c>
      <c r="K1513" s="50" t="s">
        <v>109</v>
      </c>
      <c r="L1513" s="50" t="s">
        <v>15</v>
      </c>
      <c r="M1513" s="50" t="s">
        <v>13</v>
      </c>
      <c r="N1513" s="50" t="s">
        <v>14</v>
      </c>
      <c r="O1513" s="48" t="s">
        <v>631</v>
      </c>
      <c r="P1513" s="45" t="s">
        <v>453</v>
      </c>
      <c r="Q1513" s="35" t="str">
        <f>MID(Tabla1[[#This Row],[Aplicación]],14,1)</f>
        <v>2</v>
      </c>
      <c r="R1513" s="35" t="s">
        <v>441</v>
      </c>
      <c r="S1513" s="35" t="str">
        <f>MID(Tabla1[[#This Row],[Aplicación]],6,2)</f>
        <v>11</v>
      </c>
      <c r="T1513" s="35" t="str">
        <f>VLOOKUP(Tabla1[[#This Row],[AREA]],Hoja1!A:B,2,FALSE)</f>
        <v>11. Salud pública y seguridad ciudadana</v>
      </c>
      <c r="U1513" s="35" t="str">
        <f>MID(Tabla1[[#This Row],[Aplicación]],9,4)</f>
        <v>1321</v>
      </c>
      <c r="V1513" s="35" t="str">
        <f>VLOOKUP(Tabla1[[#This Row],[PROGRAMA]],Hoja1!A:B,2,FALSE)</f>
        <v>1321. Policía municipal</v>
      </c>
      <c r="W1513" s="35" t="str">
        <f>MID(Tabla1[[#This Row],[Aplicación]],14,2)</f>
        <v>21</v>
      </c>
      <c r="X1513" s="35" t="str">
        <f>MID(Tabla1[[#This Row],[Aplicación]],14,6)</f>
        <v>214</v>
      </c>
    </row>
    <row r="1514" spans="1:24" x14ac:dyDescent="0.25">
      <c r="A1514" s="49">
        <v>220220003521</v>
      </c>
      <c r="B1514" s="50" t="s">
        <v>9</v>
      </c>
      <c r="C1514" s="57">
        <v>44606</v>
      </c>
      <c r="D1514" s="49">
        <v>22022001447</v>
      </c>
      <c r="E1514" s="50" t="s">
        <v>2910</v>
      </c>
      <c r="F1514" s="58">
        <v>5331.95</v>
      </c>
      <c r="G1514" s="50" t="s">
        <v>556</v>
      </c>
      <c r="H1514" s="50" t="s">
        <v>2911</v>
      </c>
      <c r="I1514" s="49" t="s">
        <v>107</v>
      </c>
      <c r="J1514" s="50" t="s">
        <v>108</v>
      </c>
      <c r="K1514" s="50" t="s">
        <v>108</v>
      </c>
      <c r="L1514" s="50" t="s">
        <v>12</v>
      </c>
      <c r="M1514" s="50" t="s">
        <v>13</v>
      </c>
      <c r="N1514" s="50" t="s">
        <v>14</v>
      </c>
      <c r="O1514" s="48" t="s">
        <v>620</v>
      </c>
      <c r="P1514" s="45" t="s">
        <v>453</v>
      </c>
      <c r="Q1514" s="35" t="str">
        <f>MID(Tabla1[[#This Row],[Aplicación]],14,1)</f>
        <v>2</v>
      </c>
      <c r="R1514" s="35" t="s">
        <v>441</v>
      </c>
      <c r="S1514" s="35" t="str">
        <f>MID(Tabla1[[#This Row],[Aplicación]],6,2)</f>
        <v>10</v>
      </c>
      <c r="T1514" s="35" t="str">
        <f>VLOOKUP(Tabla1[[#This Row],[AREA]],Hoja1!A:B,2,FALSE)</f>
        <v>10. Servicios sociales y mediación comunitaria</v>
      </c>
      <c r="U1514" s="35" t="str">
        <f>MID(Tabla1[[#This Row],[Aplicación]],9,4)</f>
        <v>2312</v>
      </c>
      <c r="V1514" s="35" t="str">
        <f>VLOOKUP(Tabla1[[#This Row],[PROGRAMA]],Hoja1!A:B,2,FALSE)</f>
        <v>2312. Iniciativas sociales</v>
      </c>
      <c r="W1514" s="35" t="str">
        <f>MID(Tabla1[[#This Row],[Aplicación]],14,2)</f>
        <v>21</v>
      </c>
      <c r="X1514" s="35" t="str">
        <f>MID(Tabla1[[#This Row],[Aplicación]],14,6)</f>
        <v>216</v>
      </c>
    </row>
    <row r="1515" spans="1:24" x14ac:dyDescent="0.25">
      <c r="A1515" s="49">
        <v>220220004135</v>
      </c>
      <c r="B1515" s="50" t="s">
        <v>172</v>
      </c>
      <c r="C1515" s="57">
        <v>44610</v>
      </c>
      <c r="D1515" s="49">
        <v>22022000027</v>
      </c>
      <c r="E1515" s="50" t="s">
        <v>1392</v>
      </c>
      <c r="F1515" s="58">
        <v>2846.05</v>
      </c>
      <c r="G1515" s="50" t="s">
        <v>221</v>
      </c>
      <c r="H1515" s="50" t="s">
        <v>2912</v>
      </c>
      <c r="I1515" s="49" t="s">
        <v>173</v>
      </c>
      <c r="J1515" s="50" t="s">
        <v>134</v>
      </c>
      <c r="K1515" s="50" t="s">
        <v>134</v>
      </c>
      <c r="L1515" s="50" t="s">
        <v>15</v>
      </c>
      <c r="M1515" s="50" t="s">
        <v>13</v>
      </c>
      <c r="N1515" s="50" t="s">
        <v>14</v>
      </c>
      <c r="O1515" s="48" t="s">
        <v>631</v>
      </c>
      <c r="P1515" s="45" t="s">
        <v>453</v>
      </c>
      <c r="Q1515" s="35" t="str">
        <f>MID(Tabla1[[#This Row],[Aplicación]],14,1)</f>
        <v>2</v>
      </c>
      <c r="R1515" s="35" t="s">
        <v>441</v>
      </c>
      <c r="S1515" s="35" t="str">
        <f>MID(Tabla1[[#This Row],[Aplicación]],6,2)</f>
        <v>11</v>
      </c>
      <c r="T1515" s="35" t="str">
        <f>VLOOKUP(Tabla1[[#This Row],[AREA]],Hoja1!A:B,2,FALSE)</f>
        <v>11. Salud pública y seguridad ciudadana</v>
      </c>
      <c r="U1515" s="35" t="str">
        <f>MID(Tabla1[[#This Row],[Aplicación]],9,4)</f>
        <v>1621</v>
      </c>
      <c r="V1515" s="35" t="str">
        <f>VLOOKUP(Tabla1[[#This Row],[PROGRAMA]],Hoja1!A:B,2,FALSE)</f>
        <v>1621. Servicio de limpieza</v>
      </c>
      <c r="W1515" s="35" t="str">
        <f>MID(Tabla1[[#This Row],[Aplicación]],14,2)</f>
        <v>22</v>
      </c>
      <c r="X1515" s="35" t="str">
        <f>MID(Tabla1[[#This Row],[Aplicación]],14,6)</f>
        <v>22103</v>
      </c>
    </row>
    <row r="1516" spans="1:24" x14ac:dyDescent="0.25">
      <c r="A1516" s="49">
        <v>220220004214</v>
      </c>
      <c r="B1516" s="50" t="s">
        <v>172</v>
      </c>
      <c r="C1516" s="57">
        <v>44610</v>
      </c>
      <c r="D1516" s="49">
        <v>22022000027</v>
      </c>
      <c r="E1516" s="50" t="s">
        <v>1392</v>
      </c>
      <c r="F1516" s="58">
        <v>1579.53</v>
      </c>
      <c r="G1516" s="50" t="s">
        <v>221</v>
      </c>
      <c r="H1516" s="50" t="s">
        <v>2913</v>
      </c>
      <c r="I1516" s="49" t="s">
        <v>173</v>
      </c>
      <c r="J1516" s="50" t="s">
        <v>134</v>
      </c>
      <c r="K1516" s="50" t="s">
        <v>134</v>
      </c>
      <c r="L1516" s="50" t="s">
        <v>15</v>
      </c>
      <c r="M1516" s="50" t="s">
        <v>13</v>
      </c>
      <c r="N1516" s="50" t="s">
        <v>14</v>
      </c>
      <c r="O1516" s="48" t="s">
        <v>631</v>
      </c>
      <c r="P1516" s="45" t="s">
        <v>453</v>
      </c>
      <c r="Q1516" s="35" t="str">
        <f>MID(Tabla1[[#This Row],[Aplicación]],14,1)</f>
        <v>2</v>
      </c>
      <c r="R1516" s="35" t="s">
        <v>441</v>
      </c>
      <c r="S1516" s="35" t="str">
        <f>MID(Tabla1[[#This Row],[Aplicación]],6,2)</f>
        <v>11</v>
      </c>
      <c r="T1516" s="35" t="str">
        <f>VLOOKUP(Tabla1[[#This Row],[AREA]],Hoja1!A:B,2,FALSE)</f>
        <v>11. Salud pública y seguridad ciudadana</v>
      </c>
      <c r="U1516" s="35" t="str">
        <f>MID(Tabla1[[#This Row],[Aplicación]],9,4)</f>
        <v>1621</v>
      </c>
      <c r="V1516" s="35" t="str">
        <f>VLOOKUP(Tabla1[[#This Row],[PROGRAMA]],Hoja1!A:B,2,FALSE)</f>
        <v>1621. Servicio de limpieza</v>
      </c>
      <c r="W1516" s="35" t="str">
        <f>MID(Tabla1[[#This Row],[Aplicación]],14,2)</f>
        <v>22</v>
      </c>
      <c r="X1516" s="35" t="str">
        <f>MID(Tabla1[[#This Row],[Aplicación]],14,6)</f>
        <v>22103</v>
      </c>
    </row>
    <row r="1517" spans="1:24" x14ac:dyDescent="0.25">
      <c r="A1517" s="49">
        <v>220220013267</v>
      </c>
      <c r="B1517" s="50" t="s">
        <v>172</v>
      </c>
      <c r="C1517" s="57">
        <v>44650</v>
      </c>
      <c r="D1517" s="49">
        <v>22022000027</v>
      </c>
      <c r="E1517" s="50" t="s">
        <v>1392</v>
      </c>
      <c r="F1517" s="58">
        <v>1432.65</v>
      </c>
      <c r="G1517" s="50" t="s">
        <v>221</v>
      </c>
      <c r="H1517" s="50" t="s">
        <v>2914</v>
      </c>
      <c r="I1517" s="49" t="s">
        <v>173</v>
      </c>
      <c r="J1517" s="50" t="s">
        <v>134</v>
      </c>
      <c r="K1517" s="50" t="s">
        <v>134</v>
      </c>
      <c r="L1517" s="50" t="s">
        <v>15</v>
      </c>
      <c r="M1517" s="50" t="s">
        <v>13</v>
      </c>
      <c r="N1517" s="50" t="s">
        <v>14</v>
      </c>
      <c r="O1517" s="48" t="s">
        <v>631</v>
      </c>
      <c r="P1517" s="45" t="s">
        <v>453</v>
      </c>
      <c r="Q1517" s="35" t="str">
        <f>MID(Tabla1[[#This Row],[Aplicación]],14,1)</f>
        <v>2</v>
      </c>
      <c r="R1517" s="35" t="s">
        <v>441</v>
      </c>
      <c r="S1517" s="35" t="str">
        <f>MID(Tabla1[[#This Row],[Aplicación]],6,2)</f>
        <v>11</v>
      </c>
      <c r="T1517" s="35" t="str">
        <f>VLOOKUP(Tabla1[[#This Row],[AREA]],Hoja1!A:B,2,FALSE)</f>
        <v>11. Salud pública y seguridad ciudadana</v>
      </c>
      <c r="U1517" s="35" t="str">
        <f>MID(Tabla1[[#This Row],[Aplicación]],9,4)</f>
        <v>1621</v>
      </c>
      <c r="V1517" s="35" t="str">
        <f>VLOOKUP(Tabla1[[#This Row],[PROGRAMA]],Hoja1!A:B,2,FALSE)</f>
        <v>1621. Servicio de limpieza</v>
      </c>
      <c r="W1517" s="35" t="str">
        <f>MID(Tabla1[[#This Row],[Aplicación]],14,2)</f>
        <v>22</v>
      </c>
      <c r="X1517" s="35" t="str">
        <f>MID(Tabla1[[#This Row],[Aplicación]],14,6)</f>
        <v>22103</v>
      </c>
    </row>
    <row r="1518" spans="1:24" x14ac:dyDescent="0.25">
      <c r="A1518" s="49">
        <v>220220013264</v>
      </c>
      <c r="B1518" s="50" t="s">
        <v>172</v>
      </c>
      <c r="C1518" s="57">
        <v>44650</v>
      </c>
      <c r="D1518" s="49">
        <v>22022000027</v>
      </c>
      <c r="E1518" s="50" t="s">
        <v>1392</v>
      </c>
      <c r="F1518" s="58">
        <v>998.25</v>
      </c>
      <c r="G1518" s="50" t="s">
        <v>221</v>
      </c>
      <c r="H1518" s="50" t="s">
        <v>2915</v>
      </c>
      <c r="I1518" s="49" t="s">
        <v>173</v>
      </c>
      <c r="J1518" s="50" t="s">
        <v>134</v>
      </c>
      <c r="K1518" s="50" t="s">
        <v>134</v>
      </c>
      <c r="L1518" s="50" t="s">
        <v>15</v>
      </c>
      <c r="M1518" s="50" t="s">
        <v>13</v>
      </c>
      <c r="N1518" s="50" t="s">
        <v>14</v>
      </c>
      <c r="O1518" s="48" t="s">
        <v>631</v>
      </c>
      <c r="P1518" s="45" t="s">
        <v>453</v>
      </c>
      <c r="Q1518" s="35" t="str">
        <f>MID(Tabla1[[#This Row],[Aplicación]],14,1)</f>
        <v>2</v>
      </c>
      <c r="R1518" s="35" t="s">
        <v>441</v>
      </c>
      <c r="S1518" s="35" t="str">
        <f>MID(Tabla1[[#This Row],[Aplicación]],6,2)</f>
        <v>11</v>
      </c>
      <c r="T1518" s="35" t="str">
        <f>VLOOKUP(Tabla1[[#This Row],[AREA]],Hoja1!A:B,2,FALSE)</f>
        <v>11. Salud pública y seguridad ciudadana</v>
      </c>
      <c r="U1518" s="35" t="str">
        <f>MID(Tabla1[[#This Row],[Aplicación]],9,4)</f>
        <v>1621</v>
      </c>
      <c r="V1518" s="35" t="str">
        <f>VLOOKUP(Tabla1[[#This Row],[PROGRAMA]],Hoja1!A:B,2,FALSE)</f>
        <v>1621. Servicio de limpieza</v>
      </c>
      <c r="W1518" s="35" t="str">
        <f>MID(Tabla1[[#This Row],[Aplicación]],14,2)</f>
        <v>22</v>
      </c>
      <c r="X1518" s="35" t="str">
        <f>MID(Tabla1[[#This Row],[Aplicación]],14,6)</f>
        <v>22103</v>
      </c>
    </row>
    <row r="1519" spans="1:24" x14ac:dyDescent="0.25">
      <c r="A1519" s="49">
        <v>220220004133</v>
      </c>
      <c r="B1519" s="50" t="s">
        <v>172</v>
      </c>
      <c r="C1519" s="57">
        <v>44610</v>
      </c>
      <c r="D1519" s="49">
        <v>22022000027</v>
      </c>
      <c r="E1519" s="50" t="s">
        <v>1392</v>
      </c>
      <c r="F1519" s="58">
        <v>943.8</v>
      </c>
      <c r="G1519" s="50" t="s">
        <v>221</v>
      </c>
      <c r="H1519" s="50" t="s">
        <v>2916</v>
      </c>
      <c r="I1519" s="49" t="s">
        <v>173</v>
      </c>
      <c r="J1519" s="50" t="s">
        <v>134</v>
      </c>
      <c r="K1519" s="50" t="s">
        <v>134</v>
      </c>
      <c r="L1519" s="50" t="s">
        <v>15</v>
      </c>
      <c r="M1519" s="50" t="s">
        <v>13</v>
      </c>
      <c r="N1519" s="50" t="s">
        <v>14</v>
      </c>
      <c r="O1519" s="48" t="s">
        <v>631</v>
      </c>
      <c r="P1519" s="45" t="s">
        <v>453</v>
      </c>
      <c r="Q1519" s="35" t="str">
        <f>MID(Tabla1[[#This Row],[Aplicación]],14,1)</f>
        <v>2</v>
      </c>
      <c r="R1519" s="35" t="s">
        <v>441</v>
      </c>
      <c r="S1519" s="35" t="str">
        <f>MID(Tabla1[[#This Row],[Aplicación]],6,2)</f>
        <v>11</v>
      </c>
      <c r="T1519" s="35" t="str">
        <f>VLOOKUP(Tabla1[[#This Row],[AREA]],Hoja1!A:B,2,FALSE)</f>
        <v>11. Salud pública y seguridad ciudadana</v>
      </c>
      <c r="U1519" s="35" t="str">
        <f>MID(Tabla1[[#This Row],[Aplicación]],9,4)</f>
        <v>1621</v>
      </c>
      <c r="V1519" s="35" t="str">
        <f>VLOOKUP(Tabla1[[#This Row],[PROGRAMA]],Hoja1!A:B,2,FALSE)</f>
        <v>1621. Servicio de limpieza</v>
      </c>
      <c r="W1519" s="35" t="str">
        <f>MID(Tabla1[[#This Row],[Aplicación]],14,2)</f>
        <v>22</v>
      </c>
      <c r="X1519" s="35" t="str">
        <f>MID(Tabla1[[#This Row],[Aplicación]],14,6)</f>
        <v>22103</v>
      </c>
    </row>
    <row r="1520" spans="1:24" x14ac:dyDescent="0.25">
      <c r="A1520" s="49">
        <v>220220006876</v>
      </c>
      <c r="B1520" s="50" t="s">
        <v>172</v>
      </c>
      <c r="C1520" s="57">
        <v>44622</v>
      </c>
      <c r="D1520" s="49">
        <v>22022000027</v>
      </c>
      <c r="E1520" s="50" t="s">
        <v>1392</v>
      </c>
      <c r="F1520" s="58">
        <v>896.43</v>
      </c>
      <c r="G1520" s="50" t="s">
        <v>221</v>
      </c>
      <c r="H1520" s="50" t="s">
        <v>2917</v>
      </c>
      <c r="I1520" s="49" t="s">
        <v>173</v>
      </c>
      <c r="J1520" s="50" t="s">
        <v>134</v>
      </c>
      <c r="K1520" s="50" t="s">
        <v>134</v>
      </c>
      <c r="L1520" s="50" t="s">
        <v>15</v>
      </c>
      <c r="M1520" s="50" t="s">
        <v>13</v>
      </c>
      <c r="N1520" s="50" t="s">
        <v>14</v>
      </c>
      <c r="O1520" s="48" t="s">
        <v>631</v>
      </c>
      <c r="P1520" s="45" t="s">
        <v>453</v>
      </c>
      <c r="Q1520" s="35" t="str">
        <f>MID(Tabla1[[#This Row],[Aplicación]],14,1)</f>
        <v>2</v>
      </c>
      <c r="R1520" s="35" t="s">
        <v>441</v>
      </c>
      <c r="S1520" s="35" t="str">
        <f>MID(Tabla1[[#This Row],[Aplicación]],6,2)</f>
        <v>11</v>
      </c>
      <c r="T1520" s="35" t="str">
        <f>VLOOKUP(Tabla1[[#This Row],[AREA]],Hoja1!A:B,2,FALSE)</f>
        <v>11. Salud pública y seguridad ciudadana</v>
      </c>
      <c r="U1520" s="35" t="str">
        <f>MID(Tabla1[[#This Row],[Aplicación]],9,4)</f>
        <v>1621</v>
      </c>
      <c r="V1520" s="35" t="str">
        <f>VLOOKUP(Tabla1[[#This Row],[PROGRAMA]],Hoja1!A:B,2,FALSE)</f>
        <v>1621. Servicio de limpieza</v>
      </c>
      <c r="W1520" s="35" t="str">
        <f>MID(Tabla1[[#This Row],[Aplicación]],14,2)</f>
        <v>22</v>
      </c>
      <c r="X1520" s="35" t="str">
        <f>MID(Tabla1[[#This Row],[Aplicación]],14,6)</f>
        <v>22103</v>
      </c>
    </row>
    <row r="1521" spans="1:24" x14ac:dyDescent="0.25">
      <c r="A1521" s="49">
        <v>220220004212</v>
      </c>
      <c r="B1521" s="50" t="s">
        <v>172</v>
      </c>
      <c r="C1521" s="57">
        <v>44610</v>
      </c>
      <c r="D1521" s="49">
        <v>22022000027</v>
      </c>
      <c r="E1521" s="50" t="s">
        <v>1392</v>
      </c>
      <c r="F1521" s="58">
        <v>790.61</v>
      </c>
      <c r="G1521" s="50" t="s">
        <v>221</v>
      </c>
      <c r="H1521" s="50" t="s">
        <v>2918</v>
      </c>
      <c r="I1521" s="49" t="s">
        <v>173</v>
      </c>
      <c r="J1521" s="50" t="s">
        <v>134</v>
      </c>
      <c r="K1521" s="50" t="s">
        <v>134</v>
      </c>
      <c r="L1521" s="50" t="s">
        <v>15</v>
      </c>
      <c r="M1521" s="50" t="s">
        <v>13</v>
      </c>
      <c r="N1521" s="50" t="s">
        <v>14</v>
      </c>
      <c r="O1521" s="48" t="s">
        <v>631</v>
      </c>
      <c r="P1521" s="45" t="s">
        <v>453</v>
      </c>
      <c r="Q1521" s="35" t="str">
        <f>MID(Tabla1[[#This Row],[Aplicación]],14,1)</f>
        <v>2</v>
      </c>
      <c r="R1521" s="35" t="s">
        <v>441</v>
      </c>
      <c r="S1521" s="35" t="str">
        <f>MID(Tabla1[[#This Row],[Aplicación]],6,2)</f>
        <v>11</v>
      </c>
      <c r="T1521" s="35" t="str">
        <f>VLOOKUP(Tabla1[[#This Row],[AREA]],Hoja1!A:B,2,FALSE)</f>
        <v>11. Salud pública y seguridad ciudadana</v>
      </c>
      <c r="U1521" s="35" t="str">
        <f>MID(Tabla1[[#This Row],[Aplicación]],9,4)</f>
        <v>1621</v>
      </c>
      <c r="V1521" s="35" t="str">
        <f>VLOOKUP(Tabla1[[#This Row],[PROGRAMA]],Hoja1!A:B,2,FALSE)</f>
        <v>1621. Servicio de limpieza</v>
      </c>
      <c r="W1521" s="35" t="str">
        <f>MID(Tabla1[[#This Row],[Aplicación]],14,2)</f>
        <v>22</v>
      </c>
      <c r="X1521" s="35" t="str">
        <f>MID(Tabla1[[#This Row],[Aplicación]],14,6)</f>
        <v>22103</v>
      </c>
    </row>
    <row r="1522" spans="1:24" x14ac:dyDescent="0.25">
      <c r="A1522" s="49">
        <v>220220008729</v>
      </c>
      <c r="B1522" s="50" t="s">
        <v>172</v>
      </c>
      <c r="C1522" s="57">
        <v>44634</v>
      </c>
      <c r="D1522" s="49">
        <v>22022001454</v>
      </c>
      <c r="E1522" s="50" t="s">
        <v>1608</v>
      </c>
      <c r="F1522" s="58">
        <v>777.32</v>
      </c>
      <c r="G1522" s="50" t="s">
        <v>221</v>
      </c>
      <c r="H1522" s="50" t="s">
        <v>1164</v>
      </c>
      <c r="I1522" s="49" t="s">
        <v>173</v>
      </c>
      <c r="J1522" s="50" t="s">
        <v>134</v>
      </c>
      <c r="K1522" s="50" t="s">
        <v>134</v>
      </c>
      <c r="L1522" s="50" t="s">
        <v>15</v>
      </c>
      <c r="M1522" s="50" t="s">
        <v>13</v>
      </c>
      <c r="N1522" s="50" t="s">
        <v>14</v>
      </c>
      <c r="O1522" s="48" t="s">
        <v>631</v>
      </c>
      <c r="P1522" s="45" t="s">
        <v>453</v>
      </c>
      <c r="Q1522" s="35" t="str">
        <f>MID(Tabla1[[#This Row],[Aplicación]],14,1)</f>
        <v>2</v>
      </c>
      <c r="R1522" s="35" t="s">
        <v>441</v>
      </c>
      <c r="S1522" s="35" t="str">
        <f>MID(Tabla1[[#This Row],[Aplicación]],6,2)</f>
        <v>11</v>
      </c>
      <c r="T1522" s="35" t="str">
        <f>VLOOKUP(Tabla1[[#This Row],[AREA]],Hoja1!A:B,2,FALSE)</f>
        <v>11. Salud pública y seguridad ciudadana</v>
      </c>
      <c r="U1522" s="35" t="str">
        <f>MID(Tabla1[[#This Row],[Aplicación]],9,4)</f>
        <v>1321</v>
      </c>
      <c r="V1522" s="35" t="str">
        <f>VLOOKUP(Tabla1[[#This Row],[PROGRAMA]],Hoja1!A:B,2,FALSE)</f>
        <v>1321. Policía municipal</v>
      </c>
      <c r="W1522" s="35" t="str">
        <f>MID(Tabla1[[#This Row],[Aplicación]],14,2)</f>
        <v>21</v>
      </c>
      <c r="X1522" s="35" t="str">
        <f>MID(Tabla1[[#This Row],[Aplicación]],14,6)</f>
        <v>214</v>
      </c>
    </row>
    <row r="1523" spans="1:24" x14ac:dyDescent="0.25">
      <c r="A1523" s="49">
        <v>220220004071</v>
      </c>
      <c r="B1523" s="50" t="s">
        <v>172</v>
      </c>
      <c r="C1523" s="57">
        <v>44610</v>
      </c>
      <c r="D1523" s="49">
        <v>22022000027</v>
      </c>
      <c r="E1523" s="50" t="s">
        <v>1392</v>
      </c>
      <c r="F1523" s="58">
        <v>673.24</v>
      </c>
      <c r="G1523" s="50" t="s">
        <v>221</v>
      </c>
      <c r="H1523" s="50" t="s">
        <v>2919</v>
      </c>
      <c r="I1523" s="49" t="s">
        <v>173</v>
      </c>
      <c r="J1523" s="50" t="s">
        <v>134</v>
      </c>
      <c r="K1523" s="50" t="s">
        <v>134</v>
      </c>
      <c r="L1523" s="50" t="s">
        <v>15</v>
      </c>
      <c r="M1523" s="50" t="s">
        <v>13</v>
      </c>
      <c r="N1523" s="50" t="s">
        <v>14</v>
      </c>
      <c r="O1523" s="48" t="s">
        <v>631</v>
      </c>
      <c r="P1523" s="45" t="s">
        <v>453</v>
      </c>
      <c r="Q1523" s="35" t="str">
        <f>MID(Tabla1[[#This Row],[Aplicación]],14,1)</f>
        <v>2</v>
      </c>
      <c r="R1523" s="35" t="s">
        <v>441</v>
      </c>
      <c r="S1523" s="35" t="str">
        <f>MID(Tabla1[[#This Row],[Aplicación]],6,2)</f>
        <v>11</v>
      </c>
      <c r="T1523" s="35" t="str">
        <f>VLOOKUP(Tabla1[[#This Row],[AREA]],Hoja1!A:B,2,FALSE)</f>
        <v>11. Salud pública y seguridad ciudadana</v>
      </c>
      <c r="U1523" s="35" t="str">
        <f>MID(Tabla1[[#This Row],[Aplicación]],9,4)</f>
        <v>1621</v>
      </c>
      <c r="V1523" s="35" t="str">
        <f>VLOOKUP(Tabla1[[#This Row],[PROGRAMA]],Hoja1!A:B,2,FALSE)</f>
        <v>1621. Servicio de limpieza</v>
      </c>
      <c r="W1523" s="35" t="str">
        <f>MID(Tabla1[[#This Row],[Aplicación]],14,2)</f>
        <v>22</v>
      </c>
      <c r="X1523" s="35" t="str">
        <f>MID(Tabla1[[#This Row],[Aplicación]],14,6)</f>
        <v>22103</v>
      </c>
    </row>
    <row r="1524" spans="1:24" x14ac:dyDescent="0.25">
      <c r="A1524" s="49">
        <v>220220004210</v>
      </c>
      <c r="B1524" s="50" t="s">
        <v>172</v>
      </c>
      <c r="C1524" s="57">
        <v>44610</v>
      </c>
      <c r="D1524" s="49">
        <v>22022000026</v>
      </c>
      <c r="E1524" s="50" t="s">
        <v>1644</v>
      </c>
      <c r="F1524" s="58">
        <v>556.6</v>
      </c>
      <c r="G1524" s="50" t="s">
        <v>221</v>
      </c>
      <c r="H1524" s="50" t="s">
        <v>2920</v>
      </c>
      <c r="I1524" s="49" t="s">
        <v>173</v>
      </c>
      <c r="J1524" s="50" t="s">
        <v>134</v>
      </c>
      <c r="K1524" s="50" t="s">
        <v>134</v>
      </c>
      <c r="L1524" s="50" t="s">
        <v>15</v>
      </c>
      <c r="M1524" s="50" t="s">
        <v>13</v>
      </c>
      <c r="N1524" s="50" t="s">
        <v>14</v>
      </c>
      <c r="O1524" s="48" t="s">
        <v>631</v>
      </c>
      <c r="P1524" s="45" t="s">
        <v>453</v>
      </c>
      <c r="Q1524" s="35" t="str">
        <f>MID(Tabla1[[#This Row],[Aplicación]],14,1)</f>
        <v>2</v>
      </c>
      <c r="R1524" s="35" t="s">
        <v>441</v>
      </c>
      <c r="S1524" s="35" t="str">
        <f>MID(Tabla1[[#This Row],[Aplicación]],6,2)</f>
        <v>11</v>
      </c>
      <c r="T1524" s="35" t="str">
        <f>VLOOKUP(Tabla1[[#This Row],[AREA]],Hoja1!A:B,2,FALSE)</f>
        <v>11. Salud pública y seguridad ciudadana</v>
      </c>
      <c r="U1524" s="35" t="str">
        <f>MID(Tabla1[[#This Row],[Aplicación]],9,4)</f>
        <v>1621</v>
      </c>
      <c r="V1524" s="35" t="str">
        <f>VLOOKUP(Tabla1[[#This Row],[PROGRAMA]],Hoja1!A:B,2,FALSE)</f>
        <v>1621. Servicio de limpieza</v>
      </c>
      <c r="W1524" s="35" t="str">
        <f>MID(Tabla1[[#This Row],[Aplicación]],14,2)</f>
        <v>21</v>
      </c>
      <c r="X1524" s="35" t="str">
        <f>MID(Tabla1[[#This Row],[Aplicación]],14,6)</f>
        <v>214</v>
      </c>
    </row>
    <row r="1525" spans="1:24" x14ac:dyDescent="0.25">
      <c r="A1525" s="49">
        <v>220220006893</v>
      </c>
      <c r="B1525" s="50" t="s">
        <v>172</v>
      </c>
      <c r="C1525" s="57">
        <v>44622</v>
      </c>
      <c r="D1525" s="49">
        <v>22022001454</v>
      </c>
      <c r="E1525" s="50" t="s">
        <v>1608</v>
      </c>
      <c r="F1525" s="58">
        <v>193.04</v>
      </c>
      <c r="G1525" s="50" t="s">
        <v>221</v>
      </c>
      <c r="H1525" s="50" t="s">
        <v>2921</v>
      </c>
      <c r="I1525" s="49" t="s">
        <v>173</v>
      </c>
      <c r="J1525" s="50" t="s">
        <v>134</v>
      </c>
      <c r="K1525" s="50" t="s">
        <v>134</v>
      </c>
      <c r="L1525" s="50" t="s">
        <v>15</v>
      </c>
      <c r="M1525" s="50" t="s">
        <v>13</v>
      </c>
      <c r="N1525" s="50" t="s">
        <v>14</v>
      </c>
      <c r="O1525" s="48" t="s">
        <v>631</v>
      </c>
      <c r="P1525" s="45" t="s">
        <v>453</v>
      </c>
      <c r="Q1525" s="35" t="str">
        <f>MID(Tabla1[[#This Row],[Aplicación]],14,1)</f>
        <v>2</v>
      </c>
      <c r="R1525" s="35" t="s">
        <v>441</v>
      </c>
      <c r="S1525" s="35" t="str">
        <f>MID(Tabla1[[#This Row],[Aplicación]],6,2)</f>
        <v>11</v>
      </c>
      <c r="T1525" s="35" t="str">
        <f>VLOOKUP(Tabla1[[#This Row],[AREA]],Hoja1!A:B,2,FALSE)</f>
        <v>11. Salud pública y seguridad ciudadana</v>
      </c>
      <c r="U1525" s="35" t="str">
        <f>MID(Tabla1[[#This Row],[Aplicación]],9,4)</f>
        <v>1321</v>
      </c>
      <c r="V1525" s="35" t="str">
        <f>VLOOKUP(Tabla1[[#This Row],[PROGRAMA]],Hoja1!A:B,2,FALSE)</f>
        <v>1321. Policía municipal</v>
      </c>
      <c r="W1525" s="35" t="str">
        <f>MID(Tabla1[[#This Row],[Aplicación]],14,2)</f>
        <v>21</v>
      </c>
      <c r="X1525" s="35" t="str">
        <f>MID(Tabla1[[#This Row],[Aplicación]],14,6)</f>
        <v>214</v>
      </c>
    </row>
    <row r="1526" spans="1:24" x14ac:dyDescent="0.25">
      <c r="A1526" s="49">
        <v>220220005568</v>
      </c>
      <c r="B1526" s="50" t="s">
        <v>172</v>
      </c>
      <c r="C1526" s="57">
        <v>44614</v>
      </c>
      <c r="D1526" s="49">
        <v>22022001454</v>
      </c>
      <c r="E1526" s="50" t="s">
        <v>1608</v>
      </c>
      <c r="F1526" s="58">
        <v>137.94</v>
      </c>
      <c r="G1526" s="50" t="s">
        <v>221</v>
      </c>
      <c r="H1526" s="50" t="s">
        <v>2922</v>
      </c>
      <c r="I1526" s="49" t="s">
        <v>173</v>
      </c>
      <c r="J1526" s="50" t="s">
        <v>134</v>
      </c>
      <c r="K1526" s="50" t="s">
        <v>134</v>
      </c>
      <c r="L1526" s="50" t="s">
        <v>15</v>
      </c>
      <c r="M1526" s="50" t="s">
        <v>13</v>
      </c>
      <c r="N1526" s="50" t="s">
        <v>14</v>
      </c>
      <c r="O1526" s="48" t="s">
        <v>631</v>
      </c>
      <c r="P1526" s="45" t="s">
        <v>453</v>
      </c>
      <c r="Q1526" s="35" t="str">
        <f>MID(Tabla1[[#This Row],[Aplicación]],14,1)</f>
        <v>2</v>
      </c>
      <c r="R1526" s="35" t="s">
        <v>441</v>
      </c>
      <c r="S1526" s="35" t="str">
        <f>MID(Tabla1[[#This Row],[Aplicación]],6,2)</f>
        <v>11</v>
      </c>
      <c r="T1526" s="35" t="str">
        <f>VLOOKUP(Tabla1[[#This Row],[AREA]],Hoja1!A:B,2,FALSE)</f>
        <v>11. Salud pública y seguridad ciudadana</v>
      </c>
      <c r="U1526" s="35" t="str">
        <f>MID(Tabla1[[#This Row],[Aplicación]],9,4)</f>
        <v>1321</v>
      </c>
      <c r="V1526" s="35" t="str">
        <f>VLOOKUP(Tabla1[[#This Row],[PROGRAMA]],Hoja1!A:B,2,FALSE)</f>
        <v>1321. Policía municipal</v>
      </c>
      <c r="W1526" s="35" t="str">
        <f>MID(Tabla1[[#This Row],[Aplicación]],14,2)</f>
        <v>21</v>
      </c>
      <c r="X1526" s="35" t="str">
        <f>MID(Tabla1[[#This Row],[Aplicación]],14,6)</f>
        <v>214</v>
      </c>
    </row>
    <row r="1527" spans="1:24" x14ac:dyDescent="0.25">
      <c r="A1527" s="49">
        <v>220220004149</v>
      </c>
      <c r="B1527" s="50" t="s">
        <v>172</v>
      </c>
      <c r="C1527" s="57">
        <v>44610</v>
      </c>
      <c r="D1527" s="49">
        <v>22022001454</v>
      </c>
      <c r="E1527" s="50" t="s">
        <v>1608</v>
      </c>
      <c r="F1527" s="58">
        <v>101.52</v>
      </c>
      <c r="G1527" s="50" t="s">
        <v>221</v>
      </c>
      <c r="H1527" s="50" t="s">
        <v>775</v>
      </c>
      <c r="I1527" s="49" t="s">
        <v>173</v>
      </c>
      <c r="J1527" s="50" t="s">
        <v>134</v>
      </c>
      <c r="K1527" s="50" t="s">
        <v>134</v>
      </c>
      <c r="L1527" s="50" t="s">
        <v>15</v>
      </c>
      <c r="M1527" s="50" t="s">
        <v>13</v>
      </c>
      <c r="N1527" s="50" t="s">
        <v>14</v>
      </c>
      <c r="O1527" s="48" t="s">
        <v>631</v>
      </c>
      <c r="P1527" s="45" t="s">
        <v>453</v>
      </c>
      <c r="Q1527" s="35" t="str">
        <f>MID(Tabla1[[#This Row],[Aplicación]],14,1)</f>
        <v>2</v>
      </c>
      <c r="R1527" s="35" t="s">
        <v>441</v>
      </c>
      <c r="S1527" s="35" t="str">
        <f>MID(Tabla1[[#This Row],[Aplicación]],6,2)</f>
        <v>11</v>
      </c>
      <c r="T1527" s="35" t="str">
        <f>VLOOKUP(Tabla1[[#This Row],[AREA]],Hoja1!A:B,2,FALSE)</f>
        <v>11. Salud pública y seguridad ciudadana</v>
      </c>
      <c r="U1527" s="35" t="str">
        <f>MID(Tabla1[[#This Row],[Aplicación]],9,4)</f>
        <v>1321</v>
      </c>
      <c r="V1527" s="35" t="str">
        <f>VLOOKUP(Tabla1[[#This Row],[PROGRAMA]],Hoja1!A:B,2,FALSE)</f>
        <v>1321. Policía municipal</v>
      </c>
      <c r="W1527" s="35" t="str">
        <f>MID(Tabla1[[#This Row],[Aplicación]],14,2)</f>
        <v>21</v>
      </c>
      <c r="X1527" s="35" t="str">
        <f>MID(Tabla1[[#This Row],[Aplicación]],14,6)</f>
        <v>214</v>
      </c>
    </row>
    <row r="1528" spans="1:24" x14ac:dyDescent="0.25">
      <c r="A1528" s="49">
        <v>220220010321</v>
      </c>
      <c r="B1528" s="50" t="s">
        <v>9</v>
      </c>
      <c r="C1528" s="57">
        <v>44641</v>
      </c>
      <c r="D1528" s="49">
        <v>22022002896</v>
      </c>
      <c r="E1528" s="50" t="s">
        <v>1436</v>
      </c>
      <c r="F1528" s="58">
        <v>484</v>
      </c>
      <c r="G1528" s="50" t="s">
        <v>827</v>
      </c>
      <c r="H1528" s="50" t="s">
        <v>2923</v>
      </c>
      <c r="I1528" s="49" t="s">
        <v>107</v>
      </c>
      <c r="J1528" s="50" t="s">
        <v>109</v>
      </c>
      <c r="K1528" s="50" t="s">
        <v>109</v>
      </c>
      <c r="L1528" s="50" t="s">
        <v>12</v>
      </c>
      <c r="M1528" s="50" t="s">
        <v>10</v>
      </c>
      <c r="N1528" s="50" t="s">
        <v>11</v>
      </c>
      <c r="O1528" s="48" t="s">
        <v>632</v>
      </c>
      <c r="P1528" s="45" t="s">
        <v>453</v>
      </c>
      <c r="Q1528" s="35" t="str">
        <f>MID(Tabla1[[#This Row],[Aplicación]],14,1)</f>
        <v>2</v>
      </c>
      <c r="R1528" s="35" t="s">
        <v>441</v>
      </c>
      <c r="S1528" s="35" t="str">
        <f>MID(Tabla1[[#This Row],[Aplicación]],6,2)</f>
        <v>03</v>
      </c>
      <c r="T1528" s="35" t="str">
        <f>VLOOKUP(Tabla1[[#This Row],[AREA]],Hoja1!A:B,2,FALSE)</f>
        <v>03. Participación ciudadana y deportes</v>
      </c>
      <c r="U1528" s="35" t="str">
        <f>MID(Tabla1[[#This Row],[Aplicación]],9,4)</f>
        <v>9241</v>
      </c>
      <c r="V1528" s="35" t="str">
        <f>VLOOKUP(Tabla1[[#This Row],[PROGRAMA]],Hoja1!A:B,2,FALSE)</f>
        <v>9241. Participación ciudadana</v>
      </c>
      <c r="W1528" s="35" t="str">
        <f>MID(Tabla1[[#This Row],[Aplicación]],14,2)</f>
        <v>22</v>
      </c>
      <c r="X1528" s="35" t="str">
        <f>MID(Tabla1[[#This Row],[Aplicación]],14,6)</f>
        <v>22609</v>
      </c>
    </row>
    <row r="1529" spans="1:24" x14ac:dyDescent="0.25">
      <c r="A1529" s="49">
        <v>220220000063</v>
      </c>
      <c r="B1529" s="50" t="s">
        <v>9</v>
      </c>
      <c r="C1529" s="57">
        <v>44580</v>
      </c>
      <c r="D1529" s="49">
        <v>22022000006</v>
      </c>
      <c r="E1529" s="50" t="s">
        <v>2924</v>
      </c>
      <c r="F1529" s="58">
        <v>4985.2</v>
      </c>
      <c r="G1529" s="50" t="s">
        <v>1235</v>
      </c>
      <c r="H1529" s="50" t="s">
        <v>2925</v>
      </c>
      <c r="I1529" s="49" t="s">
        <v>107</v>
      </c>
      <c r="J1529" s="50" t="s">
        <v>109</v>
      </c>
      <c r="K1529" s="50" t="s">
        <v>109</v>
      </c>
      <c r="L1529" s="50" t="s">
        <v>12</v>
      </c>
      <c r="M1529" s="50" t="s">
        <v>13</v>
      </c>
      <c r="N1529" s="50" t="s">
        <v>14</v>
      </c>
      <c r="O1529" s="48" t="s">
        <v>631</v>
      </c>
      <c r="P1529" s="45" t="s">
        <v>453</v>
      </c>
      <c r="Q1529" s="35" t="str">
        <f>MID(Tabla1[[#This Row],[Aplicación]],14,1)</f>
        <v>2</v>
      </c>
      <c r="R1529" s="35" t="s">
        <v>441</v>
      </c>
      <c r="S1529" s="35" t="str">
        <f>MID(Tabla1[[#This Row],[Aplicación]],6,2)</f>
        <v>07</v>
      </c>
      <c r="T1529" s="35" t="str">
        <f>VLOOKUP(Tabla1[[#This Row],[AREA]],Hoja1!A:B,2,FALSE)</f>
        <v>07. Medio ambiente y desarrollo sostenible</v>
      </c>
      <c r="U1529" s="35" t="str">
        <f>MID(Tabla1[[#This Row],[Aplicación]],9,4)</f>
        <v>1721</v>
      </c>
      <c r="V1529" s="35" t="str">
        <f>VLOOKUP(Tabla1[[#This Row],[PROGRAMA]],Hoja1!A:B,2,FALSE)</f>
        <v>1721. Protección del medio ambiente</v>
      </c>
      <c r="W1529" s="35" t="str">
        <f>MID(Tabla1[[#This Row],[Aplicación]],14,2)</f>
        <v>22</v>
      </c>
      <c r="X1529" s="35" t="str">
        <f>MID(Tabla1[[#This Row],[Aplicación]],14,6)</f>
        <v>22602</v>
      </c>
    </row>
    <row r="1530" spans="1:24" x14ac:dyDescent="0.25">
      <c r="A1530" s="49">
        <v>220219000244</v>
      </c>
      <c r="B1530" s="50" t="s">
        <v>9</v>
      </c>
      <c r="C1530" s="57">
        <v>44562</v>
      </c>
      <c r="D1530" s="49">
        <v>22022000427</v>
      </c>
      <c r="E1530" s="50" t="s">
        <v>1639</v>
      </c>
      <c r="F1530" s="58">
        <v>5212.7299999999996</v>
      </c>
      <c r="G1530" s="50" t="s">
        <v>33</v>
      </c>
      <c r="H1530" s="50" t="s">
        <v>2926</v>
      </c>
      <c r="I1530" s="49" t="s">
        <v>107</v>
      </c>
      <c r="J1530" s="50" t="s">
        <v>109</v>
      </c>
      <c r="K1530" s="50" t="s">
        <v>109</v>
      </c>
      <c r="L1530" s="50" t="s">
        <v>12</v>
      </c>
      <c r="M1530" s="50" t="s">
        <v>13</v>
      </c>
      <c r="N1530" s="50" t="s">
        <v>14</v>
      </c>
      <c r="O1530" s="48" t="s">
        <v>620</v>
      </c>
      <c r="P1530" s="45" t="s">
        <v>453</v>
      </c>
      <c r="Q1530" s="35" t="str">
        <f>MID(Tabla1[[#This Row],[Aplicación]],14,1)</f>
        <v>2</v>
      </c>
      <c r="R1530" s="35" t="s">
        <v>441</v>
      </c>
      <c r="S1530" s="35" t="str">
        <f>MID(Tabla1[[#This Row],[Aplicación]],6,2)</f>
        <v>03</v>
      </c>
      <c r="T1530" s="35" t="str">
        <f>VLOOKUP(Tabla1[[#This Row],[AREA]],Hoja1!A:B,2,FALSE)</f>
        <v>03. Participación ciudadana y deportes</v>
      </c>
      <c r="U1530" s="35" t="str">
        <f>MID(Tabla1[[#This Row],[Aplicación]],9,4)</f>
        <v>9241</v>
      </c>
      <c r="V1530" s="35" t="str">
        <f>VLOOKUP(Tabla1[[#This Row],[PROGRAMA]],Hoja1!A:B,2,FALSE)</f>
        <v>9241. Participación ciudadana</v>
      </c>
      <c r="W1530" s="35" t="str">
        <f>MID(Tabla1[[#This Row],[Aplicación]],14,2)</f>
        <v>22</v>
      </c>
      <c r="X1530" s="35" t="str">
        <f>MID(Tabla1[[#This Row],[Aplicación]],14,6)</f>
        <v>22799</v>
      </c>
    </row>
    <row r="1531" spans="1:24" x14ac:dyDescent="0.25">
      <c r="A1531" s="49">
        <v>220220000343</v>
      </c>
      <c r="B1531" s="50" t="s">
        <v>9</v>
      </c>
      <c r="C1531" s="57">
        <v>44585</v>
      </c>
      <c r="D1531" s="49">
        <v>22022001247</v>
      </c>
      <c r="E1531" s="50" t="s">
        <v>2738</v>
      </c>
      <c r="F1531" s="58">
        <v>5153.03</v>
      </c>
      <c r="G1531" s="50" t="s">
        <v>46</v>
      </c>
      <c r="H1531" s="50" t="s">
        <v>2884</v>
      </c>
      <c r="I1531" s="49" t="s">
        <v>107</v>
      </c>
      <c r="J1531" s="50" t="s">
        <v>109</v>
      </c>
      <c r="K1531" s="50" t="s">
        <v>109</v>
      </c>
      <c r="L1531" s="50" t="s">
        <v>12</v>
      </c>
      <c r="M1531" s="50" t="s">
        <v>13</v>
      </c>
      <c r="N1531" s="50" t="s">
        <v>14</v>
      </c>
      <c r="O1531" s="48" t="s">
        <v>620</v>
      </c>
      <c r="P1531" s="45" t="s">
        <v>453</v>
      </c>
      <c r="Q1531" s="35" t="str">
        <f>MID(Tabla1[[#This Row],[Aplicación]],14,1)</f>
        <v>2</v>
      </c>
      <c r="R1531" s="35" t="s">
        <v>441</v>
      </c>
      <c r="S1531" s="35" t="str">
        <f>MID(Tabla1[[#This Row],[Aplicación]],6,2)</f>
        <v>10</v>
      </c>
      <c r="T1531" s="35" t="str">
        <f>VLOOKUP(Tabla1[[#This Row],[AREA]],Hoja1!A:B,2,FALSE)</f>
        <v>10. Servicios sociales y mediación comunitaria</v>
      </c>
      <c r="U1531" s="35" t="str">
        <f>MID(Tabla1[[#This Row],[Aplicación]],9,4)</f>
        <v>2412</v>
      </c>
      <c r="V1531" s="35" t="str">
        <f>VLOOKUP(Tabla1[[#This Row],[PROGRAMA]],Hoja1!A:B,2,FALSE)</f>
        <v>2412. Formación para el empleo</v>
      </c>
      <c r="W1531" s="35" t="str">
        <f>MID(Tabla1[[#This Row],[Aplicación]],14,2)</f>
        <v>22</v>
      </c>
      <c r="X1531" s="35" t="str">
        <f>MID(Tabla1[[#This Row],[Aplicación]],14,6)</f>
        <v>22799</v>
      </c>
    </row>
    <row r="1532" spans="1:24" x14ac:dyDescent="0.25">
      <c r="A1532" s="49">
        <v>220220010194</v>
      </c>
      <c r="B1532" s="50" t="s">
        <v>9</v>
      </c>
      <c r="C1532" s="57">
        <v>44638</v>
      </c>
      <c r="D1532" s="49">
        <v>22022002554</v>
      </c>
      <c r="E1532" s="50" t="s">
        <v>1841</v>
      </c>
      <c r="F1532" s="58">
        <v>72.599999999999994</v>
      </c>
      <c r="G1532" s="50" t="s">
        <v>1235</v>
      </c>
      <c r="H1532" s="50" t="s">
        <v>2927</v>
      </c>
      <c r="I1532" s="49" t="s">
        <v>107</v>
      </c>
      <c r="J1532" s="50" t="s">
        <v>109</v>
      </c>
      <c r="K1532" s="50" t="s">
        <v>109</v>
      </c>
      <c r="L1532" s="50" t="s">
        <v>12</v>
      </c>
      <c r="M1532" s="50" t="s">
        <v>13</v>
      </c>
      <c r="N1532" s="50" t="s">
        <v>14</v>
      </c>
      <c r="O1532" s="48" t="s">
        <v>631</v>
      </c>
      <c r="P1532" s="45" t="s">
        <v>453</v>
      </c>
      <c r="Q1532" s="35" t="str">
        <f>MID(Tabla1[[#This Row],[Aplicación]],14,1)</f>
        <v>2</v>
      </c>
      <c r="R1532" s="35" t="s">
        <v>441</v>
      </c>
      <c r="S1532" s="35" t="str">
        <f>MID(Tabla1[[#This Row],[Aplicación]],6,2)</f>
        <v>03</v>
      </c>
      <c r="T1532" s="35" t="str">
        <f>VLOOKUP(Tabla1[[#This Row],[AREA]],Hoja1!A:B,2,FALSE)</f>
        <v>03. Participación ciudadana y deportes</v>
      </c>
      <c r="U1532" s="35" t="str">
        <f>MID(Tabla1[[#This Row],[Aplicación]],9,4)</f>
        <v>9241</v>
      </c>
      <c r="V1532" s="35" t="str">
        <f>VLOOKUP(Tabla1[[#This Row],[PROGRAMA]],Hoja1!A:B,2,FALSE)</f>
        <v>9241. Participación ciudadana</v>
      </c>
      <c r="W1532" s="35" t="str">
        <f>MID(Tabla1[[#This Row],[Aplicación]],14,2)</f>
        <v>22</v>
      </c>
      <c r="X1532" s="35" t="str">
        <f>MID(Tabla1[[#This Row],[Aplicación]],14,6)</f>
        <v>22602</v>
      </c>
    </row>
    <row r="1533" spans="1:24" x14ac:dyDescent="0.25">
      <c r="A1533" s="49">
        <v>220220002192</v>
      </c>
      <c r="B1533" s="50" t="s">
        <v>9</v>
      </c>
      <c r="C1533" s="57">
        <v>44592</v>
      </c>
      <c r="D1533" s="49">
        <v>22022001684</v>
      </c>
      <c r="E1533" s="50" t="s">
        <v>1471</v>
      </c>
      <c r="F1533" s="58">
        <v>6466.56</v>
      </c>
      <c r="G1533" s="50" t="s">
        <v>44</v>
      </c>
      <c r="H1533" s="50" t="s">
        <v>2928</v>
      </c>
      <c r="I1533" s="49" t="s">
        <v>107</v>
      </c>
      <c r="J1533" s="50" t="s">
        <v>109</v>
      </c>
      <c r="K1533" s="50" t="s">
        <v>109</v>
      </c>
      <c r="L1533" s="50" t="s">
        <v>12</v>
      </c>
      <c r="M1533" s="50" t="s">
        <v>10</v>
      </c>
      <c r="N1533" s="50" t="s">
        <v>11</v>
      </c>
      <c r="O1533" s="48" t="s">
        <v>632</v>
      </c>
      <c r="P1533" s="45" t="s">
        <v>453</v>
      </c>
      <c r="Q1533" s="35" t="str">
        <f>MID(Tabla1[[#This Row],[Aplicación]],14,1)</f>
        <v>2</v>
      </c>
      <c r="R1533" s="35" t="s">
        <v>441</v>
      </c>
      <c r="S1533" s="35" t="str">
        <f>MID(Tabla1[[#This Row],[Aplicación]],6,2)</f>
        <v>11</v>
      </c>
      <c r="T1533" s="35" t="str">
        <f>VLOOKUP(Tabla1[[#This Row],[AREA]],Hoja1!A:B,2,FALSE)</f>
        <v>11. Salud pública y seguridad ciudadana</v>
      </c>
      <c r="U1533" s="35" t="str">
        <f>MID(Tabla1[[#This Row],[Aplicación]],9,4)</f>
        <v>1321</v>
      </c>
      <c r="V1533" s="35" t="str">
        <f>VLOOKUP(Tabla1[[#This Row],[PROGRAMA]],Hoja1!A:B,2,FALSE)</f>
        <v>1321. Policía municipal</v>
      </c>
      <c r="W1533" s="35" t="str">
        <f>MID(Tabla1[[#This Row],[Aplicación]],14,2)</f>
        <v>21</v>
      </c>
      <c r="X1533" s="35" t="str">
        <f>MID(Tabla1[[#This Row],[Aplicación]],14,6)</f>
        <v>213</v>
      </c>
    </row>
    <row r="1534" spans="1:24" x14ac:dyDescent="0.25">
      <c r="A1534" s="49">
        <v>220219000559</v>
      </c>
      <c r="B1534" s="50" t="s">
        <v>9</v>
      </c>
      <c r="C1534" s="57">
        <v>44562</v>
      </c>
      <c r="D1534" s="49">
        <v>22022000567</v>
      </c>
      <c r="E1534" s="50" t="s">
        <v>2428</v>
      </c>
      <c r="F1534" s="58">
        <v>6413</v>
      </c>
      <c r="G1534" s="50" t="s">
        <v>33</v>
      </c>
      <c r="H1534" s="50" t="s">
        <v>2929</v>
      </c>
      <c r="I1534" s="49" t="s">
        <v>107</v>
      </c>
      <c r="J1534" s="50" t="s">
        <v>109</v>
      </c>
      <c r="K1534" s="50" t="s">
        <v>109</v>
      </c>
      <c r="L1534" s="50" t="s">
        <v>12</v>
      </c>
      <c r="M1534" s="50" t="s">
        <v>10</v>
      </c>
      <c r="N1534" s="50" t="s">
        <v>11</v>
      </c>
      <c r="O1534" s="48" t="s">
        <v>632</v>
      </c>
      <c r="P1534" s="45" t="s">
        <v>453</v>
      </c>
      <c r="Q1534" s="35" t="str">
        <f>MID(Tabla1[[#This Row],[Aplicación]],14,1)</f>
        <v>2</v>
      </c>
      <c r="R1534" s="35" t="s">
        <v>441</v>
      </c>
      <c r="S1534" s="35" t="str">
        <f>MID(Tabla1[[#This Row],[Aplicación]],6,2)</f>
        <v>07</v>
      </c>
      <c r="T1534" s="35" t="str">
        <f>VLOOKUP(Tabla1[[#This Row],[AREA]],Hoja1!A:B,2,FALSE)</f>
        <v>07. Medio ambiente y desarrollo sostenible</v>
      </c>
      <c r="U1534" s="35" t="str">
        <f>MID(Tabla1[[#This Row],[Aplicación]],9,4)</f>
        <v>1701</v>
      </c>
      <c r="V1534" s="35" t="str">
        <f>VLOOKUP(Tabla1[[#This Row],[PROGRAMA]],Hoja1!A:B,2,FALSE)</f>
        <v>1701. Dirección del área de medio ambiente</v>
      </c>
      <c r="W1534" s="35" t="str">
        <f>MID(Tabla1[[#This Row],[Aplicación]],14,2)</f>
        <v>22</v>
      </c>
      <c r="X1534" s="35" t="str">
        <f>MID(Tabla1[[#This Row],[Aplicación]],14,6)</f>
        <v>22799</v>
      </c>
    </row>
    <row r="1535" spans="1:24" x14ac:dyDescent="0.25">
      <c r="A1535" s="49">
        <v>220220006699</v>
      </c>
      <c r="B1535" s="50" t="s">
        <v>9</v>
      </c>
      <c r="C1535" s="57">
        <v>44617</v>
      </c>
      <c r="D1535" s="49">
        <v>22022002529</v>
      </c>
      <c r="E1535" s="50" t="s">
        <v>1704</v>
      </c>
      <c r="F1535" s="58">
        <v>5898.75</v>
      </c>
      <c r="G1535" s="50" t="s">
        <v>952</v>
      </c>
      <c r="H1535" s="50" t="s">
        <v>2930</v>
      </c>
      <c r="I1535" s="49" t="s">
        <v>107</v>
      </c>
      <c r="J1535" s="50" t="s">
        <v>109</v>
      </c>
      <c r="K1535" s="50" t="s">
        <v>109</v>
      </c>
      <c r="L1535" s="50" t="s">
        <v>12</v>
      </c>
      <c r="M1535" s="50" t="s">
        <v>10</v>
      </c>
      <c r="N1535" s="50" t="s">
        <v>11</v>
      </c>
      <c r="O1535" s="48" t="s">
        <v>632</v>
      </c>
      <c r="P1535" s="45" t="s">
        <v>453</v>
      </c>
      <c r="Q1535" s="35" t="str">
        <f>MID(Tabla1[[#This Row],[Aplicación]],14,1)</f>
        <v>2</v>
      </c>
      <c r="R1535" s="35" t="s">
        <v>441</v>
      </c>
      <c r="S1535" s="35" t="str">
        <f>MID(Tabla1[[#This Row],[Aplicación]],6,2)</f>
        <v>11</v>
      </c>
      <c r="T1535" s="35" t="str">
        <f>VLOOKUP(Tabla1[[#This Row],[AREA]],Hoja1!A:B,2,FALSE)</f>
        <v>11. Salud pública y seguridad ciudadana</v>
      </c>
      <c r="U1535" s="35" t="str">
        <f>MID(Tabla1[[#This Row],[Aplicación]],9,4)</f>
        <v>1321</v>
      </c>
      <c r="V1535" s="35" t="str">
        <f>VLOOKUP(Tabla1[[#This Row],[PROGRAMA]],Hoja1!A:B,2,FALSE)</f>
        <v>1321. Policía municipal</v>
      </c>
      <c r="W1535" s="35" t="str">
        <f>MID(Tabla1[[#This Row],[Aplicación]],14,2)</f>
        <v>22</v>
      </c>
      <c r="X1535" s="35" t="str">
        <f>MID(Tabla1[[#This Row],[Aplicación]],14,6)</f>
        <v>22706</v>
      </c>
    </row>
    <row r="1536" spans="1:24" x14ac:dyDescent="0.25">
      <c r="A1536" s="49">
        <v>220220003520</v>
      </c>
      <c r="B1536" s="50" t="s">
        <v>9</v>
      </c>
      <c r="C1536" s="57">
        <v>44606</v>
      </c>
      <c r="D1536" s="49">
        <v>22022001204</v>
      </c>
      <c r="E1536" s="50" t="s">
        <v>1684</v>
      </c>
      <c r="F1536" s="58">
        <v>5566</v>
      </c>
      <c r="G1536" s="50" t="s">
        <v>209</v>
      </c>
      <c r="H1536" s="50" t="s">
        <v>2931</v>
      </c>
      <c r="I1536" s="49" t="s">
        <v>107</v>
      </c>
      <c r="J1536" s="50" t="s">
        <v>109</v>
      </c>
      <c r="K1536" s="50" t="s">
        <v>109</v>
      </c>
      <c r="L1536" s="50" t="s">
        <v>15</v>
      </c>
      <c r="M1536" s="50" t="s">
        <v>10</v>
      </c>
      <c r="N1536" s="50" t="s">
        <v>11</v>
      </c>
      <c r="O1536" s="48" t="s">
        <v>632</v>
      </c>
      <c r="P1536" s="45" t="s">
        <v>453</v>
      </c>
      <c r="Q1536" s="35" t="str">
        <f>MID(Tabla1[[#This Row],[Aplicación]],14,1)</f>
        <v>2</v>
      </c>
      <c r="R1536" s="35" t="s">
        <v>441</v>
      </c>
      <c r="S1536" s="35" t="str">
        <f>MID(Tabla1[[#This Row],[Aplicación]],6,2)</f>
        <v>01</v>
      </c>
      <c r="T1536" s="35" t="str">
        <f>VLOOKUP(Tabla1[[#This Row],[AREA]],Hoja1!A:B,2,FALSE)</f>
        <v>01. Alcaldía</v>
      </c>
      <c r="U1536" s="35" t="str">
        <f>MID(Tabla1[[#This Row],[Aplicación]],9,4)</f>
        <v>9205</v>
      </c>
      <c r="V1536" s="35" t="str">
        <f>VLOOKUP(Tabla1[[#This Row],[PROGRAMA]],Hoja1!A:B,2,FALSE)</f>
        <v>9205. Imprenta municipal</v>
      </c>
      <c r="W1536" s="35" t="str">
        <f>MID(Tabla1[[#This Row],[Aplicación]],14,2)</f>
        <v>22</v>
      </c>
      <c r="X1536" s="35" t="str">
        <f>MID(Tabla1[[#This Row],[Aplicación]],14,6)</f>
        <v>22199</v>
      </c>
    </row>
    <row r="1537" spans="1:24" x14ac:dyDescent="0.25">
      <c r="A1537" s="49">
        <v>220220013429</v>
      </c>
      <c r="B1537" s="50" t="s">
        <v>9</v>
      </c>
      <c r="C1537" s="57">
        <v>44651</v>
      </c>
      <c r="D1537" s="49">
        <v>22022003068</v>
      </c>
      <c r="E1537" s="50" t="s">
        <v>2932</v>
      </c>
      <c r="F1537" s="58">
        <v>5348</v>
      </c>
      <c r="G1537" s="50" t="s">
        <v>2933</v>
      </c>
      <c r="H1537" s="50" t="s">
        <v>2934</v>
      </c>
      <c r="I1537" s="49" t="s">
        <v>107</v>
      </c>
      <c r="J1537" s="50" t="s">
        <v>2935</v>
      </c>
      <c r="K1537" s="55" t="s">
        <v>127</v>
      </c>
      <c r="L1537" s="50" t="s">
        <v>15</v>
      </c>
      <c r="M1537" s="50" t="s">
        <v>10</v>
      </c>
      <c r="N1537" s="50" t="s">
        <v>11</v>
      </c>
      <c r="O1537" s="48" t="s">
        <v>632</v>
      </c>
      <c r="P1537" s="45" t="s">
        <v>453</v>
      </c>
      <c r="Q1537" s="35" t="str">
        <f>MID(Tabla1[[#This Row],[Aplicación]],14,1)</f>
        <v>2</v>
      </c>
      <c r="R1537" s="35" t="s">
        <v>441</v>
      </c>
      <c r="S1537" s="35" t="str">
        <f>MID(Tabla1[[#This Row],[Aplicación]],6,2)</f>
        <v>04</v>
      </c>
      <c r="T1537" s="35" t="str">
        <f>VLOOKUP(Tabla1[[#This Row],[AREA]],Hoja1!A:B,2,FALSE)</f>
        <v>04. Planificación y recursos</v>
      </c>
      <c r="U1537" s="35" t="str">
        <f>MID(Tabla1[[#This Row],[Aplicación]],9,4)</f>
        <v>9321</v>
      </c>
      <c r="V1537" s="35" t="str">
        <f>VLOOKUP(Tabla1[[#This Row],[PROGRAMA]],Hoja1!A:B,2,FALSE)</f>
        <v>9321. Gestión de ingresos e inspección</v>
      </c>
      <c r="W1537" s="35" t="str">
        <f>MID(Tabla1[[#This Row],[Aplicación]],14,2)</f>
        <v>22</v>
      </c>
      <c r="X1537" s="35" t="str">
        <f>MID(Tabla1[[#This Row],[Aplicación]],14,6)</f>
        <v>22699</v>
      </c>
    </row>
    <row r="1538" spans="1:24" x14ac:dyDescent="0.25">
      <c r="A1538" s="49">
        <v>220220005207</v>
      </c>
      <c r="B1538" s="50" t="s">
        <v>9</v>
      </c>
      <c r="C1538" s="57">
        <v>44614</v>
      </c>
      <c r="D1538" s="49">
        <v>22022002235</v>
      </c>
      <c r="E1538" s="50" t="s">
        <v>2936</v>
      </c>
      <c r="F1538" s="58">
        <v>5256.24</v>
      </c>
      <c r="G1538" s="50" t="s">
        <v>1347</v>
      </c>
      <c r="H1538" s="50" t="s">
        <v>2937</v>
      </c>
      <c r="I1538" s="49" t="s">
        <v>107</v>
      </c>
      <c r="J1538" s="50" t="s">
        <v>109</v>
      </c>
      <c r="K1538" s="50" t="s">
        <v>109</v>
      </c>
      <c r="L1538" s="50" t="s">
        <v>12</v>
      </c>
      <c r="M1538" s="50" t="s">
        <v>10</v>
      </c>
      <c r="N1538" s="50" t="s">
        <v>11</v>
      </c>
      <c r="O1538" s="48" t="s">
        <v>632</v>
      </c>
      <c r="P1538" s="45" t="s">
        <v>453</v>
      </c>
      <c r="Q1538" s="35" t="str">
        <f>MID(Tabla1[[#This Row],[Aplicación]],14,1)</f>
        <v>2</v>
      </c>
      <c r="R1538" s="35" t="s">
        <v>441</v>
      </c>
      <c r="S1538" s="35" t="str">
        <f>MID(Tabla1[[#This Row],[Aplicación]],6,2)</f>
        <v>01</v>
      </c>
      <c r="T1538" s="35" t="str">
        <f>VLOOKUP(Tabla1[[#This Row],[AREA]],Hoja1!A:B,2,FALSE)</f>
        <v>01. Alcaldía</v>
      </c>
      <c r="U1538" s="35" t="str">
        <f>MID(Tabla1[[#This Row],[Aplicación]],9,4)</f>
        <v>9206</v>
      </c>
      <c r="V1538" s="35" t="str">
        <f>VLOOKUP(Tabla1[[#This Row],[PROGRAMA]],Hoja1!A:B,2,FALSE)</f>
        <v>9206. Archivo municipal</v>
      </c>
      <c r="W1538" s="35" t="str">
        <f>MID(Tabla1[[#This Row],[Aplicación]],14,2)</f>
        <v>22</v>
      </c>
      <c r="X1538" s="35" t="str">
        <f>MID(Tabla1[[#This Row],[Aplicación]],14,6)</f>
        <v>22606</v>
      </c>
    </row>
    <row r="1539" spans="1:24" x14ac:dyDescent="0.25">
      <c r="A1539" s="49">
        <v>220220001802</v>
      </c>
      <c r="B1539" s="50" t="s">
        <v>9</v>
      </c>
      <c r="C1539" s="57">
        <v>44589</v>
      </c>
      <c r="D1539" s="49">
        <v>22022001621</v>
      </c>
      <c r="E1539" s="50" t="s">
        <v>1629</v>
      </c>
      <c r="F1539" s="58">
        <v>4800</v>
      </c>
      <c r="G1539" s="50" t="s">
        <v>87</v>
      </c>
      <c r="H1539" s="50" t="s">
        <v>2938</v>
      </c>
      <c r="I1539" s="49" t="s">
        <v>107</v>
      </c>
      <c r="J1539" s="50" t="s">
        <v>565</v>
      </c>
      <c r="K1539" s="50" t="s">
        <v>109</v>
      </c>
      <c r="L1539" s="50" t="s">
        <v>12</v>
      </c>
      <c r="M1539" s="50" t="s">
        <v>10</v>
      </c>
      <c r="N1539" s="50" t="s">
        <v>11</v>
      </c>
      <c r="O1539" s="48" t="s">
        <v>632</v>
      </c>
      <c r="P1539" s="45" t="s">
        <v>453</v>
      </c>
      <c r="Q1539" s="35" t="str">
        <f>MID(Tabla1[[#This Row],[Aplicación]],14,1)</f>
        <v>2</v>
      </c>
      <c r="R1539" s="35" t="s">
        <v>441</v>
      </c>
      <c r="S1539" s="35" t="str">
        <f>MID(Tabla1[[#This Row],[Aplicación]],6,2)</f>
        <v>06</v>
      </c>
      <c r="T1539" s="35" t="str">
        <f>VLOOKUP(Tabla1[[#This Row],[AREA]],Hoja1!A:B,2,FALSE)</f>
        <v>06. Educación, infancia, juventud e igualdad</v>
      </c>
      <c r="U1539" s="35" t="str">
        <f>MID(Tabla1[[#This Row],[Aplicación]],9,4)</f>
        <v>2315</v>
      </c>
      <c r="V1539" s="35" t="str">
        <f>VLOOKUP(Tabla1[[#This Row],[PROGRAMA]],Hoja1!A:B,2,FALSE)</f>
        <v>2315. Políticas de Igualdad e infancia</v>
      </c>
      <c r="W1539" s="35" t="str">
        <f>MID(Tabla1[[#This Row],[Aplicación]],14,2)</f>
        <v>22</v>
      </c>
      <c r="X1539" s="35" t="str">
        <f>MID(Tabla1[[#This Row],[Aplicación]],14,6)</f>
        <v>22611</v>
      </c>
    </row>
    <row r="1540" spans="1:24" x14ac:dyDescent="0.25">
      <c r="A1540" s="49">
        <v>220220003444</v>
      </c>
      <c r="B1540" s="50" t="s">
        <v>9</v>
      </c>
      <c r="C1540" s="57">
        <v>44603</v>
      </c>
      <c r="D1540" s="49">
        <v>22022002116</v>
      </c>
      <c r="E1540" s="50" t="s">
        <v>1942</v>
      </c>
      <c r="F1540" s="58">
        <v>4658.5</v>
      </c>
      <c r="G1540" s="50" t="s">
        <v>848</v>
      </c>
      <c r="H1540" s="50" t="s">
        <v>2939</v>
      </c>
      <c r="I1540" s="49" t="s">
        <v>107</v>
      </c>
      <c r="J1540" s="50" t="s">
        <v>109</v>
      </c>
      <c r="K1540" s="50" t="s">
        <v>109</v>
      </c>
      <c r="L1540" s="50" t="s">
        <v>12</v>
      </c>
      <c r="M1540" s="50" t="s">
        <v>10</v>
      </c>
      <c r="N1540" s="50" t="s">
        <v>11</v>
      </c>
      <c r="O1540" s="48" t="s">
        <v>632</v>
      </c>
      <c r="P1540" s="45" t="s">
        <v>453</v>
      </c>
      <c r="Q1540" s="35" t="str">
        <f>MID(Tabla1[[#This Row],[Aplicación]],14,1)</f>
        <v>2</v>
      </c>
      <c r="R1540" s="35" t="s">
        <v>441</v>
      </c>
      <c r="S1540" s="35" t="str">
        <f>MID(Tabla1[[#This Row],[Aplicación]],6,2)</f>
        <v>03</v>
      </c>
      <c r="T1540" s="35" t="str">
        <f>VLOOKUP(Tabla1[[#This Row],[AREA]],Hoja1!A:B,2,FALSE)</f>
        <v>03. Participación ciudadana y deportes</v>
      </c>
      <c r="U1540" s="35" t="str">
        <f>MID(Tabla1[[#This Row],[Aplicación]],9,4)</f>
        <v>9241</v>
      </c>
      <c r="V1540" s="35" t="str">
        <f>VLOOKUP(Tabla1[[#This Row],[PROGRAMA]],Hoja1!A:B,2,FALSE)</f>
        <v>9241. Participación ciudadana</v>
      </c>
      <c r="W1540" s="35" t="str">
        <f>MID(Tabla1[[#This Row],[Aplicación]],14,2)</f>
        <v>22</v>
      </c>
      <c r="X1540" s="35" t="str">
        <f>MID(Tabla1[[#This Row],[Aplicación]],14,6)</f>
        <v>22699</v>
      </c>
    </row>
    <row r="1541" spans="1:24" x14ac:dyDescent="0.25">
      <c r="A1541" s="49">
        <v>220220012881</v>
      </c>
      <c r="B1541" s="50" t="s">
        <v>9</v>
      </c>
      <c r="C1541" s="57">
        <v>44645</v>
      </c>
      <c r="D1541" s="49">
        <v>22022002659</v>
      </c>
      <c r="E1541" s="50" t="s">
        <v>2940</v>
      </c>
      <c r="F1541" s="58">
        <v>1452</v>
      </c>
      <c r="G1541" s="50" t="s">
        <v>93</v>
      </c>
      <c r="H1541" s="50" t="s">
        <v>2941</v>
      </c>
      <c r="I1541" s="49" t="s">
        <v>107</v>
      </c>
      <c r="J1541" s="50" t="s">
        <v>109</v>
      </c>
      <c r="K1541" s="50" t="s">
        <v>109</v>
      </c>
      <c r="L1541" s="50" t="s">
        <v>12</v>
      </c>
      <c r="M1541" s="50" t="s">
        <v>10</v>
      </c>
      <c r="N1541" s="50" t="s">
        <v>11</v>
      </c>
      <c r="O1541" s="48" t="s">
        <v>632</v>
      </c>
      <c r="P1541" s="45" t="s">
        <v>453</v>
      </c>
      <c r="Q1541" s="35" t="str">
        <f>MID(Tabla1[[#This Row],[Aplicación]],14,1)</f>
        <v>2</v>
      </c>
      <c r="R1541" s="35" t="s">
        <v>441</v>
      </c>
      <c r="S1541" s="35" t="str">
        <f>MID(Tabla1[[#This Row],[Aplicación]],6,2)</f>
        <v>05</v>
      </c>
      <c r="T1541" s="35" t="str">
        <f>VLOOKUP(Tabla1[[#This Row],[AREA]],Hoja1!A:B,2,FALSE)</f>
        <v>05. Innovación, desarrollo económico, empleo y comercio</v>
      </c>
      <c r="U1541" s="35" t="str">
        <f>MID(Tabla1[[#This Row],[Aplicación]],9,4)</f>
        <v>4312</v>
      </c>
      <c r="V1541" s="35" t="str">
        <f>VLOOKUP(Tabla1[[#This Row],[PROGRAMA]],Hoja1!A:B,2,FALSE)</f>
        <v>4312. Mercados, abastos y lonjas</v>
      </c>
      <c r="W1541" s="35" t="str">
        <f>MID(Tabla1[[#This Row],[Aplicación]],14,2)</f>
        <v>22</v>
      </c>
      <c r="X1541" s="35" t="str">
        <f>MID(Tabla1[[#This Row],[Aplicación]],14,6)</f>
        <v>22706</v>
      </c>
    </row>
    <row r="1542" spans="1:24" x14ac:dyDescent="0.25">
      <c r="A1542" s="49">
        <v>220220003282</v>
      </c>
      <c r="B1542" s="50" t="s">
        <v>9</v>
      </c>
      <c r="C1542" s="57">
        <v>44602</v>
      </c>
      <c r="D1542" s="49">
        <v>22022002120</v>
      </c>
      <c r="E1542" s="50" t="s">
        <v>1829</v>
      </c>
      <c r="F1542" s="58">
        <v>4500</v>
      </c>
      <c r="G1542" s="50" t="s">
        <v>470</v>
      </c>
      <c r="H1542" s="50" t="s">
        <v>2942</v>
      </c>
      <c r="I1542" s="49" t="s">
        <v>107</v>
      </c>
      <c r="J1542" s="50" t="s">
        <v>597</v>
      </c>
      <c r="K1542" s="50" t="s">
        <v>108</v>
      </c>
      <c r="L1542" s="50" t="s">
        <v>15</v>
      </c>
      <c r="M1542" s="50" t="s">
        <v>10</v>
      </c>
      <c r="N1542" s="50" t="s">
        <v>11</v>
      </c>
      <c r="O1542" s="48" t="s">
        <v>632</v>
      </c>
      <c r="P1542" s="45" t="s">
        <v>453</v>
      </c>
      <c r="Q1542" s="35" t="str">
        <f>MID(Tabla1[[#This Row],[Aplicación]],14,1)</f>
        <v>2</v>
      </c>
      <c r="R1542" s="35" t="s">
        <v>441</v>
      </c>
      <c r="S1542" s="35" t="str">
        <f>MID(Tabla1[[#This Row],[Aplicación]],6,2)</f>
        <v>04</v>
      </c>
      <c r="T1542" s="35" t="str">
        <f>VLOOKUP(Tabla1[[#This Row],[AREA]],Hoja1!A:B,2,FALSE)</f>
        <v>04. Planificación y recursos</v>
      </c>
      <c r="U1542" s="35" t="str">
        <f>MID(Tabla1[[#This Row],[Aplicación]],9,4)</f>
        <v>3121</v>
      </c>
      <c r="V1542" s="35" t="str">
        <f>VLOOKUP(Tabla1[[#This Row],[PROGRAMA]],Hoja1!A:B,2,FALSE)</f>
        <v>3121. Prevención y salud laboral</v>
      </c>
      <c r="W1542" s="35" t="str">
        <f>MID(Tabla1[[#This Row],[Aplicación]],14,2)</f>
        <v>22</v>
      </c>
      <c r="X1542" s="35" t="str">
        <f>MID(Tabla1[[#This Row],[Aplicación]],14,6)</f>
        <v>22106</v>
      </c>
    </row>
    <row r="1543" spans="1:24" x14ac:dyDescent="0.25">
      <c r="A1543" s="49">
        <v>220220001609</v>
      </c>
      <c r="B1543" s="50" t="s">
        <v>9</v>
      </c>
      <c r="C1543" s="57">
        <v>44587</v>
      </c>
      <c r="D1543" s="49">
        <v>22022001463</v>
      </c>
      <c r="E1543" s="50" t="s">
        <v>1943</v>
      </c>
      <c r="F1543" s="58">
        <v>180.92</v>
      </c>
      <c r="G1543" s="50" t="s">
        <v>999</v>
      </c>
      <c r="H1543" s="50" t="s">
        <v>2943</v>
      </c>
      <c r="I1543" s="49" t="s">
        <v>107</v>
      </c>
      <c r="J1543" s="50" t="s">
        <v>109</v>
      </c>
      <c r="K1543" s="50" t="s">
        <v>109</v>
      </c>
      <c r="L1543" s="50" t="s">
        <v>15</v>
      </c>
      <c r="M1543" s="50" t="s">
        <v>10</v>
      </c>
      <c r="N1543" s="50" t="s">
        <v>11</v>
      </c>
      <c r="O1543" s="48" t="s">
        <v>632</v>
      </c>
      <c r="P1543" s="45" t="s">
        <v>453</v>
      </c>
      <c r="Q1543" s="35" t="str">
        <f>MID(Tabla1[[#This Row],[Aplicación]],14,1)</f>
        <v>2</v>
      </c>
      <c r="R1543" s="35" t="s">
        <v>441</v>
      </c>
      <c r="S1543" s="35" t="str">
        <f>MID(Tabla1[[#This Row],[Aplicación]],6,2)</f>
        <v>10</v>
      </c>
      <c r="T1543" s="35" t="str">
        <f>VLOOKUP(Tabla1[[#This Row],[AREA]],Hoja1!A:B,2,FALSE)</f>
        <v>10. Servicios sociales y mediación comunitaria</v>
      </c>
      <c r="U1543" s="35" t="str">
        <f>MID(Tabla1[[#This Row],[Aplicación]],9,4)</f>
        <v>2312</v>
      </c>
      <c r="V1543" s="35" t="str">
        <f>VLOOKUP(Tabla1[[#This Row],[PROGRAMA]],Hoja1!A:B,2,FALSE)</f>
        <v>2312. Iniciativas sociales</v>
      </c>
      <c r="W1543" s="35" t="str">
        <f>MID(Tabla1[[#This Row],[Aplicación]],14,2)</f>
        <v>22</v>
      </c>
      <c r="X1543" s="35" t="str">
        <f>MID(Tabla1[[#This Row],[Aplicación]],14,6)</f>
        <v>22699</v>
      </c>
    </row>
    <row r="1544" spans="1:24" x14ac:dyDescent="0.25">
      <c r="A1544" s="49">
        <v>220219000176</v>
      </c>
      <c r="B1544" s="50" t="s">
        <v>9</v>
      </c>
      <c r="C1544" s="57">
        <v>44562</v>
      </c>
      <c r="D1544" s="49">
        <v>22022000385</v>
      </c>
      <c r="E1544" s="50" t="s">
        <v>1886</v>
      </c>
      <c r="F1544" s="58">
        <v>4322.5</v>
      </c>
      <c r="G1544" s="50" t="s">
        <v>45</v>
      </c>
      <c r="H1544" s="50" t="s">
        <v>2944</v>
      </c>
      <c r="I1544" s="49" t="s">
        <v>107</v>
      </c>
      <c r="J1544" s="50" t="s">
        <v>539</v>
      </c>
      <c r="K1544" s="50" t="s">
        <v>109</v>
      </c>
      <c r="L1544" s="50" t="s">
        <v>12</v>
      </c>
      <c r="M1544" s="50" t="s">
        <v>13</v>
      </c>
      <c r="N1544" s="50" t="s">
        <v>14</v>
      </c>
      <c r="O1544" s="48" t="s">
        <v>620</v>
      </c>
      <c r="P1544" s="45" t="s">
        <v>453</v>
      </c>
      <c r="Q1544" s="35" t="str">
        <f>MID(Tabla1[[#This Row],[Aplicación]],14,1)</f>
        <v>2</v>
      </c>
      <c r="R1544" s="35" t="s">
        <v>441</v>
      </c>
      <c r="S1544" s="35" t="str">
        <f>MID(Tabla1[[#This Row],[Aplicación]],6,2)</f>
        <v>09</v>
      </c>
      <c r="T1544" s="35" t="str">
        <f>VLOOKUP(Tabla1[[#This Row],[AREA]],Hoja1!A:B,2,FALSE)</f>
        <v>09. Cultura y turismo</v>
      </c>
      <c r="U1544" s="35" t="str">
        <f>MID(Tabla1[[#This Row],[Aplicación]],9,4)</f>
        <v>3341</v>
      </c>
      <c r="V1544" s="35" t="str">
        <f>VLOOKUP(Tabla1[[#This Row],[PROGRAMA]],Hoja1!A:B,2,FALSE)</f>
        <v>3341. Coordinación de políticas culturales</v>
      </c>
      <c r="W1544" s="35" t="str">
        <f>MID(Tabla1[[#This Row],[Aplicación]],14,2)</f>
        <v>22</v>
      </c>
      <c r="X1544" s="35" t="str">
        <f>MID(Tabla1[[#This Row],[Aplicación]],14,6)</f>
        <v>22799</v>
      </c>
    </row>
    <row r="1545" spans="1:24" x14ac:dyDescent="0.25">
      <c r="A1545" s="49">
        <v>220220002199</v>
      </c>
      <c r="B1545" s="50" t="s">
        <v>9</v>
      </c>
      <c r="C1545" s="57">
        <v>44592</v>
      </c>
      <c r="D1545" s="49">
        <v>22022001631</v>
      </c>
      <c r="E1545" s="50" t="s">
        <v>1629</v>
      </c>
      <c r="F1545" s="58">
        <v>4200</v>
      </c>
      <c r="G1545" s="50" t="s">
        <v>1352</v>
      </c>
      <c r="H1545" s="50" t="s">
        <v>2945</v>
      </c>
      <c r="I1545" s="49" t="s">
        <v>107</v>
      </c>
      <c r="J1545" s="50" t="s">
        <v>109</v>
      </c>
      <c r="K1545" s="50" t="s">
        <v>109</v>
      </c>
      <c r="L1545" s="50" t="s">
        <v>12</v>
      </c>
      <c r="M1545" s="50" t="s">
        <v>10</v>
      </c>
      <c r="N1545" s="50" t="s">
        <v>11</v>
      </c>
      <c r="O1545" s="48" t="s">
        <v>632</v>
      </c>
      <c r="P1545" s="45" t="s">
        <v>453</v>
      </c>
      <c r="Q1545" s="35" t="str">
        <f>MID(Tabla1[[#This Row],[Aplicación]],14,1)</f>
        <v>2</v>
      </c>
      <c r="R1545" s="35" t="s">
        <v>441</v>
      </c>
      <c r="S1545" s="35" t="str">
        <f>MID(Tabla1[[#This Row],[Aplicación]],6,2)</f>
        <v>06</v>
      </c>
      <c r="T1545" s="35" t="str">
        <f>VLOOKUP(Tabla1[[#This Row],[AREA]],Hoja1!A:B,2,FALSE)</f>
        <v>06. Educación, infancia, juventud e igualdad</v>
      </c>
      <c r="U1545" s="35" t="str">
        <f>MID(Tabla1[[#This Row],[Aplicación]],9,4)</f>
        <v>2315</v>
      </c>
      <c r="V1545" s="35" t="str">
        <f>VLOOKUP(Tabla1[[#This Row],[PROGRAMA]],Hoja1!A:B,2,FALSE)</f>
        <v>2315. Políticas de Igualdad e infancia</v>
      </c>
      <c r="W1545" s="35" t="str">
        <f>MID(Tabla1[[#This Row],[Aplicación]],14,2)</f>
        <v>22</v>
      </c>
      <c r="X1545" s="35" t="str">
        <f>MID(Tabla1[[#This Row],[Aplicación]],14,6)</f>
        <v>22611</v>
      </c>
    </row>
    <row r="1546" spans="1:24" x14ac:dyDescent="0.25">
      <c r="A1546" s="49">
        <v>220219000364</v>
      </c>
      <c r="B1546" s="50" t="s">
        <v>9</v>
      </c>
      <c r="C1546" s="57">
        <v>44562</v>
      </c>
      <c r="D1546" s="49">
        <v>22022000504</v>
      </c>
      <c r="E1546" s="50" t="s">
        <v>2851</v>
      </c>
      <c r="F1546" s="58">
        <v>5390.55</v>
      </c>
      <c r="G1546" s="50" t="s">
        <v>936</v>
      </c>
      <c r="H1546" s="50" t="s">
        <v>2946</v>
      </c>
      <c r="I1546" s="49" t="s">
        <v>107</v>
      </c>
      <c r="J1546" s="50" t="s">
        <v>108</v>
      </c>
      <c r="K1546" s="50" t="s">
        <v>108</v>
      </c>
      <c r="L1546" s="50" t="s">
        <v>12</v>
      </c>
      <c r="M1546" s="50" t="s">
        <v>10</v>
      </c>
      <c r="N1546" s="50" t="s">
        <v>11</v>
      </c>
      <c r="O1546" s="48" t="s">
        <v>632</v>
      </c>
      <c r="P1546" s="45" t="s">
        <v>453</v>
      </c>
      <c r="Q1546" s="35" t="str">
        <f>MID(Tabla1[[#This Row],[Aplicación]],14,1)</f>
        <v>2</v>
      </c>
      <c r="R1546" s="35" t="s">
        <v>441</v>
      </c>
      <c r="S1546" s="35" t="str">
        <f>MID(Tabla1[[#This Row],[Aplicación]],6,2)</f>
        <v>05</v>
      </c>
      <c r="T1546" s="35" t="str">
        <f>VLOOKUP(Tabla1[[#This Row],[AREA]],Hoja1!A:B,2,FALSE)</f>
        <v>05. Innovación, desarrollo económico, empleo y comercio</v>
      </c>
      <c r="U1546" s="35" t="str">
        <f>MID(Tabla1[[#This Row],[Aplicación]],9,4)</f>
        <v>4314</v>
      </c>
      <c r="V1546" s="35" t="str">
        <f>VLOOKUP(Tabla1[[#This Row],[PROGRAMA]],Hoja1!A:B,2,FALSE)</f>
        <v>4314. Fomento del comercio</v>
      </c>
      <c r="W1546" s="35" t="str">
        <f>MID(Tabla1[[#This Row],[Aplicación]],14,2)</f>
        <v>22</v>
      </c>
      <c r="X1546" s="35" t="str">
        <f>MID(Tabla1[[#This Row],[Aplicación]],14,6)</f>
        <v>22799</v>
      </c>
    </row>
    <row r="1547" spans="1:24" x14ac:dyDescent="0.25">
      <c r="A1547" s="49">
        <v>220219001121</v>
      </c>
      <c r="B1547" s="50" t="s">
        <v>9</v>
      </c>
      <c r="C1547" s="57">
        <v>44562</v>
      </c>
      <c r="D1547" s="49">
        <v>22022000284</v>
      </c>
      <c r="E1547" s="50" t="s">
        <v>1475</v>
      </c>
      <c r="F1547" s="58">
        <v>8121.48</v>
      </c>
      <c r="G1547" s="50" t="s">
        <v>2947</v>
      </c>
      <c r="H1547" s="50" t="s">
        <v>2948</v>
      </c>
      <c r="I1547" s="49" t="s">
        <v>107</v>
      </c>
      <c r="J1547" s="50" t="s">
        <v>2949</v>
      </c>
      <c r="K1547" s="50" t="s">
        <v>2950</v>
      </c>
      <c r="L1547" s="50" t="s">
        <v>12</v>
      </c>
      <c r="M1547" s="50" t="s">
        <v>13</v>
      </c>
      <c r="N1547" s="50" t="s">
        <v>14</v>
      </c>
      <c r="O1547" s="48" t="s">
        <v>620</v>
      </c>
      <c r="P1547" s="45" t="s">
        <v>453</v>
      </c>
      <c r="Q1547" s="35" t="str">
        <f>MID(Tabla1[[#This Row],[Aplicación]],14,1)</f>
        <v>2</v>
      </c>
      <c r="R1547" s="35" t="s">
        <v>441</v>
      </c>
      <c r="S1547" s="35" t="str">
        <f>MID(Tabla1[[#This Row],[Aplicación]],6,2)</f>
        <v>06</v>
      </c>
      <c r="T1547" s="35" t="str">
        <f>VLOOKUP(Tabla1[[#This Row],[AREA]],Hoja1!A:B,2,FALSE)</f>
        <v>06. Educación, infancia, juventud e igualdad</v>
      </c>
      <c r="U1547" s="35" t="str">
        <f>MID(Tabla1[[#This Row],[Aplicación]],9,4)</f>
        <v>3232</v>
      </c>
      <c r="V1547" s="35" t="str">
        <f>VLOOKUP(Tabla1[[#This Row],[PROGRAMA]],Hoja1!A:B,2,FALSE)</f>
        <v>3232. Conservación y mantenimiento centros educación infantil y primaria</v>
      </c>
      <c r="W1547" s="35" t="str">
        <f>MID(Tabla1[[#This Row],[Aplicación]],14,2)</f>
        <v>21</v>
      </c>
      <c r="X1547" s="35" t="str">
        <f>MID(Tabla1[[#This Row],[Aplicación]],14,6)</f>
        <v>213</v>
      </c>
    </row>
    <row r="1548" spans="1:24" x14ac:dyDescent="0.25">
      <c r="A1548" s="49">
        <v>220220001609</v>
      </c>
      <c r="B1548" s="50" t="s">
        <v>9</v>
      </c>
      <c r="C1548" s="57">
        <v>44587</v>
      </c>
      <c r="D1548" s="49">
        <v>22022001464</v>
      </c>
      <c r="E1548" s="50" t="s">
        <v>1943</v>
      </c>
      <c r="F1548" s="58">
        <v>180.92</v>
      </c>
      <c r="G1548" s="50" t="s">
        <v>999</v>
      </c>
      <c r="H1548" s="50" t="s">
        <v>2943</v>
      </c>
      <c r="I1548" s="49" t="s">
        <v>107</v>
      </c>
      <c r="J1548" s="50" t="s">
        <v>109</v>
      </c>
      <c r="K1548" s="50" t="s">
        <v>109</v>
      </c>
      <c r="L1548" s="50" t="s">
        <v>15</v>
      </c>
      <c r="M1548" s="50" t="s">
        <v>10</v>
      </c>
      <c r="N1548" s="50" t="s">
        <v>11</v>
      </c>
      <c r="O1548" s="48" t="s">
        <v>632</v>
      </c>
      <c r="P1548" s="45" t="s">
        <v>453</v>
      </c>
      <c r="Q1548" s="35" t="str">
        <f>MID(Tabla1[[#This Row],[Aplicación]],14,1)</f>
        <v>2</v>
      </c>
      <c r="R1548" s="35" t="s">
        <v>441</v>
      </c>
      <c r="S1548" s="35" t="str">
        <f>MID(Tabla1[[#This Row],[Aplicación]],6,2)</f>
        <v>10</v>
      </c>
      <c r="T1548" s="35" t="str">
        <f>VLOOKUP(Tabla1[[#This Row],[AREA]],Hoja1!A:B,2,FALSE)</f>
        <v>10. Servicios sociales y mediación comunitaria</v>
      </c>
      <c r="U1548" s="35" t="str">
        <f>MID(Tabla1[[#This Row],[Aplicación]],9,4)</f>
        <v>2312</v>
      </c>
      <c r="V1548" s="35" t="str">
        <f>VLOOKUP(Tabla1[[#This Row],[PROGRAMA]],Hoja1!A:B,2,FALSE)</f>
        <v>2312. Iniciativas sociales</v>
      </c>
      <c r="W1548" s="35" t="str">
        <f>MID(Tabla1[[#This Row],[Aplicación]],14,2)</f>
        <v>22</v>
      </c>
      <c r="X1548" s="35" t="str">
        <f>MID(Tabla1[[#This Row],[Aplicación]],14,6)</f>
        <v>22699</v>
      </c>
    </row>
    <row r="1549" spans="1:24" x14ac:dyDescent="0.25">
      <c r="A1549" s="49">
        <v>220220010331</v>
      </c>
      <c r="B1549" s="50" t="s">
        <v>9</v>
      </c>
      <c r="C1549" s="57">
        <v>44641</v>
      </c>
      <c r="D1549" s="49">
        <v>22022002908</v>
      </c>
      <c r="E1549" s="50" t="s">
        <v>1436</v>
      </c>
      <c r="F1549" s="58">
        <v>495</v>
      </c>
      <c r="G1549" s="50" t="s">
        <v>1016</v>
      </c>
      <c r="H1549" s="50" t="s">
        <v>2951</v>
      </c>
      <c r="I1549" s="49" t="s">
        <v>107</v>
      </c>
      <c r="J1549" s="50" t="s">
        <v>109</v>
      </c>
      <c r="K1549" s="50" t="s">
        <v>109</v>
      </c>
      <c r="L1549" s="50" t="s">
        <v>12</v>
      </c>
      <c r="M1549" s="50" t="s">
        <v>10</v>
      </c>
      <c r="N1549" s="50" t="s">
        <v>11</v>
      </c>
      <c r="O1549" s="48" t="s">
        <v>632</v>
      </c>
      <c r="P1549" s="45" t="s">
        <v>453</v>
      </c>
      <c r="Q1549" s="35" t="str">
        <f>MID(Tabla1[[#This Row],[Aplicación]],14,1)</f>
        <v>2</v>
      </c>
      <c r="R1549" s="35" t="s">
        <v>441</v>
      </c>
      <c r="S1549" s="35" t="str">
        <f>MID(Tabla1[[#This Row],[Aplicación]],6,2)</f>
        <v>03</v>
      </c>
      <c r="T1549" s="35" t="str">
        <f>VLOOKUP(Tabla1[[#This Row],[AREA]],Hoja1!A:B,2,FALSE)</f>
        <v>03. Participación ciudadana y deportes</v>
      </c>
      <c r="U1549" s="35" t="str">
        <f>MID(Tabla1[[#This Row],[Aplicación]],9,4)</f>
        <v>9241</v>
      </c>
      <c r="V1549" s="35" t="str">
        <f>VLOOKUP(Tabla1[[#This Row],[PROGRAMA]],Hoja1!A:B,2,FALSE)</f>
        <v>9241. Participación ciudadana</v>
      </c>
      <c r="W1549" s="35" t="str">
        <f>MID(Tabla1[[#This Row],[Aplicación]],14,2)</f>
        <v>22</v>
      </c>
      <c r="X1549" s="35" t="str">
        <f>MID(Tabla1[[#This Row],[Aplicación]],14,6)</f>
        <v>22609</v>
      </c>
    </row>
    <row r="1550" spans="1:24" x14ac:dyDescent="0.25">
      <c r="A1550" s="49">
        <v>220220010310</v>
      </c>
      <c r="B1550" s="50" t="s">
        <v>9</v>
      </c>
      <c r="C1550" s="57">
        <v>44641</v>
      </c>
      <c r="D1550" s="49">
        <v>22022002869</v>
      </c>
      <c r="E1550" s="50" t="s">
        <v>1436</v>
      </c>
      <c r="F1550" s="58">
        <v>400</v>
      </c>
      <c r="G1550" s="50" t="s">
        <v>1016</v>
      </c>
      <c r="H1550" s="50" t="s">
        <v>2952</v>
      </c>
      <c r="I1550" s="49" t="s">
        <v>107</v>
      </c>
      <c r="J1550" s="50" t="s">
        <v>109</v>
      </c>
      <c r="K1550" s="50" t="s">
        <v>109</v>
      </c>
      <c r="L1550" s="50" t="s">
        <v>12</v>
      </c>
      <c r="M1550" s="50" t="s">
        <v>10</v>
      </c>
      <c r="N1550" s="50" t="s">
        <v>11</v>
      </c>
      <c r="O1550" s="48" t="s">
        <v>632</v>
      </c>
      <c r="P1550" s="45" t="s">
        <v>453</v>
      </c>
      <c r="Q1550" s="35" t="str">
        <f>MID(Tabla1[[#This Row],[Aplicación]],14,1)</f>
        <v>2</v>
      </c>
      <c r="R1550" s="35" t="s">
        <v>441</v>
      </c>
      <c r="S1550" s="35" t="str">
        <f>MID(Tabla1[[#This Row],[Aplicación]],6,2)</f>
        <v>03</v>
      </c>
      <c r="T1550" s="35" t="str">
        <f>VLOOKUP(Tabla1[[#This Row],[AREA]],Hoja1!A:B,2,FALSE)</f>
        <v>03. Participación ciudadana y deportes</v>
      </c>
      <c r="U1550" s="35" t="str">
        <f>MID(Tabla1[[#This Row],[Aplicación]],9,4)</f>
        <v>9241</v>
      </c>
      <c r="V1550" s="35" t="str">
        <f>VLOOKUP(Tabla1[[#This Row],[PROGRAMA]],Hoja1!A:B,2,FALSE)</f>
        <v>9241. Participación ciudadana</v>
      </c>
      <c r="W1550" s="35" t="str">
        <f>MID(Tabla1[[#This Row],[Aplicación]],14,2)</f>
        <v>22</v>
      </c>
      <c r="X1550" s="35" t="str">
        <f>MID(Tabla1[[#This Row],[Aplicación]],14,6)</f>
        <v>22609</v>
      </c>
    </row>
    <row r="1551" spans="1:24" x14ac:dyDescent="0.25">
      <c r="A1551" s="49">
        <v>220210083416</v>
      </c>
      <c r="B1551" s="50" t="s">
        <v>9</v>
      </c>
      <c r="C1551" s="57">
        <v>44631</v>
      </c>
      <c r="D1551" s="49">
        <v>22021008726</v>
      </c>
      <c r="E1551" s="50" t="s">
        <v>1791</v>
      </c>
      <c r="F1551" s="58">
        <v>5255.45</v>
      </c>
      <c r="G1551" s="50" t="s">
        <v>794</v>
      </c>
      <c r="H1551" s="50" t="s">
        <v>1346</v>
      </c>
      <c r="I1551" s="49" t="s">
        <v>107</v>
      </c>
      <c r="J1551" s="50" t="s">
        <v>109</v>
      </c>
      <c r="K1551" s="50" t="s">
        <v>109</v>
      </c>
      <c r="L1551" s="50" t="s">
        <v>25</v>
      </c>
      <c r="M1551" s="50" t="s">
        <v>10</v>
      </c>
      <c r="N1551" s="50" t="s">
        <v>11</v>
      </c>
      <c r="O1551" s="48" t="s">
        <v>632</v>
      </c>
      <c r="P1551" s="45" t="s">
        <v>453</v>
      </c>
      <c r="Q1551" s="35" t="str">
        <f>MID(Tabla1[[#This Row],[Aplicación]],14,1)</f>
        <v>6</v>
      </c>
      <c r="R1551" s="35" t="s">
        <v>442</v>
      </c>
      <c r="S1551" s="35" t="str">
        <f>MID(Tabla1[[#This Row],[Aplicación]],6,2)</f>
        <v>11</v>
      </c>
      <c r="T1551" s="35" t="str">
        <f>VLOOKUP(Tabla1[[#This Row],[AREA]],Hoja1!A:B,2,FALSE)</f>
        <v>11. Salud pública y seguridad ciudadana</v>
      </c>
      <c r="U1551" s="35" t="str">
        <f>MID(Tabla1[[#This Row],[Aplicación]],9,4)</f>
        <v>1631</v>
      </c>
      <c r="V1551" s="35" t="str">
        <f>VLOOKUP(Tabla1[[#This Row],[PROGRAMA]],Hoja1!A:B,2,FALSE)</f>
        <v>1631. Limpieza viaria</v>
      </c>
      <c r="W1551" s="35" t="str">
        <f>MID(Tabla1[[#This Row],[Aplicación]],14,2)</f>
        <v>63</v>
      </c>
      <c r="X1551" s="35" t="str">
        <f>MID(Tabla1[[#This Row],[Aplicación]],14,6)</f>
        <v>632</v>
      </c>
    </row>
    <row r="1552" spans="1:24" x14ac:dyDescent="0.25">
      <c r="A1552" s="49">
        <v>220210044261</v>
      </c>
      <c r="B1552" s="50" t="s">
        <v>9</v>
      </c>
      <c r="C1552" s="57">
        <v>44620</v>
      </c>
      <c r="D1552" s="49">
        <v>22021005877</v>
      </c>
      <c r="E1552" s="50" t="s">
        <v>1652</v>
      </c>
      <c r="F1552" s="58">
        <v>5026.2299999999996</v>
      </c>
      <c r="G1552" s="50" t="s">
        <v>1130</v>
      </c>
      <c r="H1552" s="50" t="s">
        <v>1131</v>
      </c>
      <c r="I1552" s="49" t="s">
        <v>107</v>
      </c>
      <c r="J1552" s="50" t="s">
        <v>109</v>
      </c>
      <c r="K1552" s="50" t="s">
        <v>109</v>
      </c>
      <c r="L1552" s="50" t="s">
        <v>12</v>
      </c>
      <c r="M1552" s="50" t="s">
        <v>10</v>
      </c>
      <c r="N1552" s="50" t="s">
        <v>11</v>
      </c>
      <c r="O1552" s="48" t="s">
        <v>632</v>
      </c>
      <c r="P1552" s="45" t="s">
        <v>453</v>
      </c>
      <c r="Q1552" s="35" t="str">
        <f>MID(Tabla1[[#This Row],[Aplicación]],14,1)</f>
        <v>6</v>
      </c>
      <c r="R1552" s="35" t="s">
        <v>442</v>
      </c>
      <c r="S1552" s="35" t="str">
        <f>MID(Tabla1[[#This Row],[Aplicación]],6,2)</f>
        <v>09</v>
      </c>
      <c r="T1552" s="35" t="str">
        <f>VLOOKUP(Tabla1[[#This Row],[AREA]],Hoja1!A:B,2,FALSE)</f>
        <v>09. Cultura y turismo</v>
      </c>
      <c r="U1552" s="35" t="str">
        <f>MID(Tabla1[[#This Row],[Aplicación]],9,4)</f>
        <v>3341</v>
      </c>
      <c r="V1552" s="35" t="str">
        <f>VLOOKUP(Tabla1[[#This Row],[PROGRAMA]],Hoja1!A:B,2,FALSE)</f>
        <v>3341. Coordinación de políticas culturales</v>
      </c>
      <c r="W1552" s="35" t="str">
        <f>MID(Tabla1[[#This Row],[Aplicación]],14,2)</f>
        <v>63</v>
      </c>
      <c r="X1552" s="35" t="str">
        <f>MID(Tabla1[[#This Row],[Aplicación]],14,6)</f>
        <v>632</v>
      </c>
    </row>
    <row r="1553" spans="1:24" x14ac:dyDescent="0.25">
      <c r="A1553" s="49">
        <v>220220003100</v>
      </c>
      <c r="B1553" s="50" t="s">
        <v>9</v>
      </c>
      <c r="C1553" s="57">
        <v>44601</v>
      </c>
      <c r="D1553" s="49">
        <v>22022001838</v>
      </c>
      <c r="E1553" s="50" t="s">
        <v>1606</v>
      </c>
      <c r="F1553" s="58">
        <v>4973.58</v>
      </c>
      <c r="G1553" s="50" t="s">
        <v>240</v>
      </c>
      <c r="H1553" s="50" t="s">
        <v>2953</v>
      </c>
      <c r="I1553" s="49" t="s">
        <v>107</v>
      </c>
      <c r="J1553" s="50" t="s">
        <v>108</v>
      </c>
      <c r="K1553" s="50" t="s">
        <v>108</v>
      </c>
      <c r="L1553" s="50" t="s">
        <v>15</v>
      </c>
      <c r="M1553" s="50" t="s">
        <v>10</v>
      </c>
      <c r="N1553" s="50" t="s">
        <v>11</v>
      </c>
      <c r="O1553" s="48" t="s">
        <v>632</v>
      </c>
      <c r="P1553" s="45" t="s">
        <v>453</v>
      </c>
      <c r="Q1553" s="35" t="str">
        <f>MID(Tabla1[[#This Row],[Aplicación]],14,1)</f>
        <v>2</v>
      </c>
      <c r="R1553" s="35" t="s">
        <v>441</v>
      </c>
      <c r="S1553" s="35" t="str">
        <f>MID(Tabla1[[#This Row],[Aplicación]],6,2)</f>
        <v>11</v>
      </c>
      <c r="T1553" s="35" t="str">
        <f>VLOOKUP(Tabla1[[#This Row],[AREA]],Hoja1!A:B,2,FALSE)</f>
        <v>11. Salud pública y seguridad ciudadana</v>
      </c>
      <c r="U1553" s="35" t="str">
        <f>MID(Tabla1[[#This Row],[Aplicación]],9,4)</f>
        <v>1361</v>
      </c>
      <c r="V1553" s="35" t="str">
        <f>VLOOKUP(Tabla1[[#This Row],[PROGRAMA]],Hoja1!A:B,2,FALSE)</f>
        <v>1361. Prevención y extinción de incencios</v>
      </c>
      <c r="W1553" s="35" t="str">
        <f>MID(Tabla1[[#This Row],[Aplicación]],14,2)</f>
        <v>22</v>
      </c>
      <c r="X1553" s="35" t="str">
        <f>MID(Tabla1[[#This Row],[Aplicación]],14,6)</f>
        <v>22199</v>
      </c>
    </row>
    <row r="1554" spans="1:24" x14ac:dyDescent="0.25">
      <c r="A1554" s="49">
        <v>220220002539</v>
      </c>
      <c r="B1554" s="50" t="s">
        <v>9</v>
      </c>
      <c r="C1554" s="57">
        <v>44596</v>
      </c>
      <c r="D1554" s="49">
        <v>22022001777</v>
      </c>
      <c r="E1554" s="50" t="s">
        <v>2954</v>
      </c>
      <c r="F1554" s="58">
        <v>3960</v>
      </c>
      <c r="G1554" s="50" t="s">
        <v>81</v>
      </c>
      <c r="H1554" s="50" t="s">
        <v>2955</v>
      </c>
      <c r="I1554" s="49" t="s">
        <v>107</v>
      </c>
      <c r="J1554" s="50" t="s">
        <v>109</v>
      </c>
      <c r="K1554" s="50" t="s">
        <v>109</v>
      </c>
      <c r="L1554" s="50" t="s">
        <v>12</v>
      </c>
      <c r="M1554" s="50" t="s">
        <v>10</v>
      </c>
      <c r="N1554" s="50" t="s">
        <v>11</v>
      </c>
      <c r="O1554" s="48" t="s">
        <v>632</v>
      </c>
      <c r="P1554" s="45" t="s">
        <v>453</v>
      </c>
      <c r="Q1554" s="35" t="str">
        <f>MID(Tabla1[[#This Row],[Aplicación]],14,1)</f>
        <v>2</v>
      </c>
      <c r="R1554" s="35" t="s">
        <v>441</v>
      </c>
      <c r="S1554" s="35" t="str">
        <f>MID(Tabla1[[#This Row],[Aplicación]],6,2)</f>
        <v>01</v>
      </c>
      <c r="T1554" s="35" t="str">
        <f>VLOOKUP(Tabla1[[#This Row],[AREA]],Hoja1!A:B,2,FALSE)</f>
        <v>01. Alcaldía</v>
      </c>
      <c r="U1554" s="35" t="str">
        <f>MID(Tabla1[[#This Row],[Aplicación]],9,4)</f>
        <v>9203</v>
      </c>
      <c r="V1554" s="35" t="str">
        <f>VLOOKUP(Tabla1[[#This Row],[PROGRAMA]],Hoja1!A:B,2,FALSE)</f>
        <v>9203. Unidad de régimen interior</v>
      </c>
      <c r="W1554" s="35" t="str">
        <f>MID(Tabla1[[#This Row],[Aplicación]],14,2)</f>
        <v>22</v>
      </c>
      <c r="X1554" s="35" t="str">
        <f>MID(Tabla1[[#This Row],[Aplicación]],14,6)</f>
        <v>22799</v>
      </c>
    </row>
    <row r="1555" spans="1:24" x14ac:dyDescent="0.25">
      <c r="A1555" s="49">
        <v>220219001131</v>
      </c>
      <c r="B1555" s="50" t="s">
        <v>9</v>
      </c>
      <c r="C1555" s="57">
        <v>44562</v>
      </c>
      <c r="D1555" s="49">
        <v>22022000294</v>
      </c>
      <c r="E1555" s="50" t="s">
        <v>1496</v>
      </c>
      <c r="F1555" s="58">
        <v>1442.56</v>
      </c>
      <c r="G1555" s="50" t="s">
        <v>2947</v>
      </c>
      <c r="H1555" s="50" t="s">
        <v>2956</v>
      </c>
      <c r="I1555" s="49" t="s">
        <v>107</v>
      </c>
      <c r="J1555" s="50" t="s">
        <v>2949</v>
      </c>
      <c r="K1555" s="50" t="s">
        <v>2950</v>
      </c>
      <c r="L1555" s="50" t="s">
        <v>12</v>
      </c>
      <c r="M1555" s="50" t="s">
        <v>13</v>
      </c>
      <c r="N1555" s="50" t="s">
        <v>14</v>
      </c>
      <c r="O1555" s="48" t="s">
        <v>620</v>
      </c>
      <c r="P1555" s="45" t="s">
        <v>453</v>
      </c>
      <c r="Q1555" s="35" t="str">
        <f>MID(Tabla1[[#This Row],[Aplicación]],14,1)</f>
        <v>2</v>
      </c>
      <c r="R1555" s="35" t="s">
        <v>441</v>
      </c>
      <c r="S1555" s="35" t="str">
        <f>MID(Tabla1[[#This Row],[Aplicación]],6,2)</f>
        <v>10</v>
      </c>
      <c r="T1555" s="35" t="str">
        <f>VLOOKUP(Tabla1[[#This Row],[AREA]],Hoja1!A:B,2,FALSE)</f>
        <v>10. Servicios sociales y mediación comunitaria</v>
      </c>
      <c r="U1555" s="35" t="str">
        <f>MID(Tabla1[[#This Row],[Aplicación]],9,4)</f>
        <v>2311</v>
      </c>
      <c r="V1555" s="35" t="str">
        <f>VLOOKUP(Tabla1[[#This Row],[PROGRAMA]],Hoja1!A:B,2,FALSE)</f>
        <v>2311. Intervención social</v>
      </c>
      <c r="W1555" s="35" t="str">
        <f>MID(Tabla1[[#This Row],[Aplicación]],14,2)</f>
        <v>21</v>
      </c>
      <c r="X1555" s="35" t="str">
        <f>MID(Tabla1[[#This Row],[Aplicación]],14,6)</f>
        <v>213</v>
      </c>
    </row>
    <row r="1556" spans="1:24" x14ac:dyDescent="0.25">
      <c r="A1556" s="49">
        <v>220220000367</v>
      </c>
      <c r="B1556" s="50" t="s">
        <v>9</v>
      </c>
      <c r="C1556" s="57">
        <v>44585</v>
      </c>
      <c r="D1556" s="49">
        <v>22022001528</v>
      </c>
      <c r="E1556" s="50" t="s">
        <v>1975</v>
      </c>
      <c r="F1556" s="58">
        <v>4950</v>
      </c>
      <c r="G1556" s="50" t="s">
        <v>504</v>
      </c>
      <c r="H1556" s="50" t="s">
        <v>2957</v>
      </c>
      <c r="I1556" s="49" t="s">
        <v>107</v>
      </c>
      <c r="J1556" s="50" t="s">
        <v>109</v>
      </c>
      <c r="K1556" s="50" t="s">
        <v>109</v>
      </c>
      <c r="L1556" s="50" t="s">
        <v>15</v>
      </c>
      <c r="M1556" s="50" t="s">
        <v>10</v>
      </c>
      <c r="N1556" s="50" t="s">
        <v>11</v>
      </c>
      <c r="O1556" s="48" t="s">
        <v>632</v>
      </c>
      <c r="P1556" s="45" t="s">
        <v>453</v>
      </c>
      <c r="Q1556" s="35" t="str">
        <f>MID(Tabla1[[#This Row],[Aplicación]],14,1)</f>
        <v>2</v>
      </c>
      <c r="R1556" s="35" t="s">
        <v>441</v>
      </c>
      <c r="S1556" s="35" t="str">
        <f>MID(Tabla1[[#This Row],[Aplicación]],6,2)</f>
        <v>08</v>
      </c>
      <c r="T1556" s="35" t="str">
        <f>VLOOKUP(Tabla1[[#This Row],[AREA]],Hoja1!A:B,2,FALSE)</f>
        <v>08. Movilidad y espacio urbano</v>
      </c>
      <c r="U1556" s="35" t="str">
        <f>MID(Tabla1[[#This Row],[Aplicación]],9,4)</f>
        <v>1532</v>
      </c>
      <c r="V1556" s="35" t="str">
        <f>VLOOKUP(Tabla1[[#This Row],[PROGRAMA]],Hoja1!A:B,2,FALSE)</f>
        <v>1532. Pavimentación vias públicas y otros servicios urbanísticos</v>
      </c>
      <c r="W1556" s="35" t="str">
        <f>MID(Tabla1[[#This Row],[Aplicación]],14,2)</f>
        <v>21</v>
      </c>
      <c r="X1556" s="35" t="str">
        <f>MID(Tabla1[[#This Row],[Aplicación]],14,6)</f>
        <v>210</v>
      </c>
    </row>
    <row r="1557" spans="1:24" x14ac:dyDescent="0.25">
      <c r="A1557" s="49">
        <v>220209000815</v>
      </c>
      <c r="B1557" s="50" t="s">
        <v>9</v>
      </c>
      <c r="C1557" s="57">
        <v>44562</v>
      </c>
      <c r="D1557" s="49">
        <v>22022000313</v>
      </c>
      <c r="E1557" s="50" t="s">
        <v>2309</v>
      </c>
      <c r="F1557" s="58">
        <v>3872</v>
      </c>
      <c r="G1557" s="50" t="s">
        <v>874</v>
      </c>
      <c r="H1557" s="50" t="s">
        <v>875</v>
      </c>
      <c r="I1557" s="49" t="s">
        <v>107</v>
      </c>
      <c r="J1557" s="50" t="s">
        <v>108</v>
      </c>
      <c r="K1557" s="50" t="s">
        <v>108</v>
      </c>
      <c r="L1557" s="50" t="s">
        <v>12</v>
      </c>
      <c r="M1557" s="50" t="s">
        <v>13</v>
      </c>
      <c r="N1557" s="50" t="s">
        <v>14</v>
      </c>
      <c r="O1557" s="48" t="s">
        <v>620</v>
      </c>
      <c r="P1557" s="45" t="s">
        <v>453</v>
      </c>
      <c r="Q1557" s="35" t="str">
        <f>MID(Tabla1[[#This Row],[Aplicación]],14,1)</f>
        <v>2</v>
      </c>
      <c r="R1557" s="35" t="s">
        <v>441</v>
      </c>
      <c r="S1557" s="35" t="str">
        <f>MID(Tabla1[[#This Row],[Aplicación]],6,2)</f>
        <v>07</v>
      </c>
      <c r="T1557" s="35" t="str">
        <f>VLOOKUP(Tabla1[[#This Row],[AREA]],Hoja1!A:B,2,FALSE)</f>
        <v>07. Medio ambiente y desarrollo sostenible</v>
      </c>
      <c r="U1557" s="35" t="str">
        <f>MID(Tabla1[[#This Row],[Aplicación]],9,4)</f>
        <v>1721</v>
      </c>
      <c r="V1557" s="35" t="str">
        <f>VLOOKUP(Tabla1[[#This Row],[PROGRAMA]],Hoja1!A:B,2,FALSE)</f>
        <v>1721. Protección del medio ambiente</v>
      </c>
      <c r="W1557" s="35" t="str">
        <f>MID(Tabla1[[#This Row],[Aplicación]],14,2)</f>
        <v>21</v>
      </c>
      <c r="X1557" s="35" t="str">
        <f>MID(Tabla1[[#This Row],[Aplicación]],14,6)</f>
        <v>213</v>
      </c>
    </row>
    <row r="1558" spans="1:24" x14ac:dyDescent="0.25">
      <c r="A1558" s="49">
        <v>220220007393</v>
      </c>
      <c r="B1558" s="50" t="s">
        <v>9</v>
      </c>
      <c r="C1558" s="57">
        <v>44624</v>
      </c>
      <c r="D1558" s="49">
        <v>22022002551</v>
      </c>
      <c r="E1558" s="50" t="s">
        <v>1742</v>
      </c>
      <c r="F1558" s="58">
        <v>4506.59</v>
      </c>
      <c r="G1558" s="50" t="s">
        <v>139</v>
      </c>
      <c r="H1558" s="50" t="s">
        <v>2958</v>
      </c>
      <c r="I1558" s="49" t="s">
        <v>107</v>
      </c>
      <c r="J1558" s="50" t="s">
        <v>109</v>
      </c>
      <c r="K1558" s="50" t="s">
        <v>108</v>
      </c>
      <c r="L1558" s="50" t="s">
        <v>15</v>
      </c>
      <c r="M1558" s="50" t="s">
        <v>10</v>
      </c>
      <c r="N1558" s="50" t="s">
        <v>11</v>
      </c>
      <c r="O1558" s="48" t="s">
        <v>632</v>
      </c>
      <c r="P1558" s="45" t="s">
        <v>453</v>
      </c>
      <c r="Q1558" s="35" t="str">
        <f>MID(Tabla1[[#This Row],[Aplicación]],14,1)</f>
        <v>2</v>
      </c>
      <c r="R1558" s="35" t="s">
        <v>441</v>
      </c>
      <c r="S1558" s="35" t="str">
        <f>MID(Tabla1[[#This Row],[Aplicación]],6,2)</f>
        <v>03</v>
      </c>
      <c r="T1558" s="35" t="str">
        <f>VLOOKUP(Tabla1[[#This Row],[AREA]],Hoja1!A:B,2,FALSE)</f>
        <v>03. Participación ciudadana y deportes</v>
      </c>
      <c r="U1558" s="35" t="str">
        <f>MID(Tabla1[[#This Row],[Aplicación]],9,4)</f>
        <v>9241</v>
      </c>
      <c r="V1558" s="35" t="str">
        <f>VLOOKUP(Tabla1[[#This Row],[PROGRAMA]],Hoja1!A:B,2,FALSE)</f>
        <v>9241. Participación ciudadana</v>
      </c>
      <c r="W1558" s="35" t="str">
        <f>MID(Tabla1[[#This Row],[Aplicación]],14,2)</f>
        <v>21</v>
      </c>
      <c r="X1558" s="35" t="str">
        <f>MID(Tabla1[[#This Row],[Aplicación]],14,6)</f>
        <v>213</v>
      </c>
    </row>
    <row r="1559" spans="1:24" x14ac:dyDescent="0.25">
      <c r="A1559" s="49">
        <v>220220007013</v>
      </c>
      <c r="B1559" s="50" t="s">
        <v>172</v>
      </c>
      <c r="C1559" s="57">
        <v>44623</v>
      </c>
      <c r="D1559" s="49">
        <v>22022001643</v>
      </c>
      <c r="E1559" s="50" t="s">
        <v>2116</v>
      </c>
      <c r="F1559" s="58">
        <v>1436.88</v>
      </c>
      <c r="G1559" s="50" t="s">
        <v>212</v>
      </c>
      <c r="H1559" s="50" t="s">
        <v>2959</v>
      </c>
      <c r="I1559" s="49" t="s">
        <v>173</v>
      </c>
      <c r="J1559" s="50" t="s">
        <v>109</v>
      </c>
      <c r="K1559" s="50" t="s">
        <v>109</v>
      </c>
      <c r="L1559" s="50" t="s">
        <v>15</v>
      </c>
      <c r="M1559" s="50" t="s">
        <v>13</v>
      </c>
      <c r="N1559" s="50" t="s">
        <v>14</v>
      </c>
      <c r="O1559" s="48" t="s">
        <v>631</v>
      </c>
      <c r="P1559" s="45" t="s">
        <v>453</v>
      </c>
      <c r="Q1559" s="35" t="str">
        <f>MID(Tabla1[[#This Row],[Aplicación]],14,1)</f>
        <v>2</v>
      </c>
      <c r="R1559" s="35" t="s">
        <v>441</v>
      </c>
      <c r="S1559" s="35" t="str">
        <f>MID(Tabla1[[#This Row],[Aplicación]],6,2)</f>
        <v>06</v>
      </c>
      <c r="T1559" s="35" t="str">
        <f>VLOOKUP(Tabla1[[#This Row],[AREA]],Hoja1!A:B,2,FALSE)</f>
        <v>06. Educación, infancia, juventud e igualdad</v>
      </c>
      <c r="U1559" s="35" t="str">
        <f>MID(Tabla1[[#This Row],[Aplicación]],9,4)</f>
        <v>3321</v>
      </c>
      <c r="V1559" s="35" t="str">
        <f>VLOOKUP(Tabla1[[#This Row],[PROGRAMA]],Hoja1!A:B,2,FALSE)</f>
        <v>3321. Bibliotecas públicas</v>
      </c>
      <c r="W1559" s="35" t="str">
        <f>MID(Tabla1[[#This Row],[Aplicación]],14,2)</f>
        <v>21</v>
      </c>
      <c r="X1559" s="35" t="str">
        <f>MID(Tabla1[[#This Row],[Aplicación]],14,6)</f>
        <v>212</v>
      </c>
    </row>
    <row r="1560" spans="1:24" x14ac:dyDescent="0.25">
      <c r="A1560" s="49">
        <v>220220012697</v>
      </c>
      <c r="B1560" s="50" t="s">
        <v>172</v>
      </c>
      <c r="C1560" s="57">
        <v>44644</v>
      </c>
      <c r="D1560" s="49">
        <v>22022001626</v>
      </c>
      <c r="E1560" s="50" t="s">
        <v>1635</v>
      </c>
      <c r="F1560" s="58">
        <v>950.58</v>
      </c>
      <c r="G1560" s="50" t="s">
        <v>212</v>
      </c>
      <c r="H1560" s="50" t="s">
        <v>2960</v>
      </c>
      <c r="I1560" s="49" t="s">
        <v>173</v>
      </c>
      <c r="J1560" s="50" t="s">
        <v>109</v>
      </c>
      <c r="K1560" s="50" t="s">
        <v>109</v>
      </c>
      <c r="L1560" s="50" t="s">
        <v>15</v>
      </c>
      <c r="M1560" s="50" t="s">
        <v>13</v>
      </c>
      <c r="N1560" s="50" t="s">
        <v>16</v>
      </c>
      <c r="O1560" s="48" t="s">
        <v>631</v>
      </c>
      <c r="P1560" s="45" t="s">
        <v>453</v>
      </c>
      <c r="Q1560" s="35" t="str">
        <f>MID(Tabla1[[#This Row],[Aplicación]],14,1)</f>
        <v>2</v>
      </c>
      <c r="R1560" s="35" t="s">
        <v>441</v>
      </c>
      <c r="S1560" s="35" t="str">
        <f>MID(Tabla1[[#This Row],[Aplicación]],6,2)</f>
        <v>03</v>
      </c>
      <c r="T1560" s="35" t="str">
        <f>VLOOKUP(Tabla1[[#This Row],[AREA]],Hoja1!A:B,2,FALSE)</f>
        <v>03. Participación ciudadana y deportes</v>
      </c>
      <c r="U1560" s="35" t="str">
        <f>MID(Tabla1[[#This Row],[Aplicación]],9,4)</f>
        <v>9241</v>
      </c>
      <c r="V1560" s="35" t="str">
        <f>VLOOKUP(Tabla1[[#This Row],[PROGRAMA]],Hoja1!A:B,2,FALSE)</f>
        <v>9241. Participación ciudadana</v>
      </c>
      <c r="W1560" s="35" t="str">
        <f>MID(Tabla1[[#This Row],[Aplicación]],14,2)</f>
        <v>21</v>
      </c>
      <c r="X1560" s="35" t="str">
        <f>MID(Tabla1[[#This Row],[Aplicación]],14,6)</f>
        <v>212</v>
      </c>
    </row>
    <row r="1561" spans="1:24" x14ac:dyDescent="0.25">
      <c r="A1561" s="49">
        <v>220220008722</v>
      </c>
      <c r="B1561" s="50" t="s">
        <v>172</v>
      </c>
      <c r="C1561" s="57">
        <v>44634</v>
      </c>
      <c r="D1561" s="49">
        <v>22022001643</v>
      </c>
      <c r="E1561" s="50" t="s">
        <v>2116</v>
      </c>
      <c r="F1561" s="58">
        <v>732.09</v>
      </c>
      <c r="G1561" s="50" t="s">
        <v>212</v>
      </c>
      <c r="H1561" s="50" t="s">
        <v>2961</v>
      </c>
      <c r="I1561" s="49" t="s">
        <v>173</v>
      </c>
      <c r="J1561" s="50" t="s">
        <v>109</v>
      </c>
      <c r="K1561" s="50" t="s">
        <v>109</v>
      </c>
      <c r="L1561" s="50" t="s">
        <v>15</v>
      </c>
      <c r="M1561" s="50" t="s">
        <v>13</v>
      </c>
      <c r="N1561" s="50" t="s">
        <v>14</v>
      </c>
      <c r="O1561" s="48" t="s">
        <v>631</v>
      </c>
      <c r="P1561" s="45" t="s">
        <v>453</v>
      </c>
      <c r="Q1561" s="35" t="str">
        <f>MID(Tabla1[[#This Row],[Aplicación]],14,1)</f>
        <v>2</v>
      </c>
      <c r="R1561" s="35" t="s">
        <v>441</v>
      </c>
      <c r="S1561" s="35" t="str">
        <f>MID(Tabla1[[#This Row],[Aplicación]],6,2)</f>
        <v>06</v>
      </c>
      <c r="T1561" s="35" t="str">
        <f>VLOOKUP(Tabla1[[#This Row],[AREA]],Hoja1!A:B,2,FALSE)</f>
        <v>06. Educación, infancia, juventud e igualdad</v>
      </c>
      <c r="U1561" s="35" t="str">
        <f>MID(Tabla1[[#This Row],[Aplicación]],9,4)</f>
        <v>3321</v>
      </c>
      <c r="V1561" s="35" t="str">
        <f>VLOOKUP(Tabla1[[#This Row],[PROGRAMA]],Hoja1!A:B,2,FALSE)</f>
        <v>3321. Bibliotecas públicas</v>
      </c>
      <c r="W1561" s="35" t="str">
        <f>MID(Tabla1[[#This Row],[Aplicación]],14,2)</f>
        <v>21</v>
      </c>
      <c r="X1561" s="35" t="str">
        <f>MID(Tabla1[[#This Row],[Aplicación]],14,6)</f>
        <v>212</v>
      </c>
    </row>
    <row r="1562" spans="1:24" x14ac:dyDescent="0.25">
      <c r="A1562" s="49">
        <v>220220008552</v>
      </c>
      <c r="B1562" s="50" t="s">
        <v>172</v>
      </c>
      <c r="C1562" s="57">
        <v>44631</v>
      </c>
      <c r="D1562" s="49">
        <v>22022001626</v>
      </c>
      <c r="E1562" s="50" t="s">
        <v>1635</v>
      </c>
      <c r="F1562" s="58">
        <v>241.07</v>
      </c>
      <c r="G1562" s="50" t="s">
        <v>212</v>
      </c>
      <c r="H1562" s="50" t="s">
        <v>2962</v>
      </c>
      <c r="I1562" s="49" t="s">
        <v>173</v>
      </c>
      <c r="J1562" s="50" t="s">
        <v>109</v>
      </c>
      <c r="K1562" s="50" t="s">
        <v>109</v>
      </c>
      <c r="L1562" s="50" t="s">
        <v>15</v>
      </c>
      <c r="M1562" s="50" t="s">
        <v>13</v>
      </c>
      <c r="N1562" s="50" t="s">
        <v>16</v>
      </c>
      <c r="O1562" s="48" t="s">
        <v>631</v>
      </c>
      <c r="P1562" s="45" t="s">
        <v>453</v>
      </c>
      <c r="Q1562" s="35" t="str">
        <f>MID(Tabla1[[#This Row],[Aplicación]],14,1)</f>
        <v>2</v>
      </c>
      <c r="R1562" s="35" t="s">
        <v>441</v>
      </c>
      <c r="S1562" s="35" t="str">
        <f>MID(Tabla1[[#This Row],[Aplicación]],6,2)</f>
        <v>03</v>
      </c>
      <c r="T1562" s="35" t="str">
        <f>VLOOKUP(Tabla1[[#This Row],[AREA]],Hoja1!A:B,2,FALSE)</f>
        <v>03. Participación ciudadana y deportes</v>
      </c>
      <c r="U1562" s="35" t="str">
        <f>MID(Tabla1[[#This Row],[Aplicación]],9,4)</f>
        <v>9241</v>
      </c>
      <c r="V1562" s="35" t="str">
        <f>VLOOKUP(Tabla1[[#This Row],[PROGRAMA]],Hoja1!A:B,2,FALSE)</f>
        <v>9241. Participación ciudadana</v>
      </c>
      <c r="W1562" s="35" t="str">
        <f>MID(Tabla1[[#This Row],[Aplicación]],14,2)</f>
        <v>21</v>
      </c>
      <c r="X1562" s="35" t="str">
        <f>MID(Tabla1[[#This Row],[Aplicación]],14,6)</f>
        <v>212</v>
      </c>
    </row>
    <row r="1563" spans="1:24" x14ac:dyDescent="0.25">
      <c r="A1563" s="49">
        <v>220220013098</v>
      </c>
      <c r="B1563" s="50" t="s">
        <v>172</v>
      </c>
      <c r="C1563" s="57">
        <v>44649</v>
      </c>
      <c r="D1563" s="49">
        <v>22022001178</v>
      </c>
      <c r="E1563" s="50" t="s">
        <v>1653</v>
      </c>
      <c r="F1563" s="58">
        <v>231.15</v>
      </c>
      <c r="G1563" s="50" t="s">
        <v>212</v>
      </c>
      <c r="H1563" s="50" t="s">
        <v>2963</v>
      </c>
      <c r="I1563" s="49" t="s">
        <v>173</v>
      </c>
      <c r="J1563" s="50" t="s">
        <v>109</v>
      </c>
      <c r="K1563" s="50" t="s">
        <v>109</v>
      </c>
      <c r="L1563" s="50" t="s">
        <v>15</v>
      </c>
      <c r="M1563" s="50" t="s">
        <v>13</v>
      </c>
      <c r="N1563" s="50" t="s">
        <v>14</v>
      </c>
      <c r="O1563" s="48" t="s">
        <v>631</v>
      </c>
      <c r="P1563" s="45" t="s">
        <v>453</v>
      </c>
      <c r="Q1563" s="35" t="str">
        <f>MID(Tabla1[[#This Row],[Aplicación]],14,1)</f>
        <v>2</v>
      </c>
      <c r="R1563" s="35" t="s">
        <v>441</v>
      </c>
      <c r="S1563" s="35" t="str">
        <f>MID(Tabla1[[#This Row],[Aplicación]],6,2)</f>
        <v>10</v>
      </c>
      <c r="T1563" s="35" t="str">
        <f>VLOOKUP(Tabla1[[#This Row],[AREA]],Hoja1!A:B,2,FALSE)</f>
        <v>10. Servicios sociales y mediación comunitaria</v>
      </c>
      <c r="U1563" s="35" t="str">
        <f>MID(Tabla1[[#This Row],[Aplicación]],9,4)</f>
        <v>2311</v>
      </c>
      <c r="V1563" s="35" t="str">
        <f>VLOOKUP(Tabla1[[#This Row],[PROGRAMA]],Hoja1!A:B,2,FALSE)</f>
        <v>2311. Intervención social</v>
      </c>
      <c r="W1563" s="35" t="str">
        <f>MID(Tabla1[[#This Row],[Aplicación]],14,2)</f>
        <v>21</v>
      </c>
      <c r="X1563" s="35" t="str">
        <f>MID(Tabla1[[#This Row],[Aplicación]],14,6)</f>
        <v>212</v>
      </c>
    </row>
    <row r="1564" spans="1:24" x14ac:dyDescent="0.25">
      <c r="A1564" s="49">
        <v>220220009544</v>
      </c>
      <c r="B1564" s="50" t="s">
        <v>172</v>
      </c>
      <c r="C1564" s="57">
        <v>44636</v>
      </c>
      <c r="D1564" s="49">
        <v>22022001449</v>
      </c>
      <c r="E1564" s="50" t="s">
        <v>1890</v>
      </c>
      <c r="F1564" s="58">
        <v>217.58</v>
      </c>
      <c r="G1564" s="50" t="s">
        <v>212</v>
      </c>
      <c r="H1564" s="50" t="s">
        <v>2964</v>
      </c>
      <c r="I1564" s="49" t="s">
        <v>173</v>
      </c>
      <c r="J1564" s="50" t="s">
        <v>109</v>
      </c>
      <c r="K1564" s="50" t="s">
        <v>109</v>
      </c>
      <c r="L1564" s="50" t="s">
        <v>15</v>
      </c>
      <c r="M1564" s="50" t="s">
        <v>13</v>
      </c>
      <c r="N1564" s="50" t="s">
        <v>14</v>
      </c>
      <c r="O1564" s="48" t="s">
        <v>631</v>
      </c>
      <c r="P1564" s="45" t="s">
        <v>453</v>
      </c>
      <c r="Q1564" s="35" t="str">
        <f>MID(Tabla1[[#This Row],[Aplicación]],14,1)</f>
        <v>2</v>
      </c>
      <c r="R1564" s="35" t="s">
        <v>441</v>
      </c>
      <c r="S1564" s="35" t="str">
        <f>MID(Tabla1[[#This Row],[Aplicación]],6,2)</f>
        <v>02</v>
      </c>
      <c r="T1564" s="35" t="str">
        <f>VLOOKUP(Tabla1[[#This Row],[AREA]],Hoja1!A:B,2,FALSE)</f>
        <v>02. Planeamiento urbanístico y vivienda</v>
      </c>
      <c r="U1564" s="35" t="str">
        <f>MID(Tabla1[[#This Row],[Aplicación]],9,4)</f>
        <v>9332</v>
      </c>
      <c r="V1564" s="35" t="str">
        <f>VLOOKUP(Tabla1[[#This Row],[PROGRAMA]],Hoja1!A:B,2,FALSE)</f>
        <v>9332. Mantenimiento de edificios e instalaciones municipales</v>
      </c>
      <c r="W1564" s="35" t="str">
        <f>MID(Tabla1[[#This Row],[Aplicación]],14,2)</f>
        <v>21</v>
      </c>
      <c r="X1564" s="35" t="str">
        <f>MID(Tabla1[[#This Row],[Aplicación]],14,6)</f>
        <v>212</v>
      </c>
    </row>
    <row r="1565" spans="1:24" x14ac:dyDescent="0.25">
      <c r="A1565" s="49">
        <v>220220003205</v>
      </c>
      <c r="B1565" s="50" t="s">
        <v>172</v>
      </c>
      <c r="C1565" s="57">
        <v>44601</v>
      </c>
      <c r="D1565" s="49">
        <v>22022001640</v>
      </c>
      <c r="E1565" s="50" t="s">
        <v>1719</v>
      </c>
      <c r="F1565" s="58">
        <v>108.4</v>
      </c>
      <c r="G1565" s="50" t="s">
        <v>212</v>
      </c>
      <c r="H1565" s="50" t="s">
        <v>2965</v>
      </c>
      <c r="I1565" s="49" t="s">
        <v>173</v>
      </c>
      <c r="J1565" s="50" t="s">
        <v>109</v>
      </c>
      <c r="K1565" s="50" t="s">
        <v>109</v>
      </c>
      <c r="L1565" s="50" t="s">
        <v>15</v>
      </c>
      <c r="M1565" s="50" t="s">
        <v>13</v>
      </c>
      <c r="N1565" s="50" t="s">
        <v>16</v>
      </c>
      <c r="O1565" s="48" t="s">
        <v>631</v>
      </c>
      <c r="P1565" s="45" t="s">
        <v>453</v>
      </c>
      <c r="Q1565" s="35" t="str">
        <f>MID(Tabla1[[#This Row],[Aplicación]],14,1)</f>
        <v>2</v>
      </c>
      <c r="R1565" s="35" t="s">
        <v>441</v>
      </c>
      <c r="S1565" s="35" t="str">
        <f>MID(Tabla1[[#This Row],[Aplicación]],6,2)</f>
        <v>06</v>
      </c>
      <c r="T1565" s="35" t="str">
        <f>VLOOKUP(Tabla1[[#This Row],[AREA]],Hoja1!A:B,2,FALSE)</f>
        <v>06. Educación, infancia, juventud e igualdad</v>
      </c>
      <c r="U1565" s="35" t="str">
        <f>MID(Tabla1[[#This Row],[Aplicación]],9,4)</f>
        <v>3231</v>
      </c>
      <c r="V1565" s="35" t="str">
        <f>VLOOKUP(Tabla1[[#This Row],[PROGRAMA]],Hoja1!A:B,2,FALSE)</f>
        <v>3231. Escuelas infantiles</v>
      </c>
      <c r="W1565" s="35" t="str">
        <f>MID(Tabla1[[#This Row],[Aplicación]],14,2)</f>
        <v>21</v>
      </c>
      <c r="X1565" s="35" t="str">
        <f>MID(Tabla1[[#This Row],[Aplicación]],14,6)</f>
        <v>212</v>
      </c>
    </row>
    <row r="1566" spans="1:24" x14ac:dyDescent="0.25">
      <c r="A1566" s="49">
        <v>220220009910</v>
      </c>
      <c r="B1566" s="50" t="s">
        <v>172</v>
      </c>
      <c r="C1566" s="57">
        <v>44638</v>
      </c>
      <c r="D1566" s="49">
        <v>22022001184</v>
      </c>
      <c r="E1566" s="50" t="s">
        <v>2020</v>
      </c>
      <c r="F1566" s="58">
        <v>90.48</v>
      </c>
      <c r="G1566" s="50" t="s">
        <v>212</v>
      </c>
      <c r="H1566" s="50" t="s">
        <v>2966</v>
      </c>
      <c r="I1566" s="49" t="s">
        <v>173</v>
      </c>
      <c r="J1566" s="50" t="s">
        <v>109</v>
      </c>
      <c r="K1566" s="50" t="s">
        <v>109</v>
      </c>
      <c r="L1566" s="50" t="s">
        <v>15</v>
      </c>
      <c r="M1566" s="50" t="s">
        <v>13</v>
      </c>
      <c r="N1566" s="50" t="s">
        <v>14</v>
      </c>
      <c r="O1566" s="48" t="s">
        <v>631</v>
      </c>
      <c r="P1566" s="45" t="s">
        <v>453</v>
      </c>
      <c r="Q1566" s="35" t="str">
        <f>MID(Tabla1[[#This Row],[Aplicación]],14,1)</f>
        <v>2</v>
      </c>
      <c r="R1566" s="35" t="s">
        <v>441</v>
      </c>
      <c r="S1566" s="35" t="str">
        <f>MID(Tabla1[[#This Row],[Aplicación]],6,2)</f>
        <v>10</v>
      </c>
      <c r="T1566" s="35" t="str">
        <f>VLOOKUP(Tabla1[[#This Row],[AREA]],Hoja1!A:B,2,FALSE)</f>
        <v>10. Servicios sociales y mediación comunitaria</v>
      </c>
      <c r="U1566" s="35" t="str">
        <f>MID(Tabla1[[#This Row],[Aplicación]],9,4)</f>
        <v>2312</v>
      </c>
      <c r="V1566" s="35" t="str">
        <f>VLOOKUP(Tabla1[[#This Row],[PROGRAMA]],Hoja1!A:B,2,FALSE)</f>
        <v>2312. Iniciativas sociales</v>
      </c>
      <c r="W1566" s="35" t="str">
        <f>MID(Tabla1[[#This Row],[Aplicación]],14,2)</f>
        <v>21</v>
      </c>
      <c r="X1566" s="35" t="str">
        <f>MID(Tabla1[[#This Row],[Aplicación]],14,6)</f>
        <v>212</v>
      </c>
    </row>
    <row r="1567" spans="1:24" x14ac:dyDescent="0.25">
      <c r="A1567" s="49">
        <v>220220008663</v>
      </c>
      <c r="B1567" s="50" t="s">
        <v>172</v>
      </c>
      <c r="C1567" s="57">
        <v>44634</v>
      </c>
      <c r="D1567" s="49">
        <v>22022001456</v>
      </c>
      <c r="E1567" s="50" t="s">
        <v>2012</v>
      </c>
      <c r="F1567" s="58">
        <v>24.14</v>
      </c>
      <c r="G1567" s="50" t="s">
        <v>212</v>
      </c>
      <c r="H1567" s="50" t="s">
        <v>2967</v>
      </c>
      <c r="I1567" s="49" t="s">
        <v>173</v>
      </c>
      <c r="J1567" s="50" t="s">
        <v>109</v>
      </c>
      <c r="K1567" s="50" t="s">
        <v>109</v>
      </c>
      <c r="L1567" s="50" t="s">
        <v>15</v>
      </c>
      <c r="M1567" s="50" t="s">
        <v>13</v>
      </c>
      <c r="N1567" s="50" t="s">
        <v>14</v>
      </c>
      <c r="O1567" s="48" t="s">
        <v>631</v>
      </c>
      <c r="P1567" s="45" t="s">
        <v>453</v>
      </c>
      <c r="Q1567" s="35" t="str">
        <f>MID(Tabla1[[#This Row],[Aplicación]],14,1)</f>
        <v>2</v>
      </c>
      <c r="R1567" s="35" t="s">
        <v>441</v>
      </c>
      <c r="S1567" s="35" t="str">
        <f>MID(Tabla1[[#This Row],[Aplicación]],6,2)</f>
        <v>11</v>
      </c>
      <c r="T1567" s="35" t="str">
        <f>VLOOKUP(Tabla1[[#This Row],[AREA]],Hoja1!A:B,2,FALSE)</f>
        <v>11. Salud pública y seguridad ciudadana</v>
      </c>
      <c r="U1567" s="35" t="str">
        <f>MID(Tabla1[[#This Row],[Aplicación]],9,4)</f>
        <v>1321</v>
      </c>
      <c r="V1567" s="35" t="str">
        <f>VLOOKUP(Tabla1[[#This Row],[PROGRAMA]],Hoja1!A:B,2,FALSE)</f>
        <v>1321. Policía municipal</v>
      </c>
      <c r="W1567" s="35" t="str">
        <f>MID(Tabla1[[#This Row],[Aplicación]],14,2)</f>
        <v>22</v>
      </c>
      <c r="X1567" s="35" t="str">
        <f>MID(Tabla1[[#This Row],[Aplicación]],14,6)</f>
        <v>22199</v>
      </c>
    </row>
    <row r="1568" spans="1:24" x14ac:dyDescent="0.25">
      <c r="A1568" s="49">
        <v>220220005759</v>
      </c>
      <c r="B1568" s="50" t="s">
        <v>172</v>
      </c>
      <c r="C1568" s="57">
        <v>44614</v>
      </c>
      <c r="D1568" s="49">
        <v>22022001626</v>
      </c>
      <c r="E1568" s="50" t="s">
        <v>1635</v>
      </c>
      <c r="F1568" s="58">
        <v>15.1</v>
      </c>
      <c r="G1568" s="50" t="s">
        <v>212</v>
      </c>
      <c r="H1568" s="50" t="s">
        <v>2968</v>
      </c>
      <c r="I1568" s="49" t="s">
        <v>173</v>
      </c>
      <c r="J1568" s="50" t="s">
        <v>109</v>
      </c>
      <c r="K1568" s="50" t="s">
        <v>109</v>
      </c>
      <c r="L1568" s="50" t="s">
        <v>15</v>
      </c>
      <c r="M1568" s="50" t="s">
        <v>13</v>
      </c>
      <c r="N1568" s="50" t="s">
        <v>16</v>
      </c>
      <c r="O1568" s="48" t="s">
        <v>631</v>
      </c>
      <c r="P1568" s="45" t="s">
        <v>453</v>
      </c>
      <c r="Q1568" s="35" t="str">
        <f>MID(Tabla1[[#This Row],[Aplicación]],14,1)</f>
        <v>2</v>
      </c>
      <c r="R1568" s="35" t="s">
        <v>441</v>
      </c>
      <c r="S1568" s="35" t="str">
        <f>MID(Tabla1[[#This Row],[Aplicación]],6,2)</f>
        <v>03</v>
      </c>
      <c r="T1568" s="35" t="str">
        <f>VLOOKUP(Tabla1[[#This Row],[AREA]],Hoja1!A:B,2,FALSE)</f>
        <v>03. Participación ciudadana y deportes</v>
      </c>
      <c r="U1568" s="35" t="str">
        <f>MID(Tabla1[[#This Row],[Aplicación]],9,4)</f>
        <v>9241</v>
      </c>
      <c r="V1568" s="35" t="str">
        <f>VLOOKUP(Tabla1[[#This Row],[PROGRAMA]],Hoja1!A:B,2,FALSE)</f>
        <v>9241. Participación ciudadana</v>
      </c>
      <c r="W1568" s="35" t="str">
        <f>MID(Tabla1[[#This Row],[Aplicación]],14,2)</f>
        <v>21</v>
      </c>
      <c r="X1568" s="35" t="str">
        <f>MID(Tabla1[[#This Row],[Aplicación]],14,6)</f>
        <v>212</v>
      </c>
    </row>
    <row r="1569" spans="1:24" x14ac:dyDescent="0.25">
      <c r="A1569" s="49">
        <v>220220009513</v>
      </c>
      <c r="B1569" s="50" t="s">
        <v>172</v>
      </c>
      <c r="C1569" s="57">
        <v>44636</v>
      </c>
      <c r="D1569" s="49">
        <v>22022001449</v>
      </c>
      <c r="E1569" s="50" t="s">
        <v>1890</v>
      </c>
      <c r="F1569" s="58">
        <v>10.55</v>
      </c>
      <c r="G1569" s="50" t="s">
        <v>212</v>
      </c>
      <c r="H1569" s="50" t="s">
        <v>2969</v>
      </c>
      <c r="I1569" s="49" t="s">
        <v>173</v>
      </c>
      <c r="J1569" s="50" t="s">
        <v>109</v>
      </c>
      <c r="K1569" s="50" t="s">
        <v>109</v>
      </c>
      <c r="L1569" s="50" t="s">
        <v>15</v>
      </c>
      <c r="M1569" s="50" t="s">
        <v>13</v>
      </c>
      <c r="N1569" s="50" t="s">
        <v>14</v>
      </c>
      <c r="O1569" s="48" t="s">
        <v>631</v>
      </c>
      <c r="P1569" s="45" t="s">
        <v>453</v>
      </c>
      <c r="Q1569" s="35" t="str">
        <f>MID(Tabla1[[#This Row],[Aplicación]],14,1)</f>
        <v>2</v>
      </c>
      <c r="R1569" s="35" t="s">
        <v>441</v>
      </c>
      <c r="S1569" s="35" t="str">
        <f>MID(Tabla1[[#This Row],[Aplicación]],6,2)</f>
        <v>02</v>
      </c>
      <c r="T1569" s="35" t="str">
        <f>VLOOKUP(Tabla1[[#This Row],[AREA]],Hoja1!A:B,2,FALSE)</f>
        <v>02. Planeamiento urbanístico y vivienda</v>
      </c>
      <c r="U1569" s="35" t="str">
        <f>MID(Tabla1[[#This Row],[Aplicación]],9,4)</f>
        <v>9332</v>
      </c>
      <c r="V1569" s="35" t="str">
        <f>VLOOKUP(Tabla1[[#This Row],[PROGRAMA]],Hoja1!A:B,2,FALSE)</f>
        <v>9332. Mantenimiento de edificios e instalaciones municipales</v>
      </c>
      <c r="W1569" s="35" t="str">
        <f>MID(Tabla1[[#This Row],[Aplicación]],14,2)</f>
        <v>21</v>
      </c>
      <c r="X1569" s="35" t="str">
        <f>MID(Tabla1[[#This Row],[Aplicación]],14,6)</f>
        <v>212</v>
      </c>
    </row>
    <row r="1570" spans="1:24" x14ac:dyDescent="0.25">
      <c r="A1570" s="49">
        <v>220220005532</v>
      </c>
      <c r="B1570" s="50" t="s">
        <v>172</v>
      </c>
      <c r="C1570" s="57">
        <v>44614</v>
      </c>
      <c r="D1570" s="49">
        <v>22022001178</v>
      </c>
      <c r="E1570" s="50" t="s">
        <v>1653</v>
      </c>
      <c r="F1570" s="58">
        <v>9.1199999999999992</v>
      </c>
      <c r="G1570" s="50" t="s">
        <v>212</v>
      </c>
      <c r="H1570" s="50" t="s">
        <v>2970</v>
      </c>
      <c r="I1570" s="49" t="s">
        <v>173</v>
      </c>
      <c r="J1570" s="50" t="s">
        <v>109</v>
      </c>
      <c r="K1570" s="50" t="s">
        <v>109</v>
      </c>
      <c r="L1570" s="50" t="s">
        <v>15</v>
      </c>
      <c r="M1570" s="50" t="s">
        <v>13</v>
      </c>
      <c r="N1570" s="50" t="s">
        <v>14</v>
      </c>
      <c r="O1570" s="48" t="s">
        <v>631</v>
      </c>
      <c r="P1570" s="45" t="s">
        <v>453</v>
      </c>
      <c r="Q1570" s="35" t="str">
        <f>MID(Tabla1[[#This Row],[Aplicación]],14,1)</f>
        <v>2</v>
      </c>
      <c r="R1570" s="35" t="s">
        <v>441</v>
      </c>
      <c r="S1570" s="35" t="str">
        <f>MID(Tabla1[[#This Row],[Aplicación]],6,2)</f>
        <v>10</v>
      </c>
      <c r="T1570" s="35" t="str">
        <f>VLOOKUP(Tabla1[[#This Row],[AREA]],Hoja1!A:B,2,FALSE)</f>
        <v>10. Servicios sociales y mediación comunitaria</v>
      </c>
      <c r="U1570" s="35" t="str">
        <f>MID(Tabla1[[#This Row],[Aplicación]],9,4)</f>
        <v>2311</v>
      </c>
      <c r="V1570" s="35" t="str">
        <f>VLOOKUP(Tabla1[[#This Row],[PROGRAMA]],Hoja1!A:B,2,FALSE)</f>
        <v>2311. Intervención social</v>
      </c>
      <c r="W1570" s="35" t="str">
        <f>MID(Tabla1[[#This Row],[Aplicación]],14,2)</f>
        <v>21</v>
      </c>
      <c r="X1570" s="35" t="str">
        <f>MID(Tabla1[[#This Row],[Aplicación]],14,6)</f>
        <v>212</v>
      </c>
    </row>
    <row r="1571" spans="1:24" x14ac:dyDescent="0.25">
      <c r="A1571" s="49">
        <v>220220000340</v>
      </c>
      <c r="B1571" s="50" t="s">
        <v>9</v>
      </c>
      <c r="C1571" s="57">
        <v>44585</v>
      </c>
      <c r="D1571" s="49">
        <v>22022001236</v>
      </c>
      <c r="E1571" s="50" t="s">
        <v>2210</v>
      </c>
      <c r="F1571" s="58">
        <v>3746.16</v>
      </c>
      <c r="G1571" s="50" t="s">
        <v>873</v>
      </c>
      <c r="H1571" s="50" t="s">
        <v>2971</v>
      </c>
      <c r="I1571" s="49" t="s">
        <v>107</v>
      </c>
      <c r="J1571" s="50" t="s">
        <v>109</v>
      </c>
      <c r="K1571" s="50" t="s">
        <v>109</v>
      </c>
      <c r="L1571" s="50" t="s">
        <v>12</v>
      </c>
      <c r="M1571" s="50" t="s">
        <v>10</v>
      </c>
      <c r="N1571" s="50" t="s">
        <v>11</v>
      </c>
      <c r="O1571" s="48" t="s">
        <v>632</v>
      </c>
      <c r="P1571" s="45" t="s">
        <v>453</v>
      </c>
      <c r="Q1571" s="35" t="str">
        <f>MID(Tabla1[[#This Row],[Aplicación]],14,1)</f>
        <v>2</v>
      </c>
      <c r="R1571" s="35" t="s">
        <v>441</v>
      </c>
      <c r="S1571" s="35" t="str">
        <f>MID(Tabla1[[#This Row],[Aplicación]],6,2)</f>
        <v>06</v>
      </c>
      <c r="T1571" s="35" t="str">
        <f>VLOOKUP(Tabla1[[#This Row],[AREA]],Hoja1!A:B,2,FALSE)</f>
        <v>06. Educación, infancia, juventud e igualdad</v>
      </c>
      <c r="U1571" s="35" t="str">
        <f>MID(Tabla1[[#This Row],[Aplicación]],9,4)</f>
        <v>2314</v>
      </c>
      <c r="V1571" s="35" t="str">
        <f>VLOOKUP(Tabla1[[#This Row],[PROGRAMA]],Hoja1!A:B,2,FALSE)</f>
        <v>2314. Centro de programas juveniles</v>
      </c>
      <c r="W1571" s="35" t="str">
        <f>MID(Tabla1[[#This Row],[Aplicación]],14,2)</f>
        <v>22</v>
      </c>
      <c r="X1571" s="35" t="str">
        <f>MID(Tabla1[[#This Row],[Aplicación]],14,6)</f>
        <v>22602</v>
      </c>
    </row>
    <row r="1572" spans="1:24" x14ac:dyDescent="0.25">
      <c r="A1572" s="49">
        <v>220219001123</v>
      </c>
      <c r="B1572" s="50" t="s">
        <v>9</v>
      </c>
      <c r="C1572" s="57">
        <v>44562</v>
      </c>
      <c r="D1572" s="49">
        <v>22022000286</v>
      </c>
      <c r="E1572" s="50" t="s">
        <v>1714</v>
      </c>
      <c r="F1572" s="58">
        <v>817.75</v>
      </c>
      <c r="G1572" s="50" t="s">
        <v>2947</v>
      </c>
      <c r="H1572" s="50" t="s">
        <v>2972</v>
      </c>
      <c r="I1572" s="49" t="s">
        <v>107</v>
      </c>
      <c r="J1572" s="50" t="s">
        <v>2949</v>
      </c>
      <c r="K1572" s="50" t="s">
        <v>2950</v>
      </c>
      <c r="L1572" s="50" t="s">
        <v>12</v>
      </c>
      <c r="M1572" s="50" t="s">
        <v>13</v>
      </c>
      <c r="N1572" s="50" t="s">
        <v>14</v>
      </c>
      <c r="O1572" s="48" t="s">
        <v>620</v>
      </c>
      <c r="P1572" s="45" t="s">
        <v>453</v>
      </c>
      <c r="Q1572" s="35" t="str">
        <f>MID(Tabla1[[#This Row],[Aplicación]],14,1)</f>
        <v>2</v>
      </c>
      <c r="R1572" s="35" t="s">
        <v>441</v>
      </c>
      <c r="S1572" s="35" t="str">
        <f>MID(Tabla1[[#This Row],[Aplicación]],6,2)</f>
        <v>06</v>
      </c>
      <c r="T1572" s="35" t="str">
        <f>VLOOKUP(Tabla1[[#This Row],[AREA]],Hoja1!A:B,2,FALSE)</f>
        <v>06. Educación, infancia, juventud e igualdad</v>
      </c>
      <c r="U1572" s="35" t="str">
        <f>MID(Tabla1[[#This Row],[Aplicación]],9,4)</f>
        <v>3231</v>
      </c>
      <c r="V1572" s="35" t="str">
        <f>VLOOKUP(Tabla1[[#This Row],[PROGRAMA]],Hoja1!A:B,2,FALSE)</f>
        <v>3231. Escuelas infantiles</v>
      </c>
      <c r="W1572" s="35" t="str">
        <f>MID(Tabla1[[#This Row],[Aplicación]],14,2)</f>
        <v>21</v>
      </c>
      <c r="X1572" s="35" t="str">
        <f>MID(Tabla1[[#This Row],[Aplicación]],14,6)</f>
        <v>213</v>
      </c>
    </row>
    <row r="1573" spans="1:24" x14ac:dyDescent="0.25">
      <c r="A1573" s="49">
        <v>220220003180</v>
      </c>
      <c r="B1573" s="50" t="s">
        <v>26</v>
      </c>
      <c r="C1573" s="57">
        <v>44601</v>
      </c>
      <c r="D1573" s="49">
        <v>22022001893</v>
      </c>
      <c r="E1573" s="50" t="s">
        <v>2759</v>
      </c>
      <c r="F1573" s="58">
        <v>3607.97</v>
      </c>
      <c r="G1573" s="50" t="s">
        <v>149</v>
      </c>
      <c r="H1573" s="50" t="s">
        <v>2973</v>
      </c>
      <c r="I1573" s="49" t="s">
        <v>197</v>
      </c>
      <c r="J1573" s="50" t="s">
        <v>527</v>
      </c>
      <c r="K1573" s="50" t="s">
        <v>150</v>
      </c>
      <c r="L1573" s="50" t="s">
        <v>12</v>
      </c>
      <c r="M1573" s="50" t="s">
        <v>13</v>
      </c>
      <c r="N1573" s="50" t="s">
        <v>14</v>
      </c>
      <c r="O1573" s="48" t="s">
        <v>620</v>
      </c>
      <c r="P1573" s="45" t="s">
        <v>453</v>
      </c>
      <c r="Q1573" s="35" t="str">
        <f>MID(Tabla1[[#This Row],[Aplicación]],14,1)</f>
        <v>2</v>
      </c>
      <c r="R1573" s="35" t="s">
        <v>441</v>
      </c>
      <c r="S1573" s="35" t="str">
        <f>MID(Tabla1[[#This Row],[Aplicación]],6,2)</f>
        <v>05</v>
      </c>
      <c r="T1573" s="35" t="str">
        <f>VLOOKUP(Tabla1[[#This Row],[AREA]],Hoja1!A:B,2,FALSE)</f>
        <v>05. Innovación, desarrollo económico, empleo y comercio</v>
      </c>
      <c r="U1573" s="35" t="str">
        <f>MID(Tabla1[[#This Row],[Aplicación]],9,4)</f>
        <v>4331</v>
      </c>
      <c r="V1573" s="35" t="str">
        <f>VLOOKUP(Tabla1[[#This Row],[PROGRAMA]],Hoja1!A:B,2,FALSE)</f>
        <v>4331. Desarrollo empresarial</v>
      </c>
      <c r="W1573" s="35" t="str">
        <f>MID(Tabla1[[#This Row],[Aplicación]],14,2)</f>
        <v>22</v>
      </c>
      <c r="X1573" s="35" t="str">
        <f>MID(Tabla1[[#This Row],[Aplicación]],14,6)</f>
        <v>22700</v>
      </c>
    </row>
    <row r="1574" spans="1:24" x14ac:dyDescent="0.25">
      <c r="A1574" s="49">
        <v>220210072140</v>
      </c>
      <c r="B1574" s="50" t="s">
        <v>9</v>
      </c>
      <c r="C1574" s="57">
        <v>44620</v>
      </c>
      <c r="D1574" s="49">
        <v>22021007321</v>
      </c>
      <c r="E1574" s="50" t="s">
        <v>1410</v>
      </c>
      <c r="F1574" s="58">
        <v>4463.75</v>
      </c>
      <c r="G1574" s="50" t="s">
        <v>980</v>
      </c>
      <c r="H1574" s="50" t="s">
        <v>1251</v>
      </c>
      <c r="I1574" s="49" t="s">
        <v>107</v>
      </c>
      <c r="J1574" s="50" t="s">
        <v>109</v>
      </c>
      <c r="K1574" s="50" t="s">
        <v>109</v>
      </c>
      <c r="L1574" s="50" t="s">
        <v>25</v>
      </c>
      <c r="M1574" s="50" t="s">
        <v>10</v>
      </c>
      <c r="N1574" s="50" t="s">
        <v>11</v>
      </c>
      <c r="O1574" s="48" t="s">
        <v>632</v>
      </c>
      <c r="P1574" s="45" t="s">
        <v>453</v>
      </c>
      <c r="Q1574" s="35" t="str">
        <f>MID(Tabla1[[#This Row],[Aplicación]],14,1)</f>
        <v>6</v>
      </c>
      <c r="R1574" s="35" t="s">
        <v>442</v>
      </c>
      <c r="S1574" s="35" t="str">
        <f>MID(Tabla1[[#This Row],[Aplicación]],6,2)</f>
        <v>03</v>
      </c>
      <c r="T1574" s="35" t="str">
        <f>VLOOKUP(Tabla1[[#This Row],[AREA]],Hoja1!A:B,2,FALSE)</f>
        <v>03. Participación ciudadana y deportes</v>
      </c>
      <c r="U1574" s="35" t="str">
        <f>MID(Tabla1[[#This Row],[Aplicación]],9,4)</f>
        <v>9241</v>
      </c>
      <c r="V1574" s="35" t="str">
        <f>VLOOKUP(Tabla1[[#This Row],[PROGRAMA]],Hoja1!A:B,2,FALSE)</f>
        <v>9241. Participación ciudadana</v>
      </c>
      <c r="W1574" s="35" t="str">
        <f>MID(Tabla1[[#This Row],[Aplicación]],14,2)</f>
        <v>63</v>
      </c>
      <c r="X1574" s="35" t="str">
        <f>MID(Tabla1[[#This Row],[Aplicación]],14,6)</f>
        <v>632</v>
      </c>
    </row>
    <row r="1575" spans="1:24" x14ac:dyDescent="0.25">
      <c r="A1575" s="49">
        <v>220220002200</v>
      </c>
      <c r="B1575" s="50" t="s">
        <v>9</v>
      </c>
      <c r="C1575" s="57">
        <v>44592</v>
      </c>
      <c r="D1575" s="49">
        <v>22022001632</v>
      </c>
      <c r="E1575" s="50" t="s">
        <v>2685</v>
      </c>
      <c r="F1575" s="58">
        <v>3600</v>
      </c>
      <c r="G1575" s="50" t="s">
        <v>1027</v>
      </c>
      <c r="H1575" s="50" t="s">
        <v>2974</v>
      </c>
      <c r="I1575" s="49" t="s">
        <v>107</v>
      </c>
      <c r="J1575" s="50" t="s">
        <v>596</v>
      </c>
      <c r="K1575" s="50" t="s">
        <v>109</v>
      </c>
      <c r="L1575" s="50" t="s">
        <v>12</v>
      </c>
      <c r="M1575" s="50" t="s">
        <v>10</v>
      </c>
      <c r="N1575" s="50" t="s">
        <v>11</v>
      </c>
      <c r="O1575" s="48" t="s">
        <v>632</v>
      </c>
      <c r="P1575" s="45" t="s">
        <v>453</v>
      </c>
      <c r="Q1575" s="35" t="str">
        <f>MID(Tabla1[[#This Row],[Aplicación]],14,1)</f>
        <v>2</v>
      </c>
      <c r="R1575" s="35" t="s">
        <v>441</v>
      </c>
      <c r="S1575" s="35" t="str">
        <f>MID(Tabla1[[#This Row],[Aplicación]],6,2)</f>
        <v>06</v>
      </c>
      <c r="T1575" s="35" t="str">
        <f>VLOOKUP(Tabla1[[#This Row],[AREA]],Hoja1!A:B,2,FALSE)</f>
        <v>06. Educación, infancia, juventud e igualdad</v>
      </c>
      <c r="U1575" s="35" t="str">
        <f>MID(Tabla1[[#This Row],[Aplicación]],9,4)</f>
        <v>2315</v>
      </c>
      <c r="V1575" s="35" t="str">
        <f>VLOOKUP(Tabla1[[#This Row],[PROGRAMA]],Hoja1!A:B,2,FALSE)</f>
        <v>2315. Políticas de Igualdad e infancia</v>
      </c>
      <c r="W1575" s="35" t="str">
        <f>MID(Tabla1[[#This Row],[Aplicación]],14,2)</f>
        <v>22</v>
      </c>
      <c r="X1575" s="35" t="str">
        <f>MID(Tabla1[[#This Row],[Aplicación]],14,6)</f>
        <v>22614</v>
      </c>
    </row>
    <row r="1576" spans="1:24" x14ac:dyDescent="0.25">
      <c r="A1576" s="49">
        <v>220219000788</v>
      </c>
      <c r="B1576" s="50" t="s">
        <v>9</v>
      </c>
      <c r="C1576" s="57">
        <v>44562</v>
      </c>
      <c r="D1576" s="49">
        <v>22022000601</v>
      </c>
      <c r="E1576" s="50" t="s">
        <v>1885</v>
      </c>
      <c r="F1576" s="58">
        <v>3599.75</v>
      </c>
      <c r="G1576" s="50" t="s">
        <v>459</v>
      </c>
      <c r="H1576" s="50" t="s">
        <v>2975</v>
      </c>
      <c r="I1576" s="49" t="s">
        <v>107</v>
      </c>
      <c r="J1576" s="50" t="s">
        <v>109</v>
      </c>
      <c r="K1576" s="50" t="s">
        <v>109</v>
      </c>
      <c r="L1576" s="50" t="s">
        <v>12</v>
      </c>
      <c r="M1576" s="50" t="s">
        <v>10</v>
      </c>
      <c r="N1576" s="50" t="s">
        <v>11</v>
      </c>
      <c r="O1576" s="48" t="s">
        <v>632</v>
      </c>
      <c r="P1576" s="45" t="s">
        <v>453</v>
      </c>
      <c r="Q1576" s="35" t="str">
        <f>MID(Tabla1[[#This Row],[Aplicación]],14,1)</f>
        <v>2</v>
      </c>
      <c r="R1576" s="35" t="s">
        <v>441</v>
      </c>
      <c r="S1576" s="35" t="str">
        <f>MID(Tabla1[[#This Row],[Aplicación]],6,2)</f>
        <v>09</v>
      </c>
      <c r="T1576" s="35" t="str">
        <f>VLOOKUP(Tabla1[[#This Row],[AREA]],Hoja1!A:B,2,FALSE)</f>
        <v>09. Cultura y turismo</v>
      </c>
      <c r="U1576" s="35" t="str">
        <f>MID(Tabla1[[#This Row],[Aplicación]],9,4)</f>
        <v>3301</v>
      </c>
      <c r="V1576" s="35" t="str">
        <f>VLOOKUP(Tabla1[[#This Row],[PROGRAMA]],Hoja1!A:B,2,FALSE)</f>
        <v>3301. Dirección del área de cultura</v>
      </c>
      <c r="W1576" s="35" t="str">
        <f>MID(Tabla1[[#This Row],[Aplicación]],14,2)</f>
        <v>22</v>
      </c>
      <c r="X1576" s="35" t="str">
        <f>MID(Tabla1[[#This Row],[Aplicación]],14,6)</f>
        <v>22706</v>
      </c>
    </row>
    <row r="1577" spans="1:24" x14ac:dyDescent="0.25">
      <c r="A1577" s="49">
        <v>220219001132</v>
      </c>
      <c r="B1577" s="50" t="s">
        <v>9</v>
      </c>
      <c r="C1577" s="57">
        <v>44562</v>
      </c>
      <c r="D1577" s="49">
        <v>22022000295</v>
      </c>
      <c r="E1577" s="50" t="s">
        <v>1488</v>
      </c>
      <c r="F1577" s="58">
        <v>3564.77</v>
      </c>
      <c r="G1577" s="50" t="s">
        <v>2947</v>
      </c>
      <c r="H1577" s="50" t="s">
        <v>2976</v>
      </c>
      <c r="I1577" s="49" t="s">
        <v>107</v>
      </c>
      <c r="J1577" s="50" t="s">
        <v>2949</v>
      </c>
      <c r="K1577" s="50" t="s">
        <v>2950</v>
      </c>
      <c r="L1577" s="55" t="s">
        <v>12</v>
      </c>
      <c r="M1577" s="55" t="s">
        <v>13</v>
      </c>
      <c r="N1577" s="55" t="s">
        <v>14</v>
      </c>
      <c r="O1577" s="48" t="s">
        <v>620</v>
      </c>
      <c r="P1577" s="45" t="s">
        <v>453</v>
      </c>
      <c r="Q1577" s="35" t="str">
        <f>MID(Tabla1[[#This Row],[Aplicación]],14,1)</f>
        <v>2</v>
      </c>
      <c r="R1577" s="35" t="s">
        <v>441</v>
      </c>
      <c r="S1577" s="35" t="str">
        <f>MID(Tabla1[[#This Row],[Aplicación]],6,2)</f>
        <v>10</v>
      </c>
      <c r="T1577" s="35" t="str">
        <f>VLOOKUP(Tabla1[[#This Row],[AREA]],Hoja1!A:B,2,FALSE)</f>
        <v>10. Servicios sociales y mediación comunitaria</v>
      </c>
      <c r="U1577" s="35" t="str">
        <f>MID(Tabla1[[#This Row],[Aplicación]],9,4)</f>
        <v>2312</v>
      </c>
      <c r="V1577" s="35" t="str">
        <f>VLOOKUP(Tabla1[[#This Row],[PROGRAMA]],Hoja1!A:B,2,FALSE)</f>
        <v>2312. Iniciativas sociales</v>
      </c>
      <c r="W1577" s="35" t="str">
        <f>MID(Tabla1[[#This Row],[Aplicación]],14,2)</f>
        <v>21</v>
      </c>
      <c r="X1577" s="35" t="str">
        <f>MID(Tabla1[[#This Row],[Aplicación]],14,6)</f>
        <v>213</v>
      </c>
    </row>
    <row r="1578" spans="1:24" x14ac:dyDescent="0.25">
      <c r="A1578" s="49">
        <v>220220000343</v>
      </c>
      <c r="B1578" s="50" t="s">
        <v>9</v>
      </c>
      <c r="C1578" s="57">
        <v>44585</v>
      </c>
      <c r="D1578" s="49">
        <v>22022001245</v>
      </c>
      <c r="E1578" s="50" t="s">
        <v>2738</v>
      </c>
      <c r="F1578" s="58">
        <v>3407.19</v>
      </c>
      <c r="G1578" s="50" t="s">
        <v>46</v>
      </c>
      <c r="H1578" s="50" t="s">
        <v>2884</v>
      </c>
      <c r="I1578" s="49" t="s">
        <v>107</v>
      </c>
      <c r="J1578" s="50" t="s">
        <v>109</v>
      </c>
      <c r="K1578" s="50" t="s">
        <v>109</v>
      </c>
      <c r="L1578" s="50" t="s">
        <v>12</v>
      </c>
      <c r="M1578" s="50" t="s">
        <v>13</v>
      </c>
      <c r="N1578" s="50" t="s">
        <v>14</v>
      </c>
      <c r="O1578" s="48" t="s">
        <v>620</v>
      </c>
      <c r="P1578" s="45" t="s">
        <v>453</v>
      </c>
      <c r="Q1578" s="35" t="str">
        <f>MID(Tabla1[[#This Row],[Aplicación]],14,1)</f>
        <v>2</v>
      </c>
      <c r="R1578" s="35" t="s">
        <v>441</v>
      </c>
      <c r="S1578" s="35" t="str">
        <f>MID(Tabla1[[#This Row],[Aplicación]],6,2)</f>
        <v>10</v>
      </c>
      <c r="T1578" s="35" t="str">
        <f>VLOOKUP(Tabla1[[#This Row],[AREA]],Hoja1!A:B,2,FALSE)</f>
        <v>10. Servicios sociales y mediación comunitaria</v>
      </c>
      <c r="U1578" s="35" t="str">
        <f>MID(Tabla1[[#This Row],[Aplicación]],9,4)</f>
        <v>2412</v>
      </c>
      <c r="V1578" s="35" t="str">
        <f>VLOOKUP(Tabla1[[#This Row],[PROGRAMA]],Hoja1!A:B,2,FALSE)</f>
        <v>2412. Formación para el empleo</v>
      </c>
      <c r="W1578" s="35" t="str">
        <f>MID(Tabla1[[#This Row],[Aplicación]],14,2)</f>
        <v>22</v>
      </c>
      <c r="X1578" s="35" t="str">
        <f>MID(Tabla1[[#This Row],[Aplicación]],14,6)</f>
        <v>22799</v>
      </c>
    </row>
    <row r="1579" spans="1:24" x14ac:dyDescent="0.25">
      <c r="A1579" s="49">
        <v>220219000782</v>
      </c>
      <c r="B1579" s="50" t="s">
        <v>9</v>
      </c>
      <c r="C1579" s="57">
        <v>44562</v>
      </c>
      <c r="D1579" s="49">
        <v>22022000599</v>
      </c>
      <c r="E1579" s="50" t="s">
        <v>2851</v>
      </c>
      <c r="F1579" s="58">
        <v>5390.4</v>
      </c>
      <c r="G1579" s="50" t="s">
        <v>1184</v>
      </c>
      <c r="H1579" s="50" t="s">
        <v>1185</v>
      </c>
      <c r="I1579" s="49" t="s">
        <v>107</v>
      </c>
      <c r="J1579" s="50" t="s">
        <v>1186</v>
      </c>
      <c r="K1579" s="50" t="s">
        <v>796</v>
      </c>
      <c r="L1579" s="50" t="s">
        <v>12</v>
      </c>
      <c r="M1579" s="50" t="s">
        <v>10</v>
      </c>
      <c r="N1579" s="50" t="s">
        <v>11</v>
      </c>
      <c r="O1579" s="48" t="s">
        <v>632</v>
      </c>
      <c r="P1579" s="45" t="s">
        <v>453</v>
      </c>
      <c r="Q1579" s="35" t="str">
        <f>MID(Tabla1[[#This Row],[Aplicación]],14,1)</f>
        <v>2</v>
      </c>
      <c r="R1579" s="35" t="s">
        <v>441</v>
      </c>
      <c r="S1579" s="35" t="str">
        <f>MID(Tabla1[[#This Row],[Aplicación]],6,2)</f>
        <v>05</v>
      </c>
      <c r="T1579" s="35" t="str">
        <f>VLOOKUP(Tabla1[[#This Row],[AREA]],Hoja1!A:B,2,FALSE)</f>
        <v>05. Innovación, desarrollo económico, empleo y comercio</v>
      </c>
      <c r="U1579" s="35" t="str">
        <f>MID(Tabla1[[#This Row],[Aplicación]],9,4)</f>
        <v>4314</v>
      </c>
      <c r="V1579" s="35" t="str">
        <f>VLOOKUP(Tabla1[[#This Row],[PROGRAMA]],Hoja1!A:B,2,FALSE)</f>
        <v>4314. Fomento del comercio</v>
      </c>
      <c r="W1579" s="35" t="str">
        <f>MID(Tabla1[[#This Row],[Aplicación]],14,2)</f>
        <v>22</v>
      </c>
      <c r="X1579" s="35" t="str">
        <f>MID(Tabla1[[#This Row],[Aplicación]],14,6)</f>
        <v>22799</v>
      </c>
    </row>
    <row r="1580" spans="1:24" x14ac:dyDescent="0.25">
      <c r="A1580" s="49">
        <v>220220006695</v>
      </c>
      <c r="B1580" s="50" t="s">
        <v>9</v>
      </c>
      <c r="C1580" s="57">
        <v>44617</v>
      </c>
      <c r="D1580" s="49">
        <v>22022002412</v>
      </c>
      <c r="E1580" s="50" t="s">
        <v>1606</v>
      </c>
      <c r="F1580" s="58">
        <v>3194.4</v>
      </c>
      <c r="G1580" s="50" t="s">
        <v>2977</v>
      </c>
      <c r="H1580" s="50" t="s">
        <v>2978</v>
      </c>
      <c r="I1580" s="49" t="s">
        <v>107</v>
      </c>
      <c r="J1580" s="50" t="s">
        <v>1324</v>
      </c>
      <c r="K1580" s="50" t="s">
        <v>109</v>
      </c>
      <c r="L1580" s="50" t="s">
        <v>12</v>
      </c>
      <c r="M1580" s="50" t="s">
        <v>10</v>
      </c>
      <c r="N1580" s="50" t="s">
        <v>11</v>
      </c>
      <c r="O1580" s="48" t="s">
        <v>632</v>
      </c>
      <c r="P1580" s="45" t="s">
        <v>453</v>
      </c>
      <c r="Q1580" s="35" t="str">
        <f>MID(Tabla1[[#This Row],[Aplicación]],14,1)</f>
        <v>2</v>
      </c>
      <c r="R1580" s="35" t="s">
        <v>441</v>
      </c>
      <c r="S1580" s="35" t="str">
        <f>MID(Tabla1[[#This Row],[Aplicación]],6,2)</f>
        <v>11</v>
      </c>
      <c r="T1580" s="35" t="str">
        <f>VLOOKUP(Tabla1[[#This Row],[AREA]],Hoja1!A:B,2,FALSE)</f>
        <v>11. Salud pública y seguridad ciudadana</v>
      </c>
      <c r="U1580" s="35" t="str">
        <f>MID(Tabla1[[#This Row],[Aplicación]],9,4)</f>
        <v>1361</v>
      </c>
      <c r="V1580" s="35" t="str">
        <f>VLOOKUP(Tabla1[[#This Row],[PROGRAMA]],Hoja1!A:B,2,FALSE)</f>
        <v>1361. Prevención y extinción de incencios</v>
      </c>
      <c r="W1580" s="35" t="str">
        <f>MID(Tabla1[[#This Row],[Aplicación]],14,2)</f>
        <v>22</v>
      </c>
      <c r="X1580" s="35" t="str">
        <f>MID(Tabla1[[#This Row],[Aplicación]],14,6)</f>
        <v>22199</v>
      </c>
    </row>
    <row r="1581" spans="1:24" x14ac:dyDescent="0.25">
      <c r="A1581" s="49">
        <v>220220010686</v>
      </c>
      <c r="B1581" s="50" t="s">
        <v>9</v>
      </c>
      <c r="C1581" s="57">
        <v>44642</v>
      </c>
      <c r="D1581" s="49">
        <v>22022002967</v>
      </c>
      <c r="E1581" s="50" t="s">
        <v>1864</v>
      </c>
      <c r="F1581" s="58">
        <v>4114</v>
      </c>
      <c r="G1581" s="50" t="s">
        <v>2979</v>
      </c>
      <c r="H1581" s="50" t="s">
        <v>2980</v>
      </c>
      <c r="I1581" s="49" t="s">
        <v>107</v>
      </c>
      <c r="J1581" s="50" t="s">
        <v>2981</v>
      </c>
      <c r="K1581" s="50" t="s">
        <v>2982</v>
      </c>
      <c r="L1581" s="50" t="s">
        <v>15</v>
      </c>
      <c r="M1581" s="50" t="s">
        <v>10</v>
      </c>
      <c r="N1581" s="50" t="s">
        <v>11</v>
      </c>
      <c r="O1581" s="48" t="s">
        <v>632</v>
      </c>
      <c r="P1581" s="45" t="s">
        <v>453</v>
      </c>
      <c r="Q1581" s="35" t="str">
        <f>MID(Tabla1[[#This Row],[Aplicación]],14,1)</f>
        <v>2</v>
      </c>
      <c r="R1581" s="35" t="s">
        <v>441</v>
      </c>
      <c r="S1581" s="35" t="str">
        <f>MID(Tabla1[[#This Row],[Aplicación]],6,2)</f>
        <v>04</v>
      </c>
      <c r="T1581" s="35" t="str">
        <f>VLOOKUP(Tabla1[[#This Row],[AREA]],Hoja1!A:B,2,FALSE)</f>
        <v>04. Planificación y recursos</v>
      </c>
      <c r="U1581" s="35" t="str">
        <f>MID(Tabla1[[#This Row],[Aplicación]],9,4)</f>
        <v>9202</v>
      </c>
      <c r="V1581" s="35" t="str">
        <f>VLOOKUP(Tabla1[[#This Row],[PROGRAMA]],Hoja1!A:B,2,FALSE)</f>
        <v>9202. Gestión de recursos humanos</v>
      </c>
      <c r="W1581" s="35" t="str">
        <f>MID(Tabla1[[#This Row],[Aplicación]],14,2)</f>
        <v>22</v>
      </c>
      <c r="X1581" s="35" t="str">
        <f>MID(Tabla1[[#This Row],[Aplicación]],14,6)</f>
        <v>22607</v>
      </c>
    </row>
    <row r="1582" spans="1:24" x14ac:dyDescent="0.25">
      <c r="A1582" s="49">
        <v>220220002291</v>
      </c>
      <c r="B1582" s="50" t="s">
        <v>9</v>
      </c>
      <c r="C1582" s="57">
        <v>44593</v>
      </c>
      <c r="D1582" s="49">
        <v>22022001796</v>
      </c>
      <c r="E1582" s="50" t="s">
        <v>1975</v>
      </c>
      <c r="F1582" s="58">
        <v>4114</v>
      </c>
      <c r="G1582" s="50" t="s">
        <v>1267</v>
      </c>
      <c r="H1582" s="50" t="s">
        <v>2983</v>
      </c>
      <c r="I1582" s="49" t="s">
        <v>107</v>
      </c>
      <c r="J1582" s="50" t="s">
        <v>518</v>
      </c>
      <c r="K1582" s="50" t="s">
        <v>109</v>
      </c>
      <c r="L1582" s="50" t="s">
        <v>15</v>
      </c>
      <c r="M1582" s="50" t="s">
        <v>10</v>
      </c>
      <c r="N1582" s="50" t="s">
        <v>11</v>
      </c>
      <c r="O1582" s="48" t="s">
        <v>632</v>
      </c>
      <c r="P1582" s="45" t="s">
        <v>453</v>
      </c>
      <c r="Q1582" s="35" t="str">
        <f>MID(Tabla1[[#This Row],[Aplicación]],14,1)</f>
        <v>2</v>
      </c>
      <c r="R1582" s="35" t="s">
        <v>441</v>
      </c>
      <c r="S1582" s="35" t="str">
        <f>MID(Tabla1[[#This Row],[Aplicación]],6,2)</f>
        <v>08</v>
      </c>
      <c r="T1582" s="35" t="str">
        <f>VLOOKUP(Tabla1[[#This Row],[AREA]],Hoja1!A:B,2,FALSE)</f>
        <v>08. Movilidad y espacio urbano</v>
      </c>
      <c r="U1582" s="35" t="str">
        <f>MID(Tabla1[[#This Row],[Aplicación]],9,4)</f>
        <v>1532</v>
      </c>
      <c r="V1582" s="35" t="str">
        <f>VLOOKUP(Tabla1[[#This Row],[PROGRAMA]],Hoja1!A:B,2,FALSE)</f>
        <v>1532. Pavimentación vias públicas y otros servicios urbanísticos</v>
      </c>
      <c r="W1582" s="35" t="str">
        <f>MID(Tabla1[[#This Row],[Aplicación]],14,2)</f>
        <v>21</v>
      </c>
      <c r="X1582" s="35" t="str">
        <f>MID(Tabla1[[#This Row],[Aplicación]],14,6)</f>
        <v>210</v>
      </c>
    </row>
    <row r="1583" spans="1:24" x14ac:dyDescent="0.25">
      <c r="A1583" s="49">
        <v>220219001126</v>
      </c>
      <c r="B1583" s="50" t="s">
        <v>9</v>
      </c>
      <c r="C1583" s="57">
        <v>44562</v>
      </c>
      <c r="D1583" s="49">
        <v>22022000289</v>
      </c>
      <c r="E1583" s="50" t="s">
        <v>1911</v>
      </c>
      <c r="F1583" s="58">
        <v>94.39</v>
      </c>
      <c r="G1583" s="50" t="s">
        <v>2947</v>
      </c>
      <c r="H1583" s="50" t="s">
        <v>2984</v>
      </c>
      <c r="I1583" s="49" t="s">
        <v>107</v>
      </c>
      <c r="J1583" s="50" t="s">
        <v>2949</v>
      </c>
      <c r="K1583" s="50" t="s">
        <v>2950</v>
      </c>
      <c r="L1583" s="50" t="s">
        <v>12</v>
      </c>
      <c r="M1583" s="50" t="s">
        <v>13</v>
      </c>
      <c r="N1583" s="50" t="s">
        <v>14</v>
      </c>
      <c r="O1583" s="48" t="s">
        <v>620</v>
      </c>
      <c r="P1583" s="45" t="s">
        <v>453</v>
      </c>
      <c r="Q1583" s="35" t="str">
        <f>MID(Tabla1[[#This Row],[Aplicación]],14,1)</f>
        <v>2</v>
      </c>
      <c r="R1583" s="35" t="s">
        <v>441</v>
      </c>
      <c r="S1583" s="35" t="str">
        <f>MID(Tabla1[[#This Row],[Aplicación]],6,2)</f>
        <v>06</v>
      </c>
      <c r="T1583" s="35" t="str">
        <f>VLOOKUP(Tabla1[[#This Row],[AREA]],Hoja1!A:B,2,FALSE)</f>
        <v>06. Educación, infancia, juventud e igualdad</v>
      </c>
      <c r="U1583" s="35" t="str">
        <f>MID(Tabla1[[#This Row],[Aplicación]],9,4)</f>
        <v>2314</v>
      </c>
      <c r="V1583" s="35" t="str">
        <f>VLOOKUP(Tabla1[[#This Row],[PROGRAMA]],Hoja1!A:B,2,FALSE)</f>
        <v>2314. Centro de programas juveniles</v>
      </c>
      <c r="W1583" s="35" t="str">
        <f>MID(Tabla1[[#This Row],[Aplicación]],14,2)</f>
        <v>21</v>
      </c>
      <c r="X1583" s="35" t="str">
        <f>MID(Tabla1[[#This Row],[Aplicación]],14,6)</f>
        <v>213</v>
      </c>
    </row>
    <row r="1584" spans="1:24" x14ac:dyDescent="0.25">
      <c r="A1584" s="49">
        <v>220219001128</v>
      </c>
      <c r="B1584" s="50" t="s">
        <v>9</v>
      </c>
      <c r="C1584" s="57">
        <v>44562</v>
      </c>
      <c r="D1584" s="49">
        <v>22022000291</v>
      </c>
      <c r="E1584" s="50" t="s">
        <v>1910</v>
      </c>
      <c r="F1584" s="58">
        <v>38.869999999999997</v>
      </c>
      <c r="G1584" s="50" t="s">
        <v>2947</v>
      </c>
      <c r="H1584" s="50" t="s">
        <v>2985</v>
      </c>
      <c r="I1584" s="49" t="s">
        <v>107</v>
      </c>
      <c r="J1584" s="50" t="s">
        <v>2949</v>
      </c>
      <c r="K1584" s="50" t="s">
        <v>2950</v>
      </c>
      <c r="L1584" s="50" t="s">
        <v>12</v>
      </c>
      <c r="M1584" s="50" t="s">
        <v>13</v>
      </c>
      <c r="N1584" s="50" t="s">
        <v>14</v>
      </c>
      <c r="O1584" s="48" t="s">
        <v>620</v>
      </c>
      <c r="P1584" s="45" t="s">
        <v>453</v>
      </c>
      <c r="Q1584" s="35" t="str">
        <f>MID(Tabla1[[#This Row],[Aplicación]],14,1)</f>
        <v>2</v>
      </c>
      <c r="R1584" s="35" t="s">
        <v>441</v>
      </c>
      <c r="S1584" s="35" t="str">
        <f>MID(Tabla1[[#This Row],[Aplicación]],6,2)</f>
        <v>06</v>
      </c>
      <c r="T1584" s="35" t="str">
        <f>VLOOKUP(Tabla1[[#This Row],[AREA]],Hoja1!A:B,2,FALSE)</f>
        <v>06. Educación, infancia, juventud e igualdad</v>
      </c>
      <c r="U1584" s="35" t="str">
        <f>MID(Tabla1[[#This Row],[Aplicación]],9,4)</f>
        <v>3261</v>
      </c>
      <c r="V1584" s="35" t="str">
        <f>VLOOKUP(Tabla1[[#This Row],[PROGRAMA]],Hoja1!A:B,2,FALSE)</f>
        <v>3261. Servicios complementarios de educación</v>
      </c>
      <c r="W1584" s="35" t="str">
        <f>MID(Tabla1[[#This Row],[Aplicación]],14,2)</f>
        <v>21</v>
      </c>
      <c r="X1584" s="35" t="str">
        <f>MID(Tabla1[[#This Row],[Aplicación]],14,6)</f>
        <v>213</v>
      </c>
    </row>
    <row r="1585" spans="1:24" x14ac:dyDescent="0.25">
      <c r="A1585" s="49">
        <v>220220000079</v>
      </c>
      <c r="B1585" s="50" t="s">
        <v>9</v>
      </c>
      <c r="C1585" s="57">
        <v>44580</v>
      </c>
      <c r="D1585" s="49">
        <v>22022001155</v>
      </c>
      <c r="E1585" s="50" t="s">
        <v>1644</v>
      </c>
      <c r="F1585" s="58">
        <v>4000</v>
      </c>
      <c r="G1585" s="50" t="s">
        <v>94</v>
      </c>
      <c r="H1585" s="50" t="s">
        <v>2986</v>
      </c>
      <c r="I1585" s="49" t="s">
        <v>107</v>
      </c>
      <c r="J1585" s="50" t="s">
        <v>599</v>
      </c>
      <c r="K1585" s="50" t="s">
        <v>108</v>
      </c>
      <c r="L1585" s="50" t="s">
        <v>15</v>
      </c>
      <c r="M1585" s="50" t="s">
        <v>10</v>
      </c>
      <c r="N1585" s="50" t="s">
        <v>11</v>
      </c>
      <c r="O1585" s="48" t="s">
        <v>632</v>
      </c>
      <c r="P1585" s="45" t="s">
        <v>453</v>
      </c>
      <c r="Q1585" s="35" t="str">
        <f>MID(Tabla1[[#This Row],[Aplicación]],14,1)</f>
        <v>2</v>
      </c>
      <c r="R1585" s="35" t="s">
        <v>441</v>
      </c>
      <c r="S1585" s="35" t="str">
        <f>MID(Tabla1[[#This Row],[Aplicación]],6,2)</f>
        <v>11</v>
      </c>
      <c r="T1585" s="35" t="str">
        <f>VLOOKUP(Tabla1[[#This Row],[AREA]],Hoja1!A:B,2,FALSE)</f>
        <v>11. Salud pública y seguridad ciudadana</v>
      </c>
      <c r="U1585" s="35" t="str">
        <f>MID(Tabla1[[#This Row],[Aplicación]],9,4)</f>
        <v>1621</v>
      </c>
      <c r="V1585" s="35" t="str">
        <f>VLOOKUP(Tabla1[[#This Row],[PROGRAMA]],Hoja1!A:B,2,FALSE)</f>
        <v>1621. Servicio de limpieza</v>
      </c>
      <c r="W1585" s="35" t="str">
        <f>MID(Tabla1[[#This Row],[Aplicación]],14,2)</f>
        <v>21</v>
      </c>
      <c r="X1585" s="35" t="str">
        <f>MID(Tabla1[[#This Row],[Aplicación]],14,6)</f>
        <v>214</v>
      </c>
    </row>
    <row r="1586" spans="1:24" x14ac:dyDescent="0.25">
      <c r="A1586" s="49">
        <v>220220001797</v>
      </c>
      <c r="B1586" s="50" t="s">
        <v>9</v>
      </c>
      <c r="C1586" s="57">
        <v>44589</v>
      </c>
      <c r="D1586" s="49">
        <v>22022001683</v>
      </c>
      <c r="E1586" s="50" t="s">
        <v>2987</v>
      </c>
      <c r="F1586" s="58">
        <v>3000</v>
      </c>
      <c r="G1586" s="50" t="s">
        <v>461</v>
      </c>
      <c r="H1586" s="50" t="s">
        <v>2988</v>
      </c>
      <c r="I1586" s="49" t="s">
        <v>107</v>
      </c>
      <c r="J1586" s="50" t="s">
        <v>109</v>
      </c>
      <c r="K1586" s="50" t="s">
        <v>109</v>
      </c>
      <c r="L1586" s="50" t="s">
        <v>15</v>
      </c>
      <c r="M1586" s="50" t="s">
        <v>10</v>
      </c>
      <c r="N1586" s="50" t="s">
        <v>11</v>
      </c>
      <c r="O1586" s="48" t="s">
        <v>632</v>
      </c>
      <c r="P1586" s="45" t="s">
        <v>453</v>
      </c>
      <c r="Q1586" s="35" t="str">
        <f>MID(Tabla1[[#This Row],[Aplicación]],14,1)</f>
        <v>2</v>
      </c>
      <c r="R1586" s="35" t="s">
        <v>441</v>
      </c>
      <c r="S1586" s="35" t="str">
        <f>MID(Tabla1[[#This Row],[Aplicación]],6,2)</f>
        <v>07</v>
      </c>
      <c r="T1586" s="35" t="str">
        <f>VLOOKUP(Tabla1[[#This Row],[AREA]],Hoja1!A:B,2,FALSE)</f>
        <v>07. Medio ambiente y desarrollo sostenible</v>
      </c>
      <c r="U1586" s="35" t="str">
        <f>MID(Tabla1[[#This Row],[Aplicación]],9,4)</f>
        <v>1711</v>
      </c>
      <c r="V1586" s="35" t="str">
        <f>VLOOKUP(Tabla1[[#This Row],[PROGRAMA]],Hoja1!A:B,2,FALSE)</f>
        <v>1711. Parques y jardines</v>
      </c>
      <c r="W1586" s="35" t="str">
        <f>MID(Tabla1[[#This Row],[Aplicación]],14,2)</f>
        <v>22</v>
      </c>
      <c r="X1586" s="35" t="str">
        <f>MID(Tabla1[[#This Row],[Aplicación]],14,6)</f>
        <v>22113</v>
      </c>
    </row>
    <row r="1587" spans="1:24" x14ac:dyDescent="0.25">
      <c r="A1587" s="49">
        <v>220209000236</v>
      </c>
      <c r="B1587" s="50" t="s">
        <v>9</v>
      </c>
      <c r="C1587" s="57">
        <v>44562</v>
      </c>
      <c r="D1587" s="49">
        <v>22022002092</v>
      </c>
      <c r="E1587" s="50" t="s">
        <v>1390</v>
      </c>
      <c r="F1587" s="58">
        <v>2997.79</v>
      </c>
      <c r="G1587" s="50" t="s">
        <v>102</v>
      </c>
      <c r="H1587" s="50" t="s">
        <v>746</v>
      </c>
      <c r="I1587" s="49" t="s">
        <v>107</v>
      </c>
      <c r="J1587" s="50" t="s">
        <v>108</v>
      </c>
      <c r="K1587" s="50" t="s">
        <v>108</v>
      </c>
      <c r="L1587" s="50" t="s">
        <v>12</v>
      </c>
      <c r="M1587" s="50" t="s">
        <v>13</v>
      </c>
      <c r="N1587" s="50" t="s">
        <v>14</v>
      </c>
      <c r="O1587" s="48" t="s">
        <v>620</v>
      </c>
      <c r="P1587" s="45" t="s">
        <v>453</v>
      </c>
      <c r="Q1587" s="35" t="str">
        <f>MID(Tabla1[[#This Row],[Aplicación]],14,1)</f>
        <v>6</v>
      </c>
      <c r="R1587" s="35" t="s">
        <v>442</v>
      </c>
      <c r="S1587" s="35" t="str">
        <f>MID(Tabla1[[#This Row],[Aplicación]],6,2)</f>
        <v>10</v>
      </c>
      <c r="T1587" s="35" t="str">
        <f>VLOOKUP(Tabla1[[#This Row],[AREA]],Hoja1!A:B,2,FALSE)</f>
        <v>10. Servicios sociales y mediación comunitaria</v>
      </c>
      <c r="U1587" s="35" t="str">
        <f>MID(Tabla1[[#This Row],[Aplicación]],9,4)</f>
        <v>2312</v>
      </c>
      <c r="V1587" s="35" t="str">
        <f>VLOOKUP(Tabla1[[#This Row],[PROGRAMA]],Hoja1!A:B,2,FALSE)</f>
        <v>2312. Iniciativas sociales</v>
      </c>
      <c r="W1587" s="35" t="str">
        <f>MID(Tabla1[[#This Row],[Aplicación]],14,2)</f>
        <v>62</v>
      </c>
      <c r="X1587" s="35" t="str">
        <f>MID(Tabla1[[#This Row],[Aplicación]],14,6)</f>
        <v>622</v>
      </c>
    </row>
    <row r="1588" spans="1:24" x14ac:dyDescent="0.25">
      <c r="A1588" s="49">
        <v>220220005196</v>
      </c>
      <c r="B1588" s="50" t="s">
        <v>9</v>
      </c>
      <c r="C1588" s="57">
        <v>44614</v>
      </c>
      <c r="D1588" s="49">
        <v>22022002062</v>
      </c>
      <c r="E1588" s="50" t="s">
        <v>1659</v>
      </c>
      <c r="F1588" s="58">
        <v>2904</v>
      </c>
      <c r="G1588" s="50" t="s">
        <v>962</v>
      </c>
      <c r="H1588" s="50" t="s">
        <v>2989</v>
      </c>
      <c r="I1588" s="49" t="s">
        <v>107</v>
      </c>
      <c r="J1588" s="50" t="s">
        <v>711</v>
      </c>
      <c r="K1588" s="50" t="s">
        <v>109</v>
      </c>
      <c r="L1588" s="50" t="s">
        <v>15</v>
      </c>
      <c r="M1588" s="50" t="s">
        <v>10</v>
      </c>
      <c r="N1588" s="50" t="s">
        <v>11</v>
      </c>
      <c r="O1588" s="48" t="s">
        <v>632</v>
      </c>
      <c r="P1588" s="45" t="s">
        <v>453</v>
      </c>
      <c r="Q1588" s="35" t="str">
        <f>MID(Tabla1[[#This Row],[Aplicación]],14,1)</f>
        <v>2</v>
      </c>
      <c r="R1588" s="35" t="s">
        <v>441</v>
      </c>
      <c r="S1588" s="35" t="str">
        <f>MID(Tabla1[[#This Row],[Aplicación]],6,2)</f>
        <v>05</v>
      </c>
      <c r="T1588" s="35" t="str">
        <f>VLOOKUP(Tabla1[[#This Row],[AREA]],Hoja1!A:B,2,FALSE)</f>
        <v>05. Innovación, desarrollo económico, empleo y comercio</v>
      </c>
      <c r="U1588" s="35" t="str">
        <f>MID(Tabla1[[#This Row],[Aplicación]],9,4)</f>
        <v>4331</v>
      </c>
      <c r="V1588" s="35" t="str">
        <f>VLOOKUP(Tabla1[[#This Row],[PROGRAMA]],Hoja1!A:B,2,FALSE)</f>
        <v>4331. Desarrollo empresarial</v>
      </c>
      <c r="W1588" s="35" t="str">
        <f>MID(Tabla1[[#This Row],[Aplicación]],14,2)</f>
        <v>22</v>
      </c>
      <c r="X1588" s="35" t="str">
        <f>MID(Tabla1[[#This Row],[Aplicación]],14,6)</f>
        <v>22799</v>
      </c>
    </row>
    <row r="1589" spans="1:24" x14ac:dyDescent="0.25">
      <c r="A1589" s="49">
        <v>220220000069</v>
      </c>
      <c r="B1589" s="50" t="s">
        <v>9</v>
      </c>
      <c r="C1589" s="57">
        <v>44580</v>
      </c>
      <c r="D1589" s="49">
        <v>22022000890</v>
      </c>
      <c r="E1589" s="50" t="s">
        <v>1644</v>
      </c>
      <c r="F1589" s="58">
        <v>4000</v>
      </c>
      <c r="G1589" s="50" t="s">
        <v>88</v>
      </c>
      <c r="H1589" s="50" t="s">
        <v>2990</v>
      </c>
      <c r="I1589" s="49" t="s">
        <v>107</v>
      </c>
      <c r="J1589" s="50" t="s">
        <v>520</v>
      </c>
      <c r="K1589" s="50" t="s">
        <v>109</v>
      </c>
      <c r="L1589" s="50" t="s">
        <v>15</v>
      </c>
      <c r="M1589" s="50" t="s">
        <v>10</v>
      </c>
      <c r="N1589" s="50" t="s">
        <v>11</v>
      </c>
      <c r="O1589" s="48" t="s">
        <v>632</v>
      </c>
      <c r="P1589" s="45" t="s">
        <v>453</v>
      </c>
      <c r="Q1589" s="35" t="str">
        <f>MID(Tabla1[[#This Row],[Aplicación]],14,1)</f>
        <v>2</v>
      </c>
      <c r="R1589" s="35" t="s">
        <v>441</v>
      </c>
      <c r="S1589" s="35" t="str">
        <f>MID(Tabla1[[#This Row],[Aplicación]],6,2)</f>
        <v>11</v>
      </c>
      <c r="T1589" s="35" t="str">
        <f>VLOOKUP(Tabla1[[#This Row],[AREA]],Hoja1!A:B,2,FALSE)</f>
        <v>11. Salud pública y seguridad ciudadana</v>
      </c>
      <c r="U1589" s="35" t="str">
        <f>MID(Tabla1[[#This Row],[Aplicación]],9,4)</f>
        <v>1621</v>
      </c>
      <c r="V1589" s="35" t="str">
        <f>VLOOKUP(Tabla1[[#This Row],[PROGRAMA]],Hoja1!A:B,2,FALSE)</f>
        <v>1621. Servicio de limpieza</v>
      </c>
      <c r="W1589" s="35" t="str">
        <f>MID(Tabla1[[#This Row],[Aplicación]],14,2)</f>
        <v>21</v>
      </c>
      <c r="X1589" s="35" t="str">
        <f>MID(Tabla1[[#This Row],[Aplicación]],14,6)</f>
        <v>214</v>
      </c>
    </row>
    <row r="1590" spans="1:24" x14ac:dyDescent="0.25">
      <c r="A1590" s="49">
        <v>220220002544</v>
      </c>
      <c r="B1590" s="50" t="s">
        <v>9</v>
      </c>
      <c r="C1590" s="57">
        <v>44596</v>
      </c>
      <c r="D1590" s="49">
        <v>22022001890</v>
      </c>
      <c r="E1590" s="50" t="s">
        <v>1841</v>
      </c>
      <c r="F1590" s="58">
        <v>2880</v>
      </c>
      <c r="G1590" s="50" t="s">
        <v>503</v>
      </c>
      <c r="H1590" s="50" t="s">
        <v>2991</v>
      </c>
      <c r="I1590" s="49" t="s">
        <v>107</v>
      </c>
      <c r="J1590" s="50" t="s">
        <v>575</v>
      </c>
      <c r="K1590" s="50" t="s">
        <v>141</v>
      </c>
      <c r="L1590" s="50" t="s">
        <v>12</v>
      </c>
      <c r="M1590" s="50" t="s">
        <v>10</v>
      </c>
      <c r="N1590" s="50" t="s">
        <v>11</v>
      </c>
      <c r="O1590" s="48" t="s">
        <v>632</v>
      </c>
      <c r="P1590" s="45" t="s">
        <v>453</v>
      </c>
      <c r="Q1590" s="35" t="str">
        <f>MID(Tabla1[[#This Row],[Aplicación]],14,1)</f>
        <v>2</v>
      </c>
      <c r="R1590" s="35" t="s">
        <v>441</v>
      </c>
      <c r="S1590" s="35" t="str">
        <f>MID(Tabla1[[#This Row],[Aplicación]],6,2)</f>
        <v>03</v>
      </c>
      <c r="T1590" s="35" t="str">
        <f>VLOOKUP(Tabla1[[#This Row],[AREA]],Hoja1!A:B,2,FALSE)</f>
        <v>03. Participación ciudadana y deportes</v>
      </c>
      <c r="U1590" s="35" t="str">
        <f>MID(Tabla1[[#This Row],[Aplicación]],9,4)</f>
        <v>9241</v>
      </c>
      <c r="V1590" s="35" t="str">
        <f>VLOOKUP(Tabla1[[#This Row],[PROGRAMA]],Hoja1!A:B,2,FALSE)</f>
        <v>9241. Participación ciudadana</v>
      </c>
      <c r="W1590" s="35" t="str">
        <f>MID(Tabla1[[#This Row],[Aplicación]],14,2)</f>
        <v>22</v>
      </c>
      <c r="X1590" s="35" t="str">
        <f>MID(Tabla1[[#This Row],[Aplicación]],14,6)</f>
        <v>22602</v>
      </c>
    </row>
    <row r="1591" spans="1:24" x14ac:dyDescent="0.25">
      <c r="A1591" s="49">
        <v>220220007392</v>
      </c>
      <c r="B1591" s="50" t="s">
        <v>9</v>
      </c>
      <c r="C1591" s="57">
        <v>44624</v>
      </c>
      <c r="D1591" s="49">
        <v>22022002538</v>
      </c>
      <c r="E1591" s="50" t="s">
        <v>1439</v>
      </c>
      <c r="F1591" s="58">
        <v>3993</v>
      </c>
      <c r="G1591" s="50" t="s">
        <v>56</v>
      </c>
      <c r="H1591" s="50" t="s">
        <v>2992</v>
      </c>
      <c r="I1591" s="49" t="s">
        <v>107</v>
      </c>
      <c r="J1591" s="50" t="s">
        <v>109</v>
      </c>
      <c r="K1591" s="50" t="s">
        <v>109</v>
      </c>
      <c r="L1591" s="50" t="s">
        <v>17</v>
      </c>
      <c r="M1591" s="50" t="s">
        <v>10</v>
      </c>
      <c r="N1591" s="50" t="s">
        <v>11</v>
      </c>
      <c r="O1591" s="48" t="s">
        <v>632</v>
      </c>
      <c r="P1591" s="45" t="s">
        <v>453</v>
      </c>
      <c r="Q1591" s="35" t="str">
        <f>MID(Tabla1[[#This Row],[Aplicación]],14,1)</f>
        <v>2</v>
      </c>
      <c r="R1591" s="35" t="s">
        <v>441</v>
      </c>
      <c r="S1591" s="35" t="str">
        <f>MID(Tabla1[[#This Row],[Aplicación]],6,2)</f>
        <v>03</v>
      </c>
      <c r="T1591" s="35" t="str">
        <f>VLOOKUP(Tabla1[[#This Row],[AREA]],Hoja1!A:B,2,FALSE)</f>
        <v>03. Participación ciudadana y deportes</v>
      </c>
      <c r="U1591" s="35" t="str">
        <f>MID(Tabla1[[#This Row],[Aplicación]],9,4)</f>
        <v>9241</v>
      </c>
      <c r="V1591" s="35" t="str">
        <f>VLOOKUP(Tabla1[[#This Row],[PROGRAMA]],Hoja1!A:B,2,FALSE)</f>
        <v>9241. Participación ciudadana</v>
      </c>
      <c r="W1591" s="35" t="str">
        <f>MID(Tabla1[[#This Row],[Aplicación]],14,2)</f>
        <v>20</v>
      </c>
      <c r="X1591" s="35" t="str">
        <f>MID(Tabla1[[#This Row],[Aplicación]],14,6)</f>
        <v>203</v>
      </c>
    </row>
    <row r="1592" spans="1:24" x14ac:dyDescent="0.25">
      <c r="A1592" s="49">
        <v>220220012897</v>
      </c>
      <c r="B1592" s="50" t="s">
        <v>9</v>
      </c>
      <c r="C1592" s="57">
        <v>44648</v>
      </c>
      <c r="D1592" s="49">
        <v>22022002988</v>
      </c>
      <c r="E1592" s="50" t="s">
        <v>2993</v>
      </c>
      <c r="F1592" s="58">
        <v>2810.83</v>
      </c>
      <c r="G1592" s="50" t="s">
        <v>1004</v>
      </c>
      <c r="H1592" s="50" t="s">
        <v>2994</v>
      </c>
      <c r="I1592" s="49" t="s">
        <v>107</v>
      </c>
      <c r="J1592" s="50" t="s">
        <v>109</v>
      </c>
      <c r="K1592" s="50" t="s">
        <v>109</v>
      </c>
      <c r="L1592" s="50" t="s">
        <v>12</v>
      </c>
      <c r="M1592" s="50" t="s">
        <v>10</v>
      </c>
      <c r="N1592" s="50" t="s">
        <v>11</v>
      </c>
      <c r="O1592" s="48" t="s">
        <v>632</v>
      </c>
      <c r="P1592" s="45" t="s">
        <v>453</v>
      </c>
      <c r="Q1592" s="35" t="str">
        <f>MID(Tabla1[[#This Row],[Aplicación]],14,1)</f>
        <v>2</v>
      </c>
      <c r="R1592" s="35" t="s">
        <v>441</v>
      </c>
      <c r="S1592" s="35" t="str">
        <f>MID(Tabla1[[#This Row],[Aplicación]],6,2)</f>
        <v>10</v>
      </c>
      <c r="T1592" s="35" t="str">
        <f>VLOOKUP(Tabla1[[#This Row],[AREA]],Hoja1!A:B,2,FALSE)</f>
        <v>10. Servicios sociales y mediación comunitaria</v>
      </c>
      <c r="U1592" s="35" t="str">
        <f>MID(Tabla1[[#This Row],[Aplicación]],9,4)</f>
        <v>2316</v>
      </c>
      <c r="V1592" s="35" t="str">
        <f>VLOOKUP(Tabla1[[#This Row],[PROGRAMA]],Hoja1!A:B,2,FALSE)</f>
        <v>2316. Mediación comunitaria</v>
      </c>
      <c r="W1592" s="35" t="str">
        <f>MID(Tabla1[[#This Row],[Aplicación]],14,2)</f>
        <v>22</v>
      </c>
      <c r="X1592" s="35" t="str">
        <f>MID(Tabla1[[#This Row],[Aplicación]],14,6)</f>
        <v>22699</v>
      </c>
    </row>
    <row r="1593" spans="1:24" x14ac:dyDescent="0.25">
      <c r="A1593" s="49">
        <v>220219000545</v>
      </c>
      <c r="B1593" s="50" t="s">
        <v>9</v>
      </c>
      <c r="C1593" s="57">
        <v>44562</v>
      </c>
      <c r="D1593" s="49">
        <v>22022002192</v>
      </c>
      <c r="E1593" s="50" t="s">
        <v>1652</v>
      </c>
      <c r="F1593" s="58">
        <v>3947.13</v>
      </c>
      <c r="G1593" s="50" t="s">
        <v>1130</v>
      </c>
      <c r="H1593" s="50" t="s">
        <v>2995</v>
      </c>
      <c r="I1593" s="49" t="s">
        <v>107</v>
      </c>
      <c r="J1593" s="50" t="s">
        <v>109</v>
      </c>
      <c r="K1593" s="50" t="s">
        <v>109</v>
      </c>
      <c r="L1593" s="50" t="s">
        <v>12</v>
      </c>
      <c r="M1593" s="50" t="s">
        <v>10</v>
      </c>
      <c r="N1593" s="50" t="s">
        <v>11</v>
      </c>
      <c r="O1593" s="48" t="s">
        <v>632</v>
      </c>
      <c r="P1593" s="45" t="s">
        <v>453</v>
      </c>
      <c r="Q1593" s="35" t="str">
        <f>MID(Tabla1[[#This Row],[Aplicación]],14,1)</f>
        <v>6</v>
      </c>
      <c r="R1593" s="35" t="s">
        <v>442</v>
      </c>
      <c r="S1593" s="35" t="str">
        <f>MID(Tabla1[[#This Row],[Aplicación]],6,2)</f>
        <v>09</v>
      </c>
      <c r="T1593" s="35" t="str">
        <f>VLOOKUP(Tabla1[[#This Row],[AREA]],Hoja1!A:B,2,FALSE)</f>
        <v>09. Cultura y turismo</v>
      </c>
      <c r="U1593" s="35" t="str">
        <f>MID(Tabla1[[#This Row],[Aplicación]],9,4)</f>
        <v>3341</v>
      </c>
      <c r="V1593" s="35" t="str">
        <f>VLOOKUP(Tabla1[[#This Row],[PROGRAMA]],Hoja1!A:B,2,FALSE)</f>
        <v>3341. Coordinación de políticas culturales</v>
      </c>
      <c r="W1593" s="35" t="str">
        <f>MID(Tabla1[[#This Row],[Aplicación]],14,2)</f>
        <v>63</v>
      </c>
      <c r="X1593" s="35" t="str">
        <f>MID(Tabla1[[#This Row],[Aplicación]],14,6)</f>
        <v>632</v>
      </c>
    </row>
    <row r="1594" spans="1:24" x14ac:dyDescent="0.25">
      <c r="A1594" s="49">
        <v>220219001149</v>
      </c>
      <c r="B1594" s="50" t="s">
        <v>9</v>
      </c>
      <c r="C1594" s="57">
        <v>44562</v>
      </c>
      <c r="D1594" s="49">
        <v>22022000527</v>
      </c>
      <c r="E1594" s="50" t="s">
        <v>2688</v>
      </c>
      <c r="F1594" s="58">
        <v>8772.5</v>
      </c>
      <c r="G1594" s="50" t="s">
        <v>1309</v>
      </c>
      <c r="H1594" s="50" t="s">
        <v>1310</v>
      </c>
      <c r="I1594" s="49" t="s">
        <v>107</v>
      </c>
      <c r="J1594" s="50" t="s">
        <v>108</v>
      </c>
      <c r="K1594" s="50" t="s">
        <v>108</v>
      </c>
      <c r="L1594" s="50" t="s">
        <v>12</v>
      </c>
      <c r="M1594" s="50" t="s">
        <v>10</v>
      </c>
      <c r="N1594" s="50" t="s">
        <v>11</v>
      </c>
      <c r="O1594" s="48" t="s">
        <v>632</v>
      </c>
      <c r="P1594" s="45" t="s">
        <v>453</v>
      </c>
      <c r="Q1594" s="35" t="str">
        <f>MID(Tabla1[[#This Row],[Aplicación]],14,1)</f>
        <v>2</v>
      </c>
      <c r="R1594" s="35" t="s">
        <v>441</v>
      </c>
      <c r="S1594" s="35" t="str">
        <f>MID(Tabla1[[#This Row],[Aplicación]],6,2)</f>
        <v>05</v>
      </c>
      <c r="T1594" s="35" t="str">
        <f>VLOOKUP(Tabla1[[#This Row],[AREA]],Hoja1!A:B,2,FALSE)</f>
        <v>05. Innovación, desarrollo económico, empleo y comercio</v>
      </c>
      <c r="U1594" s="35" t="str">
        <f>MID(Tabla1[[#This Row],[Aplicación]],9,4)</f>
        <v>4331</v>
      </c>
      <c r="V1594" s="35" t="str">
        <f>VLOOKUP(Tabla1[[#This Row],[PROGRAMA]],Hoja1!A:B,2,FALSE)</f>
        <v>4331. Desarrollo empresarial</v>
      </c>
      <c r="W1594" s="35" t="str">
        <f>MID(Tabla1[[#This Row],[Aplicación]],14,2)</f>
        <v>22</v>
      </c>
      <c r="X1594" s="35" t="str">
        <f>MID(Tabla1[[#This Row],[Aplicación]],14,6)</f>
        <v>22706</v>
      </c>
    </row>
    <row r="1595" spans="1:24" x14ac:dyDescent="0.25">
      <c r="A1595" s="49">
        <v>220219000643</v>
      </c>
      <c r="B1595" s="50" t="s">
        <v>9</v>
      </c>
      <c r="C1595" s="57">
        <v>44562</v>
      </c>
      <c r="D1595" s="49">
        <v>22022002080</v>
      </c>
      <c r="E1595" s="50" t="s">
        <v>1755</v>
      </c>
      <c r="F1595" s="58">
        <v>3794.83</v>
      </c>
      <c r="G1595" s="50" t="s">
        <v>932</v>
      </c>
      <c r="H1595" s="50" t="s">
        <v>2996</v>
      </c>
      <c r="I1595" s="49" t="s">
        <v>107</v>
      </c>
      <c r="J1595" s="50" t="s">
        <v>109</v>
      </c>
      <c r="K1595" s="50" t="s">
        <v>109</v>
      </c>
      <c r="L1595" s="50" t="s">
        <v>25</v>
      </c>
      <c r="M1595" s="50" t="s">
        <v>10</v>
      </c>
      <c r="N1595" s="50" t="s">
        <v>11</v>
      </c>
      <c r="O1595" s="48" t="s">
        <v>632</v>
      </c>
      <c r="P1595" s="45" t="s">
        <v>453</v>
      </c>
      <c r="Q1595" s="35" t="str">
        <f>MID(Tabla1[[#This Row],[Aplicación]],14,1)</f>
        <v>6</v>
      </c>
      <c r="R1595" s="35" t="s">
        <v>442</v>
      </c>
      <c r="S1595" s="35" t="str">
        <f>MID(Tabla1[[#This Row],[Aplicación]],6,2)</f>
        <v>05</v>
      </c>
      <c r="T1595" s="35" t="str">
        <f>VLOOKUP(Tabla1[[#This Row],[AREA]],Hoja1!A:B,2,FALSE)</f>
        <v>05. Innovación, desarrollo económico, empleo y comercio</v>
      </c>
      <c r="U1595" s="35" t="str">
        <f>MID(Tabla1[[#This Row],[Aplicación]],9,4)</f>
        <v>4331</v>
      </c>
      <c r="V1595" s="35" t="str">
        <f>VLOOKUP(Tabla1[[#This Row],[PROGRAMA]],Hoja1!A:B,2,FALSE)</f>
        <v>4331. Desarrollo empresarial</v>
      </c>
      <c r="W1595" s="35" t="str">
        <f>MID(Tabla1[[#This Row],[Aplicación]],14,2)</f>
        <v>62</v>
      </c>
      <c r="X1595" s="35" t="str">
        <f>MID(Tabla1[[#This Row],[Aplicación]],14,6)</f>
        <v>622</v>
      </c>
    </row>
    <row r="1596" spans="1:24" x14ac:dyDescent="0.25">
      <c r="A1596" s="49">
        <v>220209000574</v>
      </c>
      <c r="B1596" s="50" t="s">
        <v>9</v>
      </c>
      <c r="C1596" s="57">
        <v>44620</v>
      </c>
      <c r="D1596" s="49">
        <v>22021000740</v>
      </c>
      <c r="E1596" s="50" t="s">
        <v>1383</v>
      </c>
      <c r="F1596" s="58">
        <v>6096.8</v>
      </c>
      <c r="G1596" s="50" t="s">
        <v>185</v>
      </c>
      <c r="H1596" s="50" t="s">
        <v>751</v>
      </c>
      <c r="I1596" s="49" t="s">
        <v>107</v>
      </c>
      <c r="J1596" s="50" t="s">
        <v>491</v>
      </c>
      <c r="K1596" s="50" t="s">
        <v>108</v>
      </c>
      <c r="L1596" s="50" t="s">
        <v>12</v>
      </c>
      <c r="M1596" s="50" t="s">
        <v>13</v>
      </c>
      <c r="N1596" s="50" t="s">
        <v>14</v>
      </c>
      <c r="O1596" s="48" t="s">
        <v>620</v>
      </c>
      <c r="P1596" s="45" t="s">
        <v>453</v>
      </c>
      <c r="Q1596" s="35" t="str">
        <f>MID(Tabla1[[#This Row],[Aplicación]],14,1)</f>
        <v>6</v>
      </c>
      <c r="R1596" s="35" t="s">
        <v>442</v>
      </c>
      <c r="S1596" s="35" t="str">
        <f>MID(Tabla1[[#This Row],[Aplicación]],6,2)</f>
        <v>08</v>
      </c>
      <c r="T1596" s="35" t="str">
        <f>VLOOKUP(Tabla1[[#This Row],[AREA]],Hoja1!A:B,2,FALSE)</f>
        <v>08. Movilidad y espacio urbano</v>
      </c>
      <c r="U1596" s="35" t="str">
        <f>MID(Tabla1[[#This Row],[Aplicación]],9,4)</f>
        <v>1341</v>
      </c>
      <c r="V1596" s="35" t="str">
        <f>VLOOKUP(Tabla1[[#This Row],[PROGRAMA]],Hoja1!A:B,2,FALSE)</f>
        <v>1341. Movilidad</v>
      </c>
      <c r="W1596" s="35" t="str">
        <f>MID(Tabla1[[#This Row],[Aplicación]],14,2)</f>
        <v>61</v>
      </c>
      <c r="X1596" s="35" t="str">
        <f>MID(Tabla1[[#This Row],[Aplicación]],14,6)</f>
        <v>619</v>
      </c>
    </row>
    <row r="1597" spans="1:24" x14ac:dyDescent="0.25">
      <c r="A1597" s="49">
        <v>220219001095</v>
      </c>
      <c r="B1597" s="50" t="s">
        <v>9</v>
      </c>
      <c r="C1597" s="57">
        <v>44562</v>
      </c>
      <c r="D1597" s="49">
        <v>22022000626</v>
      </c>
      <c r="E1597" s="50" t="s">
        <v>1659</v>
      </c>
      <c r="F1597" s="58">
        <v>540</v>
      </c>
      <c r="G1597" s="50" t="s">
        <v>101</v>
      </c>
      <c r="H1597" s="50" t="s">
        <v>2997</v>
      </c>
      <c r="I1597" s="49" t="s">
        <v>107</v>
      </c>
      <c r="J1597" s="50" t="s">
        <v>109</v>
      </c>
      <c r="K1597" s="50" t="s">
        <v>109</v>
      </c>
      <c r="L1597" s="50" t="s">
        <v>12</v>
      </c>
      <c r="M1597" s="50" t="s">
        <v>10</v>
      </c>
      <c r="N1597" s="50" t="s">
        <v>11</v>
      </c>
      <c r="O1597" s="48" t="s">
        <v>632</v>
      </c>
      <c r="P1597" s="45" t="s">
        <v>453</v>
      </c>
      <c r="Q1597" s="35" t="str">
        <f>MID(Tabla1[[#This Row],[Aplicación]],14,1)</f>
        <v>2</v>
      </c>
      <c r="R1597" s="35" t="s">
        <v>441</v>
      </c>
      <c r="S1597" s="35" t="str">
        <f>MID(Tabla1[[#This Row],[Aplicación]],6,2)</f>
        <v>05</v>
      </c>
      <c r="T1597" s="35" t="str">
        <f>VLOOKUP(Tabla1[[#This Row],[AREA]],Hoja1!A:B,2,FALSE)</f>
        <v>05. Innovación, desarrollo económico, empleo y comercio</v>
      </c>
      <c r="U1597" s="35" t="str">
        <f>MID(Tabla1[[#This Row],[Aplicación]],9,4)</f>
        <v>4331</v>
      </c>
      <c r="V1597" s="35" t="str">
        <f>VLOOKUP(Tabla1[[#This Row],[PROGRAMA]],Hoja1!A:B,2,FALSE)</f>
        <v>4331. Desarrollo empresarial</v>
      </c>
      <c r="W1597" s="35" t="str">
        <f>MID(Tabla1[[#This Row],[Aplicación]],14,2)</f>
        <v>22</v>
      </c>
      <c r="X1597" s="35" t="str">
        <f>MID(Tabla1[[#This Row],[Aplicación]],14,6)</f>
        <v>22799</v>
      </c>
    </row>
    <row r="1598" spans="1:24" x14ac:dyDescent="0.25">
      <c r="A1598" s="49">
        <v>220209000575</v>
      </c>
      <c r="B1598" s="50" t="s">
        <v>9</v>
      </c>
      <c r="C1598" s="57">
        <v>44620</v>
      </c>
      <c r="D1598" s="49">
        <v>22021000741</v>
      </c>
      <c r="E1598" s="50" t="s">
        <v>1383</v>
      </c>
      <c r="F1598" s="58">
        <v>47.73</v>
      </c>
      <c r="G1598" s="50" t="s">
        <v>185</v>
      </c>
      <c r="H1598" s="50" t="s">
        <v>790</v>
      </c>
      <c r="I1598" s="49" t="s">
        <v>107</v>
      </c>
      <c r="J1598" s="50" t="s">
        <v>491</v>
      </c>
      <c r="K1598" s="50" t="s">
        <v>108</v>
      </c>
      <c r="L1598" s="50" t="s">
        <v>12</v>
      </c>
      <c r="M1598" s="50" t="s">
        <v>13</v>
      </c>
      <c r="N1598" s="50" t="s">
        <v>14</v>
      </c>
      <c r="O1598" s="48" t="s">
        <v>620</v>
      </c>
      <c r="P1598" s="45" t="s">
        <v>453</v>
      </c>
      <c r="Q1598" s="35" t="str">
        <f>MID(Tabla1[[#This Row],[Aplicación]],14,1)</f>
        <v>6</v>
      </c>
      <c r="R1598" s="35" t="s">
        <v>442</v>
      </c>
      <c r="S1598" s="35" t="str">
        <f>MID(Tabla1[[#This Row],[Aplicación]],6,2)</f>
        <v>08</v>
      </c>
      <c r="T1598" s="35" t="str">
        <f>VLOOKUP(Tabla1[[#This Row],[AREA]],Hoja1!A:B,2,FALSE)</f>
        <v>08. Movilidad y espacio urbano</v>
      </c>
      <c r="U1598" s="35" t="str">
        <f>MID(Tabla1[[#This Row],[Aplicación]],9,4)</f>
        <v>1341</v>
      </c>
      <c r="V1598" s="35" t="str">
        <f>VLOOKUP(Tabla1[[#This Row],[PROGRAMA]],Hoja1!A:B,2,FALSE)</f>
        <v>1341. Movilidad</v>
      </c>
      <c r="W1598" s="35" t="str">
        <f>MID(Tabla1[[#This Row],[Aplicación]],14,2)</f>
        <v>61</v>
      </c>
      <c r="X1598" s="35" t="str">
        <f>MID(Tabla1[[#This Row],[Aplicación]],14,6)</f>
        <v>619</v>
      </c>
    </row>
    <row r="1599" spans="1:24" x14ac:dyDescent="0.25">
      <c r="A1599" s="49">
        <v>220220002202</v>
      </c>
      <c r="B1599" s="50" t="s">
        <v>9</v>
      </c>
      <c r="C1599" s="57">
        <v>44592</v>
      </c>
      <c r="D1599" s="49">
        <v>22022001634</v>
      </c>
      <c r="E1599" s="50" t="s">
        <v>1629</v>
      </c>
      <c r="F1599" s="58">
        <v>2600</v>
      </c>
      <c r="G1599" s="50" t="s">
        <v>994</v>
      </c>
      <c r="H1599" s="50" t="s">
        <v>2998</v>
      </c>
      <c r="I1599" s="49" t="s">
        <v>107</v>
      </c>
      <c r="J1599" s="50" t="s">
        <v>109</v>
      </c>
      <c r="K1599" s="50" t="s">
        <v>109</v>
      </c>
      <c r="L1599" s="50" t="s">
        <v>12</v>
      </c>
      <c r="M1599" s="50" t="s">
        <v>10</v>
      </c>
      <c r="N1599" s="50" t="s">
        <v>11</v>
      </c>
      <c r="O1599" s="48" t="s">
        <v>632</v>
      </c>
      <c r="P1599" s="45" t="s">
        <v>453</v>
      </c>
      <c r="Q1599" s="35" t="str">
        <f>MID(Tabla1[[#This Row],[Aplicación]],14,1)</f>
        <v>2</v>
      </c>
      <c r="R1599" s="35" t="s">
        <v>441</v>
      </c>
      <c r="S1599" s="35" t="str">
        <f>MID(Tabla1[[#This Row],[Aplicación]],6,2)</f>
        <v>06</v>
      </c>
      <c r="T1599" s="35" t="str">
        <f>VLOOKUP(Tabla1[[#This Row],[AREA]],Hoja1!A:B,2,FALSE)</f>
        <v>06. Educación, infancia, juventud e igualdad</v>
      </c>
      <c r="U1599" s="35" t="str">
        <f>MID(Tabla1[[#This Row],[Aplicación]],9,4)</f>
        <v>2315</v>
      </c>
      <c r="V1599" s="35" t="str">
        <f>VLOOKUP(Tabla1[[#This Row],[PROGRAMA]],Hoja1!A:B,2,FALSE)</f>
        <v>2315. Políticas de Igualdad e infancia</v>
      </c>
      <c r="W1599" s="35" t="str">
        <f>MID(Tabla1[[#This Row],[Aplicación]],14,2)</f>
        <v>22</v>
      </c>
      <c r="X1599" s="35" t="str">
        <f>MID(Tabla1[[#This Row],[Aplicación]],14,6)</f>
        <v>22611</v>
      </c>
    </row>
    <row r="1600" spans="1:24" x14ac:dyDescent="0.25">
      <c r="A1600" s="49">
        <v>220220007928</v>
      </c>
      <c r="B1600" s="50" t="s">
        <v>9</v>
      </c>
      <c r="C1600" s="57">
        <v>44627</v>
      </c>
      <c r="D1600" s="49">
        <v>22022002598</v>
      </c>
      <c r="E1600" s="50" t="s">
        <v>2034</v>
      </c>
      <c r="F1600" s="58">
        <v>500</v>
      </c>
      <c r="G1600" s="50" t="s">
        <v>995</v>
      </c>
      <c r="H1600" s="50" t="s">
        <v>2999</v>
      </c>
      <c r="I1600" s="49" t="s">
        <v>107</v>
      </c>
      <c r="J1600" s="50" t="s">
        <v>109</v>
      </c>
      <c r="K1600" s="50" t="s">
        <v>109</v>
      </c>
      <c r="L1600" s="50" t="s">
        <v>15</v>
      </c>
      <c r="M1600" s="50" t="s">
        <v>10</v>
      </c>
      <c r="N1600" s="50" t="s">
        <v>11</v>
      </c>
      <c r="O1600" s="48" t="s">
        <v>632</v>
      </c>
      <c r="P1600" s="45" t="s">
        <v>453</v>
      </c>
      <c r="Q1600" s="35" t="str">
        <f>MID(Tabla1[[#This Row],[Aplicación]],14,1)</f>
        <v>2</v>
      </c>
      <c r="R1600" s="35" t="s">
        <v>441</v>
      </c>
      <c r="S1600" s="35" t="str">
        <f>MID(Tabla1[[#This Row],[Aplicación]],6,2)</f>
        <v>06</v>
      </c>
      <c r="T1600" s="35" t="str">
        <f>VLOOKUP(Tabla1[[#This Row],[AREA]],Hoja1!A:B,2,FALSE)</f>
        <v>06. Educación, infancia, juventud e igualdad</v>
      </c>
      <c r="U1600" s="35" t="str">
        <f>MID(Tabla1[[#This Row],[Aplicación]],9,4)</f>
        <v>3232</v>
      </c>
      <c r="V1600" s="35" t="str">
        <f>VLOOKUP(Tabla1[[#This Row],[PROGRAMA]],Hoja1!A:B,2,FALSE)</f>
        <v>3232. Conservación y mantenimiento centros educación infantil y primaria</v>
      </c>
      <c r="W1600" s="35" t="str">
        <f>MID(Tabla1[[#This Row],[Aplicación]],14,2)</f>
        <v>21</v>
      </c>
      <c r="X1600" s="35" t="str">
        <f>MID(Tabla1[[#This Row],[Aplicación]],14,6)</f>
        <v>212</v>
      </c>
    </row>
    <row r="1601" spans="1:24" x14ac:dyDescent="0.25">
      <c r="A1601" s="49">
        <v>220220006693</v>
      </c>
      <c r="B1601" s="50" t="s">
        <v>9</v>
      </c>
      <c r="C1601" s="57">
        <v>44617</v>
      </c>
      <c r="D1601" s="49">
        <v>22022002386</v>
      </c>
      <c r="E1601" s="50" t="s">
        <v>1627</v>
      </c>
      <c r="F1601" s="58">
        <v>3600.96</v>
      </c>
      <c r="G1601" s="50" t="s">
        <v>997</v>
      </c>
      <c r="H1601" s="50" t="s">
        <v>3000</v>
      </c>
      <c r="I1601" s="49" t="s">
        <v>107</v>
      </c>
      <c r="J1601" s="50" t="s">
        <v>109</v>
      </c>
      <c r="K1601" s="50" t="s">
        <v>109</v>
      </c>
      <c r="L1601" s="50" t="s">
        <v>12</v>
      </c>
      <c r="M1601" s="50" t="s">
        <v>10</v>
      </c>
      <c r="N1601" s="50" t="s">
        <v>11</v>
      </c>
      <c r="O1601" s="48" t="s">
        <v>632</v>
      </c>
      <c r="P1601" s="45" t="s">
        <v>453</v>
      </c>
      <c r="Q1601" s="35" t="str">
        <f>MID(Tabla1[[#This Row],[Aplicación]],14,1)</f>
        <v>2</v>
      </c>
      <c r="R1601" s="35" t="s">
        <v>441</v>
      </c>
      <c r="S1601" s="35" t="str">
        <f>MID(Tabla1[[#This Row],[Aplicación]],6,2)</f>
        <v>07</v>
      </c>
      <c r="T1601" s="35" t="str">
        <f>VLOOKUP(Tabla1[[#This Row],[AREA]],Hoja1!A:B,2,FALSE)</f>
        <v>07. Medio ambiente y desarrollo sostenible</v>
      </c>
      <c r="U1601" s="35" t="str">
        <f>MID(Tabla1[[#This Row],[Aplicación]],9,4)</f>
        <v>1721</v>
      </c>
      <c r="V1601" s="35" t="str">
        <f>VLOOKUP(Tabla1[[#This Row],[PROGRAMA]],Hoja1!A:B,2,FALSE)</f>
        <v>1721. Protección del medio ambiente</v>
      </c>
      <c r="W1601" s="35" t="str">
        <f>MID(Tabla1[[#This Row],[Aplicación]],14,2)</f>
        <v>22</v>
      </c>
      <c r="X1601" s="35" t="str">
        <f>MID(Tabla1[[#This Row],[Aplicación]],14,6)</f>
        <v>22799</v>
      </c>
    </row>
    <row r="1602" spans="1:24" x14ac:dyDescent="0.25">
      <c r="A1602" s="49">
        <v>220220005810</v>
      </c>
      <c r="B1602" s="50" t="s">
        <v>9</v>
      </c>
      <c r="C1602" s="57">
        <v>44615</v>
      </c>
      <c r="D1602" s="49">
        <v>22022002413</v>
      </c>
      <c r="E1602" s="50" t="s">
        <v>1742</v>
      </c>
      <c r="F1602" s="58">
        <v>3193.82</v>
      </c>
      <c r="G1602" s="50" t="s">
        <v>139</v>
      </c>
      <c r="H1602" s="50" t="s">
        <v>3001</v>
      </c>
      <c r="I1602" s="49" t="s">
        <v>107</v>
      </c>
      <c r="J1602" s="50" t="s">
        <v>109</v>
      </c>
      <c r="K1602" s="50" t="s">
        <v>108</v>
      </c>
      <c r="L1602" s="50" t="s">
        <v>15</v>
      </c>
      <c r="M1602" s="50" t="s">
        <v>10</v>
      </c>
      <c r="N1602" s="50" t="s">
        <v>11</v>
      </c>
      <c r="O1602" s="48" t="s">
        <v>632</v>
      </c>
      <c r="P1602" s="45" t="s">
        <v>453</v>
      </c>
      <c r="Q1602" s="35" t="str">
        <f>MID(Tabla1[[#This Row],[Aplicación]],14,1)</f>
        <v>2</v>
      </c>
      <c r="R1602" s="35" t="s">
        <v>441</v>
      </c>
      <c r="S1602" s="35" t="str">
        <f>MID(Tabla1[[#This Row],[Aplicación]],6,2)</f>
        <v>03</v>
      </c>
      <c r="T1602" s="35" t="str">
        <f>VLOOKUP(Tabla1[[#This Row],[AREA]],Hoja1!A:B,2,FALSE)</f>
        <v>03. Participación ciudadana y deportes</v>
      </c>
      <c r="U1602" s="35" t="str">
        <f>MID(Tabla1[[#This Row],[Aplicación]],9,4)</f>
        <v>9241</v>
      </c>
      <c r="V1602" s="35" t="str">
        <f>VLOOKUP(Tabla1[[#This Row],[PROGRAMA]],Hoja1!A:B,2,FALSE)</f>
        <v>9241. Participación ciudadana</v>
      </c>
      <c r="W1602" s="35" t="str">
        <f>MID(Tabla1[[#This Row],[Aplicación]],14,2)</f>
        <v>21</v>
      </c>
      <c r="X1602" s="35" t="str">
        <f>MID(Tabla1[[#This Row],[Aplicación]],14,6)</f>
        <v>213</v>
      </c>
    </row>
    <row r="1603" spans="1:24" x14ac:dyDescent="0.25">
      <c r="A1603" s="49">
        <v>220220005928</v>
      </c>
      <c r="B1603" s="50" t="s">
        <v>9</v>
      </c>
      <c r="C1603" s="57">
        <v>44616</v>
      </c>
      <c r="D1603" s="49">
        <v>22022002359</v>
      </c>
      <c r="E1603" s="50" t="s">
        <v>1911</v>
      </c>
      <c r="F1603" s="58">
        <v>3037.43</v>
      </c>
      <c r="G1603" s="50" t="s">
        <v>44</v>
      </c>
      <c r="H1603" s="50" t="s">
        <v>3002</v>
      </c>
      <c r="I1603" s="49" t="s">
        <v>107</v>
      </c>
      <c r="J1603" s="50" t="s">
        <v>109</v>
      </c>
      <c r="K1603" s="50" t="s">
        <v>109</v>
      </c>
      <c r="L1603" s="50" t="s">
        <v>12</v>
      </c>
      <c r="M1603" s="50" t="s">
        <v>10</v>
      </c>
      <c r="N1603" s="50" t="s">
        <v>11</v>
      </c>
      <c r="O1603" s="48" t="s">
        <v>632</v>
      </c>
      <c r="P1603" s="45" t="s">
        <v>453</v>
      </c>
      <c r="Q1603" s="35" t="str">
        <f>MID(Tabla1[[#This Row],[Aplicación]],14,1)</f>
        <v>2</v>
      </c>
      <c r="R1603" s="35" t="s">
        <v>441</v>
      </c>
      <c r="S1603" s="35" t="str">
        <f>MID(Tabla1[[#This Row],[Aplicación]],6,2)</f>
        <v>06</v>
      </c>
      <c r="T1603" s="35" t="str">
        <f>VLOOKUP(Tabla1[[#This Row],[AREA]],Hoja1!A:B,2,FALSE)</f>
        <v>06. Educación, infancia, juventud e igualdad</v>
      </c>
      <c r="U1603" s="35" t="str">
        <f>MID(Tabla1[[#This Row],[Aplicación]],9,4)</f>
        <v>2314</v>
      </c>
      <c r="V1603" s="35" t="str">
        <f>VLOOKUP(Tabla1[[#This Row],[PROGRAMA]],Hoja1!A:B,2,FALSE)</f>
        <v>2314. Centro de programas juveniles</v>
      </c>
      <c r="W1603" s="35" t="str">
        <f>MID(Tabla1[[#This Row],[Aplicación]],14,2)</f>
        <v>21</v>
      </c>
      <c r="X1603" s="35" t="str">
        <f>MID(Tabla1[[#This Row],[Aplicación]],14,6)</f>
        <v>213</v>
      </c>
    </row>
    <row r="1604" spans="1:24" x14ac:dyDescent="0.25">
      <c r="A1604" s="49">
        <v>220220003480</v>
      </c>
      <c r="B1604" s="50" t="s">
        <v>9</v>
      </c>
      <c r="C1604" s="57">
        <v>44606</v>
      </c>
      <c r="D1604" s="49">
        <v>22022002176</v>
      </c>
      <c r="E1604" s="50" t="s">
        <v>1471</v>
      </c>
      <c r="F1604" s="58">
        <v>2500</v>
      </c>
      <c r="G1604" s="50" t="s">
        <v>3003</v>
      </c>
      <c r="H1604" s="50" t="s">
        <v>3004</v>
      </c>
      <c r="I1604" s="49" t="s">
        <v>107</v>
      </c>
      <c r="J1604" s="50" t="s">
        <v>109</v>
      </c>
      <c r="K1604" s="50" t="s">
        <v>109</v>
      </c>
      <c r="L1604" s="50" t="s">
        <v>12</v>
      </c>
      <c r="M1604" s="50" t="s">
        <v>10</v>
      </c>
      <c r="N1604" s="50" t="s">
        <v>11</v>
      </c>
      <c r="O1604" s="48" t="s">
        <v>632</v>
      </c>
      <c r="P1604" s="45" t="s">
        <v>453</v>
      </c>
      <c r="Q1604" s="35" t="str">
        <f>MID(Tabla1[[#This Row],[Aplicación]],14,1)</f>
        <v>2</v>
      </c>
      <c r="R1604" s="35" t="s">
        <v>441</v>
      </c>
      <c r="S1604" s="35" t="str">
        <f>MID(Tabla1[[#This Row],[Aplicación]],6,2)</f>
        <v>11</v>
      </c>
      <c r="T1604" s="35" t="str">
        <f>VLOOKUP(Tabla1[[#This Row],[AREA]],Hoja1!A:B,2,FALSE)</f>
        <v>11. Salud pública y seguridad ciudadana</v>
      </c>
      <c r="U1604" s="35" t="str">
        <f>MID(Tabla1[[#This Row],[Aplicación]],9,4)</f>
        <v>1321</v>
      </c>
      <c r="V1604" s="35" t="str">
        <f>VLOOKUP(Tabla1[[#This Row],[PROGRAMA]],Hoja1!A:B,2,FALSE)</f>
        <v>1321. Policía municipal</v>
      </c>
      <c r="W1604" s="35" t="str">
        <f>MID(Tabla1[[#This Row],[Aplicación]],14,2)</f>
        <v>21</v>
      </c>
      <c r="X1604" s="35" t="str">
        <f>MID(Tabla1[[#This Row],[Aplicación]],14,6)</f>
        <v>213</v>
      </c>
    </row>
    <row r="1605" spans="1:24" x14ac:dyDescent="0.25">
      <c r="A1605" s="49">
        <v>220219000366</v>
      </c>
      <c r="B1605" s="50" t="s">
        <v>9</v>
      </c>
      <c r="C1605" s="57">
        <v>44562</v>
      </c>
      <c r="D1605" s="49">
        <v>22022000506</v>
      </c>
      <c r="E1605" s="50" t="s">
        <v>2191</v>
      </c>
      <c r="F1605" s="58">
        <v>3008.54</v>
      </c>
      <c r="G1605" s="50" t="s">
        <v>953</v>
      </c>
      <c r="H1605" s="50" t="s">
        <v>3005</v>
      </c>
      <c r="I1605" s="49" t="s">
        <v>107</v>
      </c>
      <c r="J1605" s="50" t="s">
        <v>109</v>
      </c>
      <c r="K1605" s="50" t="s">
        <v>109</v>
      </c>
      <c r="L1605" s="50" t="s">
        <v>12</v>
      </c>
      <c r="M1605" s="50" t="s">
        <v>10</v>
      </c>
      <c r="N1605" s="50" t="s">
        <v>11</v>
      </c>
      <c r="O1605" s="48" t="s">
        <v>632</v>
      </c>
      <c r="P1605" s="45" t="s">
        <v>453</v>
      </c>
      <c r="Q1605" s="35" t="str">
        <f>MID(Tabla1[[#This Row],[Aplicación]],14,1)</f>
        <v>2</v>
      </c>
      <c r="R1605" s="35" t="s">
        <v>441</v>
      </c>
      <c r="S1605" s="35" t="str">
        <f>MID(Tabla1[[#This Row],[Aplicación]],6,2)</f>
        <v>01</v>
      </c>
      <c r="T1605" s="35" t="str">
        <f>VLOOKUP(Tabla1[[#This Row],[AREA]],Hoja1!A:B,2,FALSE)</f>
        <v>01. Alcaldía</v>
      </c>
      <c r="U1605" s="35" t="str">
        <f>MID(Tabla1[[#This Row],[Aplicación]],9,4)</f>
        <v>9206</v>
      </c>
      <c r="V1605" s="35" t="str">
        <f>VLOOKUP(Tabla1[[#This Row],[PROGRAMA]],Hoja1!A:B,2,FALSE)</f>
        <v>9206. Archivo municipal</v>
      </c>
      <c r="W1605" s="35" t="str">
        <f>MID(Tabla1[[#This Row],[Aplicación]],14,2)</f>
        <v>22</v>
      </c>
      <c r="X1605" s="35" t="str">
        <f>MID(Tabla1[[#This Row],[Aplicación]],14,6)</f>
        <v>22799</v>
      </c>
    </row>
    <row r="1606" spans="1:24" x14ac:dyDescent="0.25">
      <c r="A1606" s="49">
        <v>220220010187</v>
      </c>
      <c r="B1606" s="50" t="s">
        <v>9</v>
      </c>
      <c r="C1606" s="57">
        <v>44638</v>
      </c>
      <c r="D1606" s="49">
        <v>22022002893</v>
      </c>
      <c r="E1606" s="50" t="s">
        <v>1736</v>
      </c>
      <c r="F1606" s="58">
        <v>2885.81</v>
      </c>
      <c r="G1606" s="50" t="s">
        <v>44</v>
      </c>
      <c r="H1606" s="50" t="s">
        <v>3006</v>
      </c>
      <c r="I1606" s="49" t="s">
        <v>107</v>
      </c>
      <c r="J1606" s="50" t="s">
        <v>109</v>
      </c>
      <c r="K1606" s="50" t="s">
        <v>109</v>
      </c>
      <c r="L1606" s="50" t="s">
        <v>12</v>
      </c>
      <c r="M1606" s="50" t="s">
        <v>10</v>
      </c>
      <c r="N1606" s="50" t="s">
        <v>11</v>
      </c>
      <c r="O1606" s="48" t="s">
        <v>632</v>
      </c>
      <c r="P1606" s="45" t="s">
        <v>453</v>
      </c>
      <c r="Q1606" s="35" t="str">
        <f>MID(Tabla1[[#This Row],[Aplicación]],14,1)</f>
        <v>2</v>
      </c>
      <c r="R1606" s="35" t="s">
        <v>441</v>
      </c>
      <c r="S1606" s="35" t="str">
        <f>MID(Tabla1[[#This Row],[Aplicación]],6,2)</f>
        <v>07</v>
      </c>
      <c r="T1606" s="35" t="str">
        <f>VLOOKUP(Tabla1[[#This Row],[AREA]],Hoja1!A:B,2,FALSE)</f>
        <v>07. Medio ambiente y desarrollo sostenible</v>
      </c>
      <c r="U1606" s="35" t="str">
        <f>MID(Tabla1[[#This Row],[Aplicación]],9,4)</f>
        <v>1701</v>
      </c>
      <c r="V1606" s="35" t="str">
        <f>VLOOKUP(Tabla1[[#This Row],[PROGRAMA]],Hoja1!A:B,2,FALSE)</f>
        <v>1701. Dirección del área de medio ambiente</v>
      </c>
      <c r="W1606" s="35" t="str">
        <f>MID(Tabla1[[#This Row],[Aplicación]],14,2)</f>
        <v>21</v>
      </c>
      <c r="X1606" s="35" t="str">
        <f>MID(Tabla1[[#This Row],[Aplicación]],14,6)</f>
        <v>213</v>
      </c>
    </row>
    <row r="1607" spans="1:24" x14ac:dyDescent="0.25">
      <c r="A1607" s="49">
        <v>220219000787</v>
      </c>
      <c r="B1607" s="50" t="s">
        <v>9</v>
      </c>
      <c r="C1607" s="57">
        <v>44562</v>
      </c>
      <c r="D1607" s="49">
        <v>22022000600</v>
      </c>
      <c r="E1607" s="50" t="s">
        <v>1963</v>
      </c>
      <c r="F1607" s="58">
        <v>2843.5</v>
      </c>
      <c r="G1607" s="50" t="s">
        <v>3007</v>
      </c>
      <c r="H1607" s="50" t="s">
        <v>3008</v>
      </c>
      <c r="I1607" s="49" t="s">
        <v>107</v>
      </c>
      <c r="J1607" s="50" t="s">
        <v>109</v>
      </c>
      <c r="K1607" s="50" t="s">
        <v>109</v>
      </c>
      <c r="L1607" s="50" t="s">
        <v>12</v>
      </c>
      <c r="M1607" s="50" t="s">
        <v>10</v>
      </c>
      <c r="N1607" s="50" t="s">
        <v>11</v>
      </c>
      <c r="O1607" s="48" t="s">
        <v>632</v>
      </c>
      <c r="P1607" s="45" t="s">
        <v>453</v>
      </c>
      <c r="Q1607" s="35" t="str">
        <f>MID(Tabla1[[#This Row],[Aplicación]],14,1)</f>
        <v>2</v>
      </c>
      <c r="R1607" s="35" t="s">
        <v>441</v>
      </c>
      <c r="S1607" s="35" t="str">
        <f>MID(Tabla1[[#This Row],[Aplicación]],6,2)</f>
        <v>09</v>
      </c>
      <c r="T1607" s="35" t="str">
        <f>VLOOKUP(Tabla1[[#This Row],[AREA]],Hoja1!A:B,2,FALSE)</f>
        <v>09. Cultura y turismo</v>
      </c>
      <c r="U1607" s="35" t="str">
        <f>MID(Tabla1[[#This Row],[Aplicación]],9,4)</f>
        <v>3301</v>
      </c>
      <c r="V1607" s="35" t="str">
        <f>VLOOKUP(Tabla1[[#This Row],[PROGRAMA]],Hoja1!A:B,2,FALSE)</f>
        <v>3301. Dirección del área de cultura</v>
      </c>
      <c r="W1607" s="35" t="str">
        <f>MID(Tabla1[[#This Row],[Aplicación]],14,2)</f>
        <v>22</v>
      </c>
      <c r="X1607" s="35" t="str">
        <f>MID(Tabla1[[#This Row],[Aplicación]],14,6)</f>
        <v>22799</v>
      </c>
    </row>
    <row r="1608" spans="1:24" x14ac:dyDescent="0.25">
      <c r="A1608" s="49">
        <v>220210025549</v>
      </c>
      <c r="B1608" s="50" t="s">
        <v>9</v>
      </c>
      <c r="C1608" s="57">
        <v>44620</v>
      </c>
      <c r="D1608" s="49">
        <v>22021002929</v>
      </c>
      <c r="E1608" s="50" t="s">
        <v>1872</v>
      </c>
      <c r="F1608" s="58">
        <v>2420</v>
      </c>
      <c r="G1608" s="50" t="s">
        <v>946</v>
      </c>
      <c r="H1608" s="50" t="s">
        <v>947</v>
      </c>
      <c r="I1608" s="49" t="s">
        <v>107</v>
      </c>
      <c r="J1608" s="50" t="s">
        <v>552</v>
      </c>
      <c r="K1608" s="50" t="s">
        <v>109</v>
      </c>
      <c r="L1608" s="50" t="s">
        <v>25</v>
      </c>
      <c r="M1608" s="50" t="s">
        <v>13</v>
      </c>
      <c r="N1608" s="50" t="s">
        <v>14</v>
      </c>
      <c r="O1608" s="48" t="s">
        <v>620</v>
      </c>
      <c r="P1608" s="45" t="s">
        <v>453</v>
      </c>
      <c r="Q1608" s="35" t="str">
        <f>MID(Tabla1[[#This Row],[Aplicación]],14,1)</f>
        <v>6</v>
      </c>
      <c r="R1608" s="35" t="s">
        <v>442</v>
      </c>
      <c r="S1608" s="35" t="str">
        <f>MID(Tabla1[[#This Row],[Aplicación]],6,2)</f>
        <v>10</v>
      </c>
      <c r="T1608" s="35" t="str">
        <f>VLOOKUP(Tabla1[[#This Row],[AREA]],Hoja1!A:B,2,FALSE)</f>
        <v>10. Servicios sociales y mediación comunitaria</v>
      </c>
      <c r="U1608" s="35" t="str">
        <f>MID(Tabla1[[#This Row],[Aplicación]],9,4)</f>
        <v>2312</v>
      </c>
      <c r="V1608" s="35" t="str">
        <f>VLOOKUP(Tabla1[[#This Row],[PROGRAMA]],Hoja1!A:B,2,FALSE)</f>
        <v>2312. Iniciativas sociales</v>
      </c>
      <c r="W1608" s="35" t="str">
        <f>MID(Tabla1[[#This Row],[Aplicación]],14,2)</f>
        <v>63</v>
      </c>
      <c r="X1608" s="35" t="str">
        <f>MID(Tabla1[[#This Row],[Aplicación]],14,6)</f>
        <v>632</v>
      </c>
    </row>
    <row r="1609" spans="1:24" x14ac:dyDescent="0.25">
      <c r="A1609" s="49">
        <v>220209000576</v>
      </c>
      <c r="B1609" s="50" t="s">
        <v>9</v>
      </c>
      <c r="C1609" s="57">
        <v>44620</v>
      </c>
      <c r="D1609" s="49">
        <v>22021000742</v>
      </c>
      <c r="E1609" s="50" t="s">
        <v>1383</v>
      </c>
      <c r="F1609" s="58">
        <v>26.92</v>
      </c>
      <c r="G1609" s="50" t="s">
        <v>185</v>
      </c>
      <c r="H1609" s="50" t="s">
        <v>769</v>
      </c>
      <c r="I1609" s="49" t="s">
        <v>107</v>
      </c>
      <c r="J1609" s="50" t="s">
        <v>491</v>
      </c>
      <c r="K1609" s="50" t="s">
        <v>108</v>
      </c>
      <c r="L1609" s="50" t="s">
        <v>12</v>
      </c>
      <c r="M1609" s="50" t="s">
        <v>13</v>
      </c>
      <c r="N1609" s="50" t="s">
        <v>14</v>
      </c>
      <c r="O1609" s="48" t="s">
        <v>620</v>
      </c>
      <c r="P1609" s="45" t="s">
        <v>453</v>
      </c>
      <c r="Q1609" s="35" t="str">
        <f>MID(Tabla1[[#This Row],[Aplicación]],14,1)</f>
        <v>6</v>
      </c>
      <c r="R1609" s="35" t="s">
        <v>442</v>
      </c>
      <c r="S1609" s="35" t="str">
        <f>MID(Tabla1[[#This Row],[Aplicación]],6,2)</f>
        <v>08</v>
      </c>
      <c r="T1609" s="35" t="str">
        <f>VLOOKUP(Tabla1[[#This Row],[AREA]],Hoja1!A:B,2,FALSE)</f>
        <v>08. Movilidad y espacio urbano</v>
      </c>
      <c r="U1609" s="35" t="str">
        <f>MID(Tabla1[[#This Row],[Aplicación]],9,4)</f>
        <v>1341</v>
      </c>
      <c r="V1609" s="35" t="str">
        <f>VLOOKUP(Tabla1[[#This Row],[PROGRAMA]],Hoja1!A:B,2,FALSE)</f>
        <v>1341. Movilidad</v>
      </c>
      <c r="W1609" s="35" t="str">
        <f>MID(Tabla1[[#This Row],[Aplicación]],14,2)</f>
        <v>61</v>
      </c>
      <c r="X1609" s="35" t="str">
        <f>MID(Tabla1[[#This Row],[Aplicación]],14,6)</f>
        <v>619</v>
      </c>
    </row>
    <row r="1610" spans="1:24" x14ac:dyDescent="0.25">
      <c r="A1610" s="49">
        <v>220220002488</v>
      </c>
      <c r="B1610" s="50" t="s">
        <v>172</v>
      </c>
      <c r="C1610" s="57">
        <v>44594</v>
      </c>
      <c r="D1610" s="49">
        <v>22022001637</v>
      </c>
      <c r="E1610" s="50" t="s">
        <v>1922</v>
      </c>
      <c r="F1610" s="58">
        <v>19.36</v>
      </c>
      <c r="G1610" s="50" t="s">
        <v>1262</v>
      </c>
      <c r="H1610" s="50" t="s">
        <v>3009</v>
      </c>
      <c r="I1610" s="49" t="s">
        <v>173</v>
      </c>
      <c r="J1610" s="50" t="s">
        <v>109</v>
      </c>
      <c r="K1610" s="50" t="s">
        <v>109</v>
      </c>
      <c r="L1610" s="50" t="s">
        <v>12</v>
      </c>
      <c r="M1610" s="50" t="s">
        <v>13</v>
      </c>
      <c r="N1610" s="50" t="s">
        <v>14</v>
      </c>
      <c r="O1610" s="48" t="s">
        <v>631</v>
      </c>
      <c r="P1610" s="45" t="s">
        <v>453</v>
      </c>
      <c r="Q1610" s="35" t="str">
        <f>MID(Tabla1[[#This Row],[Aplicación]],14,1)</f>
        <v>2</v>
      </c>
      <c r="R1610" s="35" t="s">
        <v>441</v>
      </c>
      <c r="S1610" s="35" t="str">
        <f>MID(Tabla1[[#This Row],[Aplicación]],6,2)</f>
        <v>07</v>
      </c>
      <c r="T1610" s="35" t="str">
        <f>VLOOKUP(Tabla1[[#This Row],[AREA]],Hoja1!A:B,2,FALSE)</f>
        <v>07. Medio ambiente y desarrollo sostenible</v>
      </c>
      <c r="U1610" s="35" t="str">
        <f>MID(Tabla1[[#This Row],[Aplicación]],9,4)</f>
        <v>1711</v>
      </c>
      <c r="V1610" s="35" t="str">
        <f>VLOOKUP(Tabla1[[#This Row],[PROGRAMA]],Hoja1!A:B,2,FALSE)</f>
        <v>1711. Parques y jardines</v>
      </c>
      <c r="W1610" s="35" t="str">
        <f>MID(Tabla1[[#This Row],[Aplicación]],14,2)</f>
        <v>21</v>
      </c>
      <c r="X1610" s="35" t="str">
        <f>MID(Tabla1[[#This Row],[Aplicación]],14,6)</f>
        <v>214</v>
      </c>
    </row>
    <row r="1611" spans="1:24" x14ac:dyDescent="0.25">
      <c r="A1611" s="49">
        <v>220220009527</v>
      </c>
      <c r="B1611" s="50" t="s">
        <v>172</v>
      </c>
      <c r="C1611" s="57">
        <v>44636</v>
      </c>
      <c r="D1611" s="49">
        <v>22022001451</v>
      </c>
      <c r="E1611" s="50" t="s">
        <v>1668</v>
      </c>
      <c r="F1611" s="58">
        <v>161.43</v>
      </c>
      <c r="G1611" s="50" t="s">
        <v>1262</v>
      </c>
      <c r="H1611" s="50" t="s">
        <v>3010</v>
      </c>
      <c r="I1611" s="49" t="s">
        <v>173</v>
      </c>
      <c r="J1611" s="50" t="s">
        <v>109</v>
      </c>
      <c r="K1611" s="50" t="s">
        <v>109</v>
      </c>
      <c r="L1611" s="50" t="s">
        <v>12</v>
      </c>
      <c r="M1611" s="50" t="s">
        <v>13</v>
      </c>
      <c r="N1611" s="50" t="s">
        <v>14</v>
      </c>
      <c r="O1611" s="48" t="s">
        <v>631</v>
      </c>
      <c r="P1611" s="45" t="s">
        <v>453</v>
      </c>
      <c r="Q1611" s="35" t="str">
        <f>MID(Tabla1[[#This Row],[Aplicación]],14,1)</f>
        <v>2</v>
      </c>
      <c r="R1611" s="35" t="s">
        <v>441</v>
      </c>
      <c r="S1611" s="35" t="str">
        <f>MID(Tabla1[[#This Row],[Aplicación]],6,2)</f>
        <v>02</v>
      </c>
      <c r="T1611" s="35" t="str">
        <f>VLOOKUP(Tabla1[[#This Row],[AREA]],Hoja1!A:B,2,FALSE)</f>
        <v>02. Planeamiento urbanístico y vivienda</v>
      </c>
      <c r="U1611" s="35" t="str">
        <f>MID(Tabla1[[#This Row],[Aplicación]],9,4)</f>
        <v>9332</v>
      </c>
      <c r="V1611" s="35" t="str">
        <f>VLOOKUP(Tabla1[[#This Row],[PROGRAMA]],Hoja1!A:B,2,FALSE)</f>
        <v>9332. Mantenimiento de edificios e instalaciones municipales</v>
      </c>
      <c r="W1611" s="35" t="str">
        <f>MID(Tabla1[[#This Row],[Aplicación]],14,2)</f>
        <v>21</v>
      </c>
      <c r="X1611" s="35" t="str">
        <f>MID(Tabla1[[#This Row],[Aplicación]],14,6)</f>
        <v>214</v>
      </c>
    </row>
    <row r="1612" spans="1:24" x14ac:dyDescent="0.25">
      <c r="A1612" s="49">
        <v>220220009531</v>
      </c>
      <c r="B1612" s="50" t="s">
        <v>172</v>
      </c>
      <c r="C1612" s="57">
        <v>44636</v>
      </c>
      <c r="D1612" s="49">
        <v>22022001451</v>
      </c>
      <c r="E1612" s="50" t="s">
        <v>1668</v>
      </c>
      <c r="F1612" s="58">
        <v>27.35</v>
      </c>
      <c r="G1612" s="50" t="s">
        <v>1262</v>
      </c>
      <c r="H1612" s="50" t="s">
        <v>3011</v>
      </c>
      <c r="I1612" s="49" t="s">
        <v>173</v>
      </c>
      <c r="J1612" s="50" t="s">
        <v>109</v>
      </c>
      <c r="K1612" s="50" t="s">
        <v>109</v>
      </c>
      <c r="L1612" s="50" t="s">
        <v>12</v>
      </c>
      <c r="M1612" s="50" t="s">
        <v>13</v>
      </c>
      <c r="N1612" s="50" t="s">
        <v>14</v>
      </c>
      <c r="O1612" s="48" t="s">
        <v>631</v>
      </c>
      <c r="P1612" s="45" t="s">
        <v>453</v>
      </c>
      <c r="Q1612" s="35" t="str">
        <f>MID(Tabla1[[#This Row],[Aplicación]],14,1)</f>
        <v>2</v>
      </c>
      <c r="R1612" s="35" t="s">
        <v>441</v>
      </c>
      <c r="S1612" s="35" t="str">
        <f>MID(Tabla1[[#This Row],[Aplicación]],6,2)</f>
        <v>02</v>
      </c>
      <c r="T1612" s="35" t="str">
        <f>VLOOKUP(Tabla1[[#This Row],[AREA]],Hoja1!A:B,2,FALSE)</f>
        <v>02. Planeamiento urbanístico y vivienda</v>
      </c>
      <c r="U1612" s="35" t="str">
        <f>MID(Tabla1[[#This Row],[Aplicación]],9,4)</f>
        <v>9332</v>
      </c>
      <c r="V1612" s="35" t="str">
        <f>VLOOKUP(Tabla1[[#This Row],[PROGRAMA]],Hoja1!A:B,2,FALSE)</f>
        <v>9332. Mantenimiento de edificios e instalaciones municipales</v>
      </c>
      <c r="W1612" s="35" t="str">
        <f>MID(Tabla1[[#This Row],[Aplicación]],14,2)</f>
        <v>21</v>
      </c>
      <c r="X1612" s="35" t="str">
        <f>MID(Tabla1[[#This Row],[Aplicación]],14,6)</f>
        <v>214</v>
      </c>
    </row>
    <row r="1613" spans="1:24" x14ac:dyDescent="0.25">
      <c r="A1613" s="49">
        <v>220220012679</v>
      </c>
      <c r="B1613" s="50" t="s">
        <v>172</v>
      </c>
      <c r="C1613" s="57">
        <v>44644</v>
      </c>
      <c r="D1613" s="49">
        <v>22022001451</v>
      </c>
      <c r="E1613" s="50" t="s">
        <v>1668</v>
      </c>
      <c r="F1613" s="58">
        <v>287.24</v>
      </c>
      <c r="G1613" s="50" t="s">
        <v>1262</v>
      </c>
      <c r="H1613" s="50" t="s">
        <v>3012</v>
      </c>
      <c r="I1613" s="49" t="s">
        <v>173</v>
      </c>
      <c r="J1613" s="50" t="s">
        <v>109</v>
      </c>
      <c r="K1613" s="50" t="s">
        <v>109</v>
      </c>
      <c r="L1613" s="50" t="s">
        <v>12</v>
      </c>
      <c r="M1613" s="50" t="s">
        <v>13</v>
      </c>
      <c r="N1613" s="50" t="s">
        <v>14</v>
      </c>
      <c r="O1613" s="48" t="s">
        <v>631</v>
      </c>
      <c r="P1613" s="45" t="s">
        <v>453</v>
      </c>
      <c r="Q1613" s="35" t="str">
        <f>MID(Tabla1[[#This Row],[Aplicación]],14,1)</f>
        <v>2</v>
      </c>
      <c r="R1613" s="35" t="s">
        <v>441</v>
      </c>
      <c r="S1613" s="35" t="str">
        <f>MID(Tabla1[[#This Row],[Aplicación]],6,2)</f>
        <v>02</v>
      </c>
      <c r="T1613" s="35" t="str">
        <f>VLOOKUP(Tabla1[[#This Row],[AREA]],Hoja1!A:B,2,FALSE)</f>
        <v>02. Planeamiento urbanístico y vivienda</v>
      </c>
      <c r="U1613" s="35" t="str">
        <f>MID(Tabla1[[#This Row],[Aplicación]],9,4)</f>
        <v>9332</v>
      </c>
      <c r="V1613" s="35" t="str">
        <f>VLOOKUP(Tabla1[[#This Row],[PROGRAMA]],Hoja1!A:B,2,FALSE)</f>
        <v>9332. Mantenimiento de edificios e instalaciones municipales</v>
      </c>
      <c r="W1613" s="35" t="str">
        <f>MID(Tabla1[[#This Row],[Aplicación]],14,2)</f>
        <v>21</v>
      </c>
      <c r="X1613" s="35" t="str">
        <f>MID(Tabla1[[#This Row],[Aplicación]],14,6)</f>
        <v>214</v>
      </c>
    </row>
    <row r="1614" spans="1:24" x14ac:dyDescent="0.25">
      <c r="A1614" s="49">
        <v>220220013150</v>
      </c>
      <c r="B1614" s="50" t="s">
        <v>172</v>
      </c>
      <c r="C1614" s="57">
        <v>44649</v>
      </c>
      <c r="D1614" s="49">
        <v>22022001637</v>
      </c>
      <c r="E1614" s="50" t="s">
        <v>1922</v>
      </c>
      <c r="F1614" s="58">
        <v>264.14999999999998</v>
      </c>
      <c r="G1614" s="50" t="s">
        <v>1262</v>
      </c>
      <c r="H1614" s="50" t="s">
        <v>3013</v>
      </c>
      <c r="I1614" s="49" t="s">
        <v>173</v>
      </c>
      <c r="J1614" s="50" t="s">
        <v>109</v>
      </c>
      <c r="K1614" s="50" t="s">
        <v>109</v>
      </c>
      <c r="L1614" s="50" t="s">
        <v>12</v>
      </c>
      <c r="M1614" s="50" t="s">
        <v>13</v>
      </c>
      <c r="N1614" s="50" t="s">
        <v>14</v>
      </c>
      <c r="O1614" s="48" t="s">
        <v>631</v>
      </c>
      <c r="P1614" s="45" t="s">
        <v>453</v>
      </c>
      <c r="Q1614" s="35" t="str">
        <f>MID(Tabla1[[#This Row],[Aplicación]],14,1)</f>
        <v>2</v>
      </c>
      <c r="R1614" s="35" t="s">
        <v>441</v>
      </c>
      <c r="S1614" s="35" t="str">
        <f>MID(Tabla1[[#This Row],[Aplicación]],6,2)</f>
        <v>07</v>
      </c>
      <c r="T1614" s="35" t="str">
        <f>VLOOKUP(Tabla1[[#This Row],[AREA]],Hoja1!A:B,2,FALSE)</f>
        <v>07. Medio ambiente y desarrollo sostenible</v>
      </c>
      <c r="U1614" s="35" t="str">
        <f>MID(Tabla1[[#This Row],[Aplicación]],9,4)</f>
        <v>1711</v>
      </c>
      <c r="V1614" s="35" t="str">
        <f>VLOOKUP(Tabla1[[#This Row],[PROGRAMA]],Hoja1!A:B,2,FALSE)</f>
        <v>1711. Parques y jardines</v>
      </c>
      <c r="W1614" s="35" t="str">
        <f>MID(Tabla1[[#This Row],[Aplicación]],14,2)</f>
        <v>21</v>
      </c>
      <c r="X1614" s="35" t="str">
        <f>MID(Tabla1[[#This Row],[Aplicación]],14,6)</f>
        <v>214</v>
      </c>
    </row>
    <row r="1615" spans="1:24" x14ac:dyDescent="0.25">
      <c r="A1615" s="49">
        <v>220220000111</v>
      </c>
      <c r="B1615" s="50" t="s">
        <v>9</v>
      </c>
      <c r="C1615" s="57">
        <v>44581</v>
      </c>
      <c r="D1615" s="49">
        <v>22022001265</v>
      </c>
      <c r="E1615" s="50" t="s">
        <v>1461</v>
      </c>
      <c r="F1615" s="58">
        <v>2755.75</v>
      </c>
      <c r="G1615" s="50" t="s">
        <v>60</v>
      </c>
      <c r="H1615" s="50" t="s">
        <v>3014</v>
      </c>
      <c r="I1615" s="49" t="s">
        <v>107</v>
      </c>
      <c r="J1615" s="50" t="s">
        <v>109</v>
      </c>
      <c r="K1615" s="50" t="s">
        <v>109</v>
      </c>
      <c r="L1615" s="50" t="s">
        <v>12</v>
      </c>
      <c r="M1615" s="50" t="s">
        <v>10</v>
      </c>
      <c r="N1615" s="50" t="s">
        <v>11</v>
      </c>
      <c r="O1615" s="48" t="s">
        <v>632</v>
      </c>
      <c r="P1615" s="45" t="s">
        <v>453</v>
      </c>
      <c r="Q1615" s="35" t="str">
        <f>MID(Tabla1[[#This Row],[Aplicación]],14,1)</f>
        <v>2</v>
      </c>
      <c r="R1615" s="35" t="s">
        <v>441</v>
      </c>
      <c r="S1615" s="35" t="str">
        <f>MID(Tabla1[[#This Row],[Aplicación]],6,2)</f>
        <v>11</v>
      </c>
      <c r="T1615" s="35" t="str">
        <f>VLOOKUP(Tabla1[[#This Row],[AREA]],Hoja1!A:B,2,FALSE)</f>
        <v>11. Salud pública y seguridad ciudadana</v>
      </c>
      <c r="U1615" s="35" t="str">
        <f>MID(Tabla1[[#This Row],[Aplicación]],9,4)</f>
        <v>1621</v>
      </c>
      <c r="V1615" s="35" t="str">
        <f>VLOOKUP(Tabla1[[#This Row],[PROGRAMA]],Hoja1!A:B,2,FALSE)</f>
        <v>1621. Servicio de limpieza</v>
      </c>
      <c r="W1615" s="35" t="str">
        <f>MID(Tabla1[[#This Row],[Aplicación]],14,2)</f>
        <v>21</v>
      </c>
      <c r="X1615" s="35" t="str">
        <f>MID(Tabla1[[#This Row],[Aplicación]],14,6)</f>
        <v>213</v>
      </c>
    </row>
    <row r="1616" spans="1:24" x14ac:dyDescent="0.25">
      <c r="A1616" s="49">
        <v>220219000365</v>
      </c>
      <c r="B1616" s="50" t="s">
        <v>9</v>
      </c>
      <c r="C1616" s="57">
        <v>44562</v>
      </c>
      <c r="D1616" s="49">
        <v>22022000505</v>
      </c>
      <c r="E1616" s="50" t="s">
        <v>1886</v>
      </c>
      <c r="F1616" s="58">
        <v>2363.86</v>
      </c>
      <c r="G1616" s="50" t="s">
        <v>953</v>
      </c>
      <c r="H1616" s="50" t="s">
        <v>3015</v>
      </c>
      <c r="I1616" s="49" t="s">
        <v>107</v>
      </c>
      <c r="J1616" s="50" t="s">
        <v>109</v>
      </c>
      <c r="K1616" s="50" t="s">
        <v>109</v>
      </c>
      <c r="L1616" s="50" t="s">
        <v>12</v>
      </c>
      <c r="M1616" s="50" t="s">
        <v>10</v>
      </c>
      <c r="N1616" s="50" t="s">
        <v>11</v>
      </c>
      <c r="O1616" s="48" t="s">
        <v>632</v>
      </c>
      <c r="P1616" s="45" t="s">
        <v>453</v>
      </c>
      <c r="Q1616" s="35" t="str">
        <f>MID(Tabla1[[#This Row],[Aplicación]],14,1)</f>
        <v>2</v>
      </c>
      <c r="R1616" s="35" t="s">
        <v>441</v>
      </c>
      <c r="S1616" s="35" t="str">
        <f>MID(Tabla1[[#This Row],[Aplicación]],6,2)</f>
        <v>09</v>
      </c>
      <c r="T1616" s="35" t="str">
        <f>VLOOKUP(Tabla1[[#This Row],[AREA]],Hoja1!A:B,2,FALSE)</f>
        <v>09. Cultura y turismo</v>
      </c>
      <c r="U1616" s="35" t="str">
        <f>MID(Tabla1[[#This Row],[Aplicación]],9,4)</f>
        <v>3341</v>
      </c>
      <c r="V1616" s="35" t="str">
        <f>VLOOKUP(Tabla1[[#This Row],[PROGRAMA]],Hoja1!A:B,2,FALSE)</f>
        <v>3341. Coordinación de políticas culturales</v>
      </c>
      <c r="W1616" s="35" t="str">
        <f>MID(Tabla1[[#This Row],[Aplicación]],14,2)</f>
        <v>22</v>
      </c>
      <c r="X1616" s="35" t="str">
        <f>MID(Tabla1[[#This Row],[Aplicación]],14,6)</f>
        <v>22799</v>
      </c>
    </row>
    <row r="1617" spans="1:24" x14ac:dyDescent="0.25">
      <c r="A1617" s="49">
        <v>220220006694</v>
      </c>
      <c r="B1617" s="50" t="s">
        <v>9</v>
      </c>
      <c r="C1617" s="57">
        <v>44617</v>
      </c>
      <c r="D1617" s="49">
        <v>22022002389</v>
      </c>
      <c r="E1617" s="50" t="s">
        <v>2530</v>
      </c>
      <c r="F1617" s="58">
        <v>2722.5</v>
      </c>
      <c r="G1617" s="50" t="s">
        <v>492</v>
      </c>
      <c r="H1617" s="50" t="s">
        <v>3016</v>
      </c>
      <c r="I1617" s="49" t="s">
        <v>107</v>
      </c>
      <c r="J1617" s="50" t="s">
        <v>486</v>
      </c>
      <c r="K1617" s="50" t="s">
        <v>165</v>
      </c>
      <c r="L1617" s="50" t="s">
        <v>12</v>
      </c>
      <c r="M1617" s="50" t="s">
        <v>10</v>
      </c>
      <c r="N1617" s="50" t="s">
        <v>11</v>
      </c>
      <c r="O1617" s="48" t="s">
        <v>632</v>
      </c>
      <c r="P1617" s="45" t="s">
        <v>453</v>
      </c>
      <c r="Q1617" s="35" t="str">
        <f>MID(Tabla1[[#This Row],[Aplicación]],14,1)</f>
        <v>2</v>
      </c>
      <c r="R1617" s="35" t="s">
        <v>441</v>
      </c>
      <c r="S1617" s="35" t="str">
        <f>MID(Tabla1[[#This Row],[Aplicación]],6,2)</f>
        <v>07</v>
      </c>
      <c r="T1617" s="35" t="str">
        <f>VLOOKUP(Tabla1[[#This Row],[AREA]],Hoja1!A:B,2,FALSE)</f>
        <v>07. Medio ambiente y desarrollo sostenible</v>
      </c>
      <c r="U1617" s="35" t="str">
        <f>MID(Tabla1[[#This Row],[Aplicación]],9,4)</f>
        <v>1721</v>
      </c>
      <c r="V1617" s="35" t="str">
        <f>VLOOKUP(Tabla1[[#This Row],[PROGRAMA]],Hoja1!A:B,2,FALSE)</f>
        <v>1721. Protección del medio ambiente</v>
      </c>
      <c r="W1617" s="35" t="str">
        <f>MID(Tabla1[[#This Row],[Aplicación]],14,2)</f>
        <v>22</v>
      </c>
      <c r="X1617" s="35" t="str">
        <f>MID(Tabla1[[#This Row],[Aplicación]],14,6)</f>
        <v>22706</v>
      </c>
    </row>
    <row r="1618" spans="1:24" x14ac:dyDescent="0.25">
      <c r="A1618" s="49">
        <v>220220001657</v>
      </c>
      <c r="B1618" s="50" t="s">
        <v>26</v>
      </c>
      <c r="C1618" s="57">
        <v>44588</v>
      </c>
      <c r="D1618" s="49">
        <v>22022001466</v>
      </c>
      <c r="E1618" s="50" t="s">
        <v>1361</v>
      </c>
      <c r="F1618" s="58">
        <v>2299</v>
      </c>
      <c r="G1618" s="50" t="s">
        <v>1349</v>
      </c>
      <c r="H1618" s="50" t="s">
        <v>3017</v>
      </c>
      <c r="I1618" s="49" t="s">
        <v>197</v>
      </c>
      <c r="J1618" s="50" t="s">
        <v>109</v>
      </c>
      <c r="K1618" s="50" t="s">
        <v>109</v>
      </c>
      <c r="L1618" s="50" t="s">
        <v>12</v>
      </c>
      <c r="M1618" s="50" t="s">
        <v>10</v>
      </c>
      <c r="N1618" s="50" t="s">
        <v>11</v>
      </c>
      <c r="O1618" s="48" t="s">
        <v>632</v>
      </c>
      <c r="P1618" s="45" t="s">
        <v>453</v>
      </c>
      <c r="Q1618" s="35" t="str">
        <f>MID(Tabla1[[#This Row],[Aplicación]],14,1)</f>
        <v>2</v>
      </c>
      <c r="R1618" s="35" t="s">
        <v>441</v>
      </c>
      <c r="S1618" s="35" t="str">
        <f>MID(Tabla1[[#This Row],[Aplicación]],6,2)</f>
        <v>10</v>
      </c>
      <c r="T1618" s="35" t="str">
        <f>VLOOKUP(Tabla1[[#This Row],[AREA]],Hoja1!A:B,2,FALSE)</f>
        <v>10. Servicios sociales y mediación comunitaria</v>
      </c>
      <c r="U1618" s="35" t="str">
        <f>MID(Tabla1[[#This Row],[Aplicación]],9,4)</f>
        <v>2311</v>
      </c>
      <c r="V1618" s="35" t="str">
        <f>VLOOKUP(Tabla1[[#This Row],[PROGRAMA]],Hoja1!A:B,2,FALSE)</f>
        <v>2311. Intervención social</v>
      </c>
      <c r="W1618" s="35" t="str">
        <f>MID(Tabla1[[#This Row],[Aplicación]],14,2)</f>
        <v>22</v>
      </c>
      <c r="X1618" s="35" t="str">
        <f>MID(Tabla1[[#This Row],[Aplicación]],14,6)</f>
        <v>22799</v>
      </c>
    </row>
    <row r="1619" spans="1:24" x14ac:dyDescent="0.25">
      <c r="A1619" s="49">
        <v>220220009365</v>
      </c>
      <c r="B1619" s="50" t="s">
        <v>9</v>
      </c>
      <c r="C1619" s="57">
        <v>44636</v>
      </c>
      <c r="D1619" s="49">
        <v>22022002837</v>
      </c>
      <c r="E1619" s="50" t="s">
        <v>2530</v>
      </c>
      <c r="F1619" s="58">
        <v>2565.1999999999998</v>
      </c>
      <c r="G1619" s="50" t="s">
        <v>3018</v>
      </c>
      <c r="H1619" s="50" t="s">
        <v>3019</v>
      </c>
      <c r="I1619" s="49" t="s">
        <v>107</v>
      </c>
      <c r="J1619" s="50" t="s">
        <v>108</v>
      </c>
      <c r="K1619" s="50" t="s">
        <v>108</v>
      </c>
      <c r="L1619" s="50" t="s">
        <v>12</v>
      </c>
      <c r="M1619" s="50" t="s">
        <v>10</v>
      </c>
      <c r="N1619" s="50" t="s">
        <v>11</v>
      </c>
      <c r="O1619" s="48" t="s">
        <v>632</v>
      </c>
      <c r="P1619" s="45" t="s">
        <v>453</v>
      </c>
      <c r="Q1619" s="35" t="str">
        <f>MID(Tabla1[[#This Row],[Aplicación]],14,1)</f>
        <v>2</v>
      </c>
      <c r="R1619" s="35" t="s">
        <v>441</v>
      </c>
      <c r="S1619" s="35" t="str">
        <f>MID(Tabla1[[#This Row],[Aplicación]],6,2)</f>
        <v>07</v>
      </c>
      <c r="T1619" s="35" t="str">
        <f>VLOOKUP(Tabla1[[#This Row],[AREA]],Hoja1!A:B,2,FALSE)</f>
        <v>07. Medio ambiente y desarrollo sostenible</v>
      </c>
      <c r="U1619" s="35" t="str">
        <f>MID(Tabla1[[#This Row],[Aplicación]],9,4)</f>
        <v>1721</v>
      </c>
      <c r="V1619" s="35" t="str">
        <f>VLOOKUP(Tabla1[[#This Row],[PROGRAMA]],Hoja1!A:B,2,FALSE)</f>
        <v>1721. Protección del medio ambiente</v>
      </c>
      <c r="W1619" s="35" t="str">
        <f>MID(Tabla1[[#This Row],[Aplicación]],14,2)</f>
        <v>22</v>
      </c>
      <c r="X1619" s="35" t="str">
        <f>MID(Tabla1[[#This Row],[Aplicación]],14,6)</f>
        <v>22706</v>
      </c>
    </row>
    <row r="1620" spans="1:24" x14ac:dyDescent="0.25">
      <c r="A1620" s="49">
        <v>220220005936</v>
      </c>
      <c r="B1620" s="50" t="s">
        <v>9</v>
      </c>
      <c r="C1620" s="57">
        <v>44616</v>
      </c>
      <c r="D1620" s="49">
        <v>22022002438</v>
      </c>
      <c r="E1620" s="50" t="s">
        <v>1627</v>
      </c>
      <c r="F1620" s="58">
        <v>2565.1999999999998</v>
      </c>
      <c r="G1620" s="50" t="s">
        <v>3020</v>
      </c>
      <c r="H1620" s="50" t="s">
        <v>3021</v>
      </c>
      <c r="I1620" s="49" t="s">
        <v>107</v>
      </c>
      <c r="J1620" s="50" t="s">
        <v>109</v>
      </c>
      <c r="K1620" s="50" t="s">
        <v>109</v>
      </c>
      <c r="L1620" s="50" t="s">
        <v>12</v>
      </c>
      <c r="M1620" s="50" t="s">
        <v>10</v>
      </c>
      <c r="N1620" s="50" t="s">
        <v>11</v>
      </c>
      <c r="O1620" s="48" t="s">
        <v>632</v>
      </c>
      <c r="P1620" s="45" t="s">
        <v>453</v>
      </c>
      <c r="Q1620" s="35" t="str">
        <f>MID(Tabla1[[#This Row],[Aplicación]],14,1)</f>
        <v>2</v>
      </c>
      <c r="R1620" s="35" t="s">
        <v>441</v>
      </c>
      <c r="S1620" s="35" t="str">
        <f>MID(Tabla1[[#This Row],[Aplicación]],6,2)</f>
        <v>07</v>
      </c>
      <c r="T1620" s="35" t="str">
        <f>VLOOKUP(Tabla1[[#This Row],[AREA]],Hoja1!A:B,2,FALSE)</f>
        <v>07. Medio ambiente y desarrollo sostenible</v>
      </c>
      <c r="U1620" s="35" t="str">
        <f>MID(Tabla1[[#This Row],[Aplicación]],9,4)</f>
        <v>1721</v>
      </c>
      <c r="V1620" s="35" t="str">
        <f>VLOOKUP(Tabla1[[#This Row],[PROGRAMA]],Hoja1!A:B,2,FALSE)</f>
        <v>1721. Protección del medio ambiente</v>
      </c>
      <c r="W1620" s="35" t="str">
        <f>MID(Tabla1[[#This Row],[Aplicación]],14,2)</f>
        <v>22</v>
      </c>
      <c r="X1620" s="35" t="str">
        <f>MID(Tabla1[[#This Row],[Aplicación]],14,6)</f>
        <v>22799</v>
      </c>
    </row>
    <row r="1621" spans="1:24" x14ac:dyDescent="0.25">
      <c r="A1621" s="49">
        <v>220220002535</v>
      </c>
      <c r="B1621" s="50" t="s">
        <v>9</v>
      </c>
      <c r="C1621" s="57">
        <v>44595</v>
      </c>
      <c r="D1621" s="49">
        <v>22022001845</v>
      </c>
      <c r="E1621" s="50" t="s">
        <v>3022</v>
      </c>
      <c r="F1621" s="58">
        <v>2500</v>
      </c>
      <c r="G1621" s="50" t="s">
        <v>1236</v>
      </c>
      <c r="H1621" s="50" t="s">
        <v>3023</v>
      </c>
      <c r="I1621" s="49" t="s">
        <v>107</v>
      </c>
      <c r="J1621" s="50" t="s">
        <v>1237</v>
      </c>
      <c r="K1621" s="50" t="s">
        <v>108</v>
      </c>
      <c r="L1621" s="50" t="s">
        <v>12</v>
      </c>
      <c r="M1621" s="50" t="s">
        <v>10</v>
      </c>
      <c r="N1621" s="50" t="s">
        <v>11</v>
      </c>
      <c r="O1621" s="48" t="s">
        <v>632</v>
      </c>
      <c r="P1621" s="45" t="s">
        <v>453</v>
      </c>
      <c r="Q1621" s="35" t="str">
        <f>MID(Tabla1[[#This Row],[Aplicación]],14,1)</f>
        <v>2</v>
      </c>
      <c r="R1621" s="35" t="s">
        <v>441</v>
      </c>
      <c r="S1621" s="35" t="str">
        <f>MID(Tabla1[[#This Row],[Aplicación]],6,2)</f>
        <v>11</v>
      </c>
      <c r="T1621" s="35" t="str">
        <f>VLOOKUP(Tabla1[[#This Row],[AREA]],Hoja1!A:B,2,FALSE)</f>
        <v>11. Salud pública y seguridad ciudadana</v>
      </c>
      <c r="U1621" s="35" t="str">
        <f>MID(Tabla1[[#This Row],[Aplicación]],9,4)</f>
        <v>1631</v>
      </c>
      <c r="V1621" s="35" t="str">
        <f>VLOOKUP(Tabla1[[#This Row],[PROGRAMA]],Hoja1!A:B,2,FALSE)</f>
        <v>1631. Limpieza viaria</v>
      </c>
      <c r="W1621" s="35" t="str">
        <f>MID(Tabla1[[#This Row],[Aplicación]],14,2)</f>
        <v>21</v>
      </c>
      <c r="X1621" s="35" t="str">
        <f>MID(Tabla1[[#This Row],[Aplicación]],14,6)</f>
        <v>212</v>
      </c>
    </row>
    <row r="1622" spans="1:24" x14ac:dyDescent="0.25">
      <c r="A1622" s="49">
        <v>220220007927</v>
      </c>
      <c r="B1622" s="50" t="s">
        <v>9</v>
      </c>
      <c r="C1622" s="57">
        <v>44627</v>
      </c>
      <c r="D1622" s="49">
        <v>22022002591</v>
      </c>
      <c r="E1622" s="50" t="s">
        <v>1571</v>
      </c>
      <c r="F1622" s="58">
        <v>2500</v>
      </c>
      <c r="G1622" s="50" t="s">
        <v>3024</v>
      </c>
      <c r="H1622" s="50" t="s">
        <v>3025</v>
      </c>
      <c r="I1622" s="49" t="s">
        <v>107</v>
      </c>
      <c r="J1622" s="50" t="s">
        <v>909</v>
      </c>
      <c r="K1622" s="50" t="s">
        <v>909</v>
      </c>
      <c r="L1622" s="50" t="s">
        <v>12</v>
      </c>
      <c r="M1622" s="50" t="s">
        <v>10</v>
      </c>
      <c r="N1622" s="50" t="s">
        <v>11</v>
      </c>
      <c r="O1622" s="48" t="s">
        <v>632</v>
      </c>
      <c r="P1622" s="45" t="s">
        <v>453</v>
      </c>
      <c r="Q1622" s="35" t="str">
        <f>MID(Tabla1[[#This Row],[Aplicación]],14,1)</f>
        <v>2</v>
      </c>
      <c r="R1622" s="35" t="s">
        <v>441</v>
      </c>
      <c r="S1622" s="35" t="str">
        <f>MID(Tabla1[[#This Row],[Aplicación]],6,2)</f>
        <v>11</v>
      </c>
      <c r="T1622" s="35" t="str">
        <f>VLOOKUP(Tabla1[[#This Row],[AREA]],Hoja1!A:B,2,FALSE)</f>
        <v>11. Salud pública y seguridad ciudadana</v>
      </c>
      <c r="U1622" s="35" t="str">
        <f>MID(Tabla1[[#This Row],[Aplicación]],9,4)</f>
        <v>3111</v>
      </c>
      <c r="V1622" s="35" t="str">
        <f>VLOOKUP(Tabla1[[#This Row],[PROGRAMA]],Hoja1!A:B,2,FALSE)</f>
        <v>3111. Protección de la salubridad pública</v>
      </c>
      <c r="W1622" s="35" t="str">
        <f>MID(Tabla1[[#This Row],[Aplicación]],14,2)</f>
        <v>21</v>
      </c>
      <c r="X1622" s="35" t="str">
        <f>MID(Tabla1[[#This Row],[Aplicación]],14,6)</f>
        <v>213</v>
      </c>
    </row>
    <row r="1623" spans="1:24" x14ac:dyDescent="0.25">
      <c r="A1623" s="49">
        <v>220220006377</v>
      </c>
      <c r="B1623" s="50" t="s">
        <v>9</v>
      </c>
      <c r="C1623" s="57">
        <v>44617</v>
      </c>
      <c r="D1623" s="49">
        <v>22022002420</v>
      </c>
      <c r="E1623" s="50" t="s">
        <v>1657</v>
      </c>
      <c r="F1623" s="58">
        <v>2500</v>
      </c>
      <c r="G1623" s="50" t="s">
        <v>982</v>
      </c>
      <c r="H1623" s="50" t="s">
        <v>3026</v>
      </c>
      <c r="I1623" s="49" t="s">
        <v>107</v>
      </c>
      <c r="J1623" s="50" t="s">
        <v>109</v>
      </c>
      <c r="K1623" s="50" t="s">
        <v>109</v>
      </c>
      <c r="L1623" s="50" t="s">
        <v>15</v>
      </c>
      <c r="M1623" s="50" t="s">
        <v>10</v>
      </c>
      <c r="N1623" s="50" t="s">
        <v>11</v>
      </c>
      <c r="O1623" s="48" t="s">
        <v>632</v>
      </c>
      <c r="P1623" s="45" t="s">
        <v>453</v>
      </c>
      <c r="Q1623" s="35" t="str">
        <f>MID(Tabla1[[#This Row],[Aplicación]],14,1)</f>
        <v>2</v>
      </c>
      <c r="R1623" s="35" t="s">
        <v>441</v>
      </c>
      <c r="S1623" s="35" t="str">
        <f>MID(Tabla1[[#This Row],[Aplicación]],6,2)</f>
        <v>04</v>
      </c>
      <c r="T1623" s="35" t="str">
        <f>VLOOKUP(Tabla1[[#This Row],[AREA]],Hoja1!A:B,2,FALSE)</f>
        <v>04. Planificación y recursos</v>
      </c>
      <c r="U1623" s="35" t="str">
        <f>MID(Tabla1[[#This Row],[Aplicación]],9,4)</f>
        <v>9231</v>
      </c>
      <c r="V1623" s="35" t="str">
        <f>VLOOKUP(Tabla1[[#This Row],[PROGRAMA]],Hoja1!A:B,2,FALSE)</f>
        <v>9231. Información, registro y gestión del padrón</v>
      </c>
      <c r="W1623" s="35" t="str">
        <f>MID(Tabla1[[#This Row],[Aplicación]],14,2)</f>
        <v>22</v>
      </c>
      <c r="X1623" s="35" t="str">
        <f>MID(Tabla1[[#This Row],[Aplicación]],14,6)</f>
        <v>22799</v>
      </c>
    </row>
    <row r="1624" spans="1:24" x14ac:dyDescent="0.25">
      <c r="A1624" s="49">
        <v>220219000180</v>
      </c>
      <c r="B1624" s="50" t="s">
        <v>9</v>
      </c>
      <c r="C1624" s="57">
        <v>44562</v>
      </c>
      <c r="D1624" s="49">
        <v>22022000038</v>
      </c>
      <c r="E1624" s="50" t="s">
        <v>1361</v>
      </c>
      <c r="F1624" s="58">
        <v>2114.48</v>
      </c>
      <c r="G1624" s="50" t="s">
        <v>818</v>
      </c>
      <c r="H1624" s="50" t="s">
        <v>3027</v>
      </c>
      <c r="I1624" s="49" t="s">
        <v>107</v>
      </c>
      <c r="J1624" s="50" t="s">
        <v>109</v>
      </c>
      <c r="K1624" s="50" t="s">
        <v>109</v>
      </c>
      <c r="L1624" s="50" t="s">
        <v>12</v>
      </c>
      <c r="M1624" s="50" t="s">
        <v>13</v>
      </c>
      <c r="N1624" s="50" t="s">
        <v>14</v>
      </c>
      <c r="O1624" s="48" t="s">
        <v>620</v>
      </c>
      <c r="P1624" s="45" t="s">
        <v>453</v>
      </c>
      <c r="Q1624" s="35" t="str">
        <f>MID(Tabla1[[#This Row],[Aplicación]],14,1)</f>
        <v>2</v>
      </c>
      <c r="R1624" s="35" t="s">
        <v>441</v>
      </c>
      <c r="S1624" s="35" t="str">
        <f>MID(Tabla1[[#This Row],[Aplicación]],6,2)</f>
        <v>10</v>
      </c>
      <c r="T1624" s="35" t="str">
        <f>VLOOKUP(Tabla1[[#This Row],[AREA]],Hoja1!A:B,2,FALSE)</f>
        <v>10. Servicios sociales y mediación comunitaria</v>
      </c>
      <c r="U1624" s="35" t="str">
        <f>MID(Tabla1[[#This Row],[Aplicación]],9,4)</f>
        <v>2311</v>
      </c>
      <c r="V1624" s="35" t="str">
        <f>VLOOKUP(Tabla1[[#This Row],[PROGRAMA]],Hoja1!A:B,2,FALSE)</f>
        <v>2311. Intervención social</v>
      </c>
      <c r="W1624" s="35" t="str">
        <f>MID(Tabla1[[#This Row],[Aplicación]],14,2)</f>
        <v>22</v>
      </c>
      <c r="X1624" s="35" t="str">
        <f>MID(Tabla1[[#This Row],[Aplicación]],14,6)</f>
        <v>22799</v>
      </c>
    </row>
    <row r="1625" spans="1:24" x14ac:dyDescent="0.25">
      <c r="A1625" s="49">
        <v>220220000113</v>
      </c>
      <c r="B1625" s="50" t="s">
        <v>9</v>
      </c>
      <c r="C1625" s="57">
        <v>44581</v>
      </c>
      <c r="D1625" s="49">
        <v>22022001315</v>
      </c>
      <c r="E1625" s="50" t="s">
        <v>1704</v>
      </c>
      <c r="F1625" s="58">
        <v>2420</v>
      </c>
      <c r="G1625" s="50" t="s">
        <v>869</v>
      </c>
      <c r="H1625" s="50" t="s">
        <v>3028</v>
      </c>
      <c r="I1625" s="49" t="s">
        <v>107</v>
      </c>
      <c r="J1625" s="50" t="s">
        <v>109</v>
      </c>
      <c r="K1625" s="50" t="s">
        <v>109</v>
      </c>
      <c r="L1625" s="50" t="s">
        <v>12</v>
      </c>
      <c r="M1625" s="50" t="s">
        <v>10</v>
      </c>
      <c r="N1625" s="50" t="s">
        <v>11</v>
      </c>
      <c r="O1625" s="48" t="s">
        <v>632</v>
      </c>
      <c r="P1625" s="45" t="s">
        <v>453</v>
      </c>
      <c r="Q1625" s="35" t="str">
        <f>MID(Tabla1[[#This Row],[Aplicación]],14,1)</f>
        <v>2</v>
      </c>
      <c r="R1625" s="35" t="s">
        <v>441</v>
      </c>
      <c r="S1625" s="35" t="str">
        <f>MID(Tabla1[[#This Row],[Aplicación]],6,2)</f>
        <v>11</v>
      </c>
      <c r="T1625" s="35" t="str">
        <f>VLOOKUP(Tabla1[[#This Row],[AREA]],Hoja1!A:B,2,FALSE)</f>
        <v>11. Salud pública y seguridad ciudadana</v>
      </c>
      <c r="U1625" s="35" t="str">
        <f>MID(Tabla1[[#This Row],[Aplicación]],9,4)</f>
        <v>1321</v>
      </c>
      <c r="V1625" s="35" t="str">
        <f>VLOOKUP(Tabla1[[#This Row],[PROGRAMA]],Hoja1!A:B,2,FALSE)</f>
        <v>1321. Policía municipal</v>
      </c>
      <c r="W1625" s="35" t="str">
        <f>MID(Tabla1[[#This Row],[Aplicación]],14,2)</f>
        <v>22</v>
      </c>
      <c r="X1625" s="35" t="str">
        <f>MID(Tabla1[[#This Row],[Aplicación]],14,6)</f>
        <v>22706</v>
      </c>
    </row>
    <row r="1626" spans="1:24" x14ac:dyDescent="0.25">
      <c r="A1626" s="49">
        <v>220220000081</v>
      </c>
      <c r="B1626" s="50" t="s">
        <v>9</v>
      </c>
      <c r="C1626" s="57">
        <v>44580</v>
      </c>
      <c r="D1626" s="49">
        <v>22022001182</v>
      </c>
      <c r="E1626" s="50" t="s">
        <v>1659</v>
      </c>
      <c r="F1626" s="58">
        <v>2093.3000000000002</v>
      </c>
      <c r="G1626" s="50" t="s">
        <v>78</v>
      </c>
      <c r="H1626" s="50" t="s">
        <v>3029</v>
      </c>
      <c r="I1626" s="49" t="s">
        <v>107</v>
      </c>
      <c r="J1626" s="50" t="s">
        <v>109</v>
      </c>
      <c r="K1626" s="50" t="s">
        <v>109</v>
      </c>
      <c r="L1626" s="50" t="s">
        <v>12</v>
      </c>
      <c r="M1626" s="50" t="s">
        <v>10</v>
      </c>
      <c r="N1626" s="50" t="s">
        <v>11</v>
      </c>
      <c r="O1626" s="48" t="s">
        <v>632</v>
      </c>
      <c r="P1626" s="45" t="s">
        <v>453</v>
      </c>
      <c r="Q1626" s="35" t="str">
        <f>MID(Tabla1[[#This Row],[Aplicación]],14,1)</f>
        <v>2</v>
      </c>
      <c r="R1626" s="35" t="s">
        <v>441</v>
      </c>
      <c r="S1626" s="35" t="str">
        <f>MID(Tabla1[[#This Row],[Aplicación]],6,2)</f>
        <v>05</v>
      </c>
      <c r="T1626" s="35" t="str">
        <f>VLOOKUP(Tabla1[[#This Row],[AREA]],Hoja1!A:B,2,FALSE)</f>
        <v>05. Innovación, desarrollo económico, empleo y comercio</v>
      </c>
      <c r="U1626" s="35" t="str">
        <f>MID(Tabla1[[#This Row],[Aplicación]],9,4)</f>
        <v>4331</v>
      </c>
      <c r="V1626" s="35" t="str">
        <f>VLOOKUP(Tabla1[[#This Row],[PROGRAMA]],Hoja1!A:B,2,FALSE)</f>
        <v>4331. Desarrollo empresarial</v>
      </c>
      <c r="W1626" s="35" t="str">
        <f>MID(Tabla1[[#This Row],[Aplicación]],14,2)</f>
        <v>22</v>
      </c>
      <c r="X1626" s="35" t="str">
        <f>MID(Tabla1[[#This Row],[Aplicación]],14,6)</f>
        <v>22799</v>
      </c>
    </row>
    <row r="1627" spans="1:24" x14ac:dyDescent="0.25">
      <c r="A1627" s="49">
        <v>220209000461</v>
      </c>
      <c r="B1627" s="50" t="s">
        <v>9</v>
      </c>
      <c r="C1627" s="57">
        <v>44562</v>
      </c>
      <c r="D1627" s="49">
        <v>22022000193</v>
      </c>
      <c r="E1627" s="50" t="s">
        <v>1429</v>
      </c>
      <c r="F1627" s="58">
        <v>122813.33</v>
      </c>
      <c r="G1627" s="50" t="s">
        <v>770</v>
      </c>
      <c r="H1627" s="50" t="s">
        <v>771</v>
      </c>
      <c r="I1627" s="49" t="s">
        <v>107</v>
      </c>
      <c r="J1627" s="50" t="s">
        <v>109</v>
      </c>
      <c r="K1627" s="50" t="s">
        <v>109</v>
      </c>
      <c r="L1627" s="50" t="s">
        <v>12</v>
      </c>
      <c r="M1627" s="50" t="s">
        <v>13</v>
      </c>
      <c r="N1627" s="50" t="s">
        <v>14</v>
      </c>
      <c r="O1627" s="48" t="s">
        <v>620</v>
      </c>
      <c r="P1627" s="45" t="s">
        <v>453</v>
      </c>
      <c r="Q1627" s="35" t="str">
        <f>MID(Tabla1[[#This Row],[Aplicación]],14,1)</f>
        <v>2</v>
      </c>
      <c r="R1627" s="35" t="s">
        <v>441</v>
      </c>
      <c r="S1627" s="35" t="str">
        <f>MID(Tabla1[[#This Row],[Aplicación]],6,2)</f>
        <v>06</v>
      </c>
      <c r="T1627" s="35" t="str">
        <f>VLOOKUP(Tabla1[[#This Row],[AREA]],Hoja1!A:B,2,FALSE)</f>
        <v>06. Educación, infancia, juventud e igualdad</v>
      </c>
      <c r="U1627" s="35" t="str">
        <f>MID(Tabla1[[#This Row],[Aplicación]],9,4)</f>
        <v>3231</v>
      </c>
      <c r="V1627" s="35" t="str">
        <f>VLOOKUP(Tabla1[[#This Row],[PROGRAMA]],Hoja1!A:B,2,FALSE)</f>
        <v>3231. Escuelas infantiles</v>
      </c>
      <c r="W1627" s="35" t="str">
        <f>MID(Tabla1[[#This Row],[Aplicación]],14,2)</f>
        <v>22</v>
      </c>
      <c r="X1627" s="35" t="str">
        <f>MID(Tabla1[[#This Row],[Aplicación]],14,6)</f>
        <v>22799</v>
      </c>
    </row>
    <row r="1628" spans="1:24" x14ac:dyDescent="0.25">
      <c r="A1628" s="49">
        <v>220219001145</v>
      </c>
      <c r="B1628" s="50" t="s">
        <v>9</v>
      </c>
      <c r="C1628" s="57">
        <v>44562</v>
      </c>
      <c r="D1628" s="49">
        <v>22022000525</v>
      </c>
      <c r="E1628" s="50" t="s">
        <v>3030</v>
      </c>
      <c r="F1628" s="58">
        <v>4840</v>
      </c>
      <c r="G1628" s="50" t="s">
        <v>55</v>
      </c>
      <c r="H1628" s="50" t="s">
        <v>3031</v>
      </c>
      <c r="I1628" s="49" t="s">
        <v>107</v>
      </c>
      <c r="J1628" s="50" t="s">
        <v>109</v>
      </c>
      <c r="K1628" s="50" t="s">
        <v>109</v>
      </c>
      <c r="L1628" s="50" t="s">
        <v>17</v>
      </c>
      <c r="M1628" s="50" t="s">
        <v>10</v>
      </c>
      <c r="N1628" s="50" t="s">
        <v>11</v>
      </c>
      <c r="O1628" s="48" t="s">
        <v>632</v>
      </c>
      <c r="P1628" s="45" t="s">
        <v>453</v>
      </c>
      <c r="Q1628" s="35" t="str">
        <f>MID(Tabla1[[#This Row],[Aplicación]],14,1)</f>
        <v>2</v>
      </c>
      <c r="R1628" s="35" t="s">
        <v>441</v>
      </c>
      <c r="S1628" s="35" t="str">
        <f>MID(Tabla1[[#This Row],[Aplicación]],6,2)</f>
        <v>10</v>
      </c>
      <c r="T1628" s="35" t="str">
        <f>VLOOKUP(Tabla1[[#This Row],[AREA]],Hoja1!A:B,2,FALSE)</f>
        <v>10. Servicios sociales y mediación comunitaria</v>
      </c>
      <c r="U1628" s="35" t="str">
        <f>MID(Tabla1[[#This Row],[Aplicación]],9,4)</f>
        <v>2313</v>
      </c>
      <c r="V1628" s="35" t="str">
        <f>VLOOKUP(Tabla1[[#This Row],[PROGRAMA]],Hoja1!A:B,2,FALSE)</f>
        <v>2313. Dirección del área de servicios sociales</v>
      </c>
      <c r="W1628" s="35" t="str">
        <f>MID(Tabla1[[#This Row],[Aplicación]],14,2)</f>
        <v>22</v>
      </c>
      <c r="X1628" s="35" t="str">
        <f>MID(Tabla1[[#This Row],[Aplicación]],14,6)</f>
        <v>22699</v>
      </c>
    </row>
    <row r="1629" spans="1:24" x14ac:dyDescent="0.25">
      <c r="A1629" s="49">
        <v>220219000534</v>
      </c>
      <c r="B1629" s="50" t="s">
        <v>9</v>
      </c>
      <c r="C1629" s="57">
        <v>44562</v>
      </c>
      <c r="D1629" s="49">
        <v>22022000081</v>
      </c>
      <c r="E1629" s="50" t="s">
        <v>1408</v>
      </c>
      <c r="F1629" s="58">
        <v>3900</v>
      </c>
      <c r="G1629" s="50" t="s">
        <v>1134</v>
      </c>
      <c r="H1629" s="50" t="s">
        <v>3032</v>
      </c>
      <c r="I1629" s="49" t="s">
        <v>107</v>
      </c>
      <c r="J1629" s="50" t="s">
        <v>108</v>
      </c>
      <c r="K1629" s="50" t="s">
        <v>108</v>
      </c>
      <c r="L1629" s="50" t="s">
        <v>15</v>
      </c>
      <c r="M1629" s="50" t="s">
        <v>13</v>
      </c>
      <c r="N1629" s="50" t="s">
        <v>16</v>
      </c>
      <c r="O1629" s="48" t="s">
        <v>620</v>
      </c>
      <c r="P1629" s="45" t="s">
        <v>453</v>
      </c>
      <c r="Q1629" s="35" t="str">
        <f>MID(Tabla1[[#This Row],[Aplicación]],14,1)</f>
        <v>2</v>
      </c>
      <c r="R1629" s="35" t="s">
        <v>441</v>
      </c>
      <c r="S1629" s="35" t="str">
        <f>MID(Tabla1[[#This Row],[Aplicación]],6,2)</f>
        <v>04</v>
      </c>
      <c r="T1629" s="35" t="str">
        <f>VLOOKUP(Tabla1[[#This Row],[AREA]],Hoja1!A:B,2,FALSE)</f>
        <v>04. Planificación y recursos</v>
      </c>
      <c r="U1629" s="35" t="str">
        <f>MID(Tabla1[[#This Row],[Aplicación]],9,4)</f>
        <v>9204</v>
      </c>
      <c r="V1629" s="35" t="str">
        <f>VLOOKUP(Tabla1[[#This Row],[PROGRAMA]],Hoja1!A:B,2,FALSE)</f>
        <v>9204. Tecnologías de la información y comunicación</v>
      </c>
      <c r="W1629" s="35" t="str">
        <f>MID(Tabla1[[#This Row],[Aplicación]],14,2)</f>
        <v>21</v>
      </c>
      <c r="X1629" s="35" t="str">
        <f>MID(Tabla1[[#This Row],[Aplicación]],14,6)</f>
        <v>216</v>
      </c>
    </row>
    <row r="1630" spans="1:24" x14ac:dyDescent="0.25">
      <c r="A1630" s="49">
        <v>220220010109</v>
      </c>
      <c r="B1630" s="50" t="s">
        <v>26</v>
      </c>
      <c r="C1630" s="57">
        <v>44638</v>
      </c>
      <c r="D1630" s="49">
        <v>22022002863</v>
      </c>
      <c r="E1630" s="50" t="s">
        <v>1475</v>
      </c>
      <c r="F1630" s="58">
        <v>2322.62</v>
      </c>
      <c r="G1630" s="50" t="s">
        <v>60</v>
      </c>
      <c r="H1630" s="50" t="s">
        <v>3033</v>
      </c>
      <c r="I1630" s="49" t="s">
        <v>197</v>
      </c>
      <c r="J1630" s="50" t="s">
        <v>109</v>
      </c>
      <c r="K1630" s="50" t="s">
        <v>109</v>
      </c>
      <c r="L1630" s="50" t="s">
        <v>12</v>
      </c>
      <c r="M1630" s="50" t="s">
        <v>10</v>
      </c>
      <c r="N1630" s="50" t="s">
        <v>11</v>
      </c>
      <c r="O1630" s="48" t="s">
        <v>632</v>
      </c>
      <c r="P1630" s="45" t="s">
        <v>453</v>
      </c>
      <c r="Q1630" s="35" t="str">
        <f>MID(Tabla1[[#This Row],[Aplicación]],14,1)</f>
        <v>2</v>
      </c>
      <c r="R1630" s="35" t="s">
        <v>441</v>
      </c>
      <c r="S1630" s="35" t="str">
        <f>MID(Tabla1[[#This Row],[Aplicación]],6,2)</f>
        <v>06</v>
      </c>
      <c r="T1630" s="35" t="str">
        <f>VLOOKUP(Tabla1[[#This Row],[AREA]],Hoja1!A:B,2,FALSE)</f>
        <v>06. Educación, infancia, juventud e igualdad</v>
      </c>
      <c r="U1630" s="35" t="str">
        <f>MID(Tabla1[[#This Row],[Aplicación]],9,4)</f>
        <v>3232</v>
      </c>
      <c r="V1630" s="35" t="str">
        <f>VLOOKUP(Tabla1[[#This Row],[PROGRAMA]],Hoja1!A:B,2,FALSE)</f>
        <v>3232. Conservación y mantenimiento centros educación infantil y primaria</v>
      </c>
      <c r="W1630" s="35" t="str">
        <f>MID(Tabla1[[#This Row],[Aplicación]],14,2)</f>
        <v>21</v>
      </c>
      <c r="X1630" s="35" t="str">
        <f>MID(Tabla1[[#This Row],[Aplicación]],14,6)</f>
        <v>213</v>
      </c>
    </row>
    <row r="1631" spans="1:24" x14ac:dyDescent="0.25">
      <c r="A1631" s="49">
        <v>220220000349</v>
      </c>
      <c r="B1631" s="50" t="s">
        <v>9</v>
      </c>
      <c r="C1631" s="57">
        <v>44585</v>
      </c>
      <c r="D1631" s="49">
        <v>22022001272</v>
      </c>
      <c r="E1631" s="50" t="s">
        <v>1475</v>
      </c>
      <c r="F1631" s="58">
        <v>1210</v>
      </c>
      <c r="G1631" s="50" t="s">
        <v>60</v>
      </c>
      <c r="H1631" s="50" t="s">
        <v>3034</v>
      </c>
      <c r="I1631" s="49" t="s">
        <v>107</v>
      </c>
      <c r="J1631" s="50" t="s">
        <v>109</v>
      </c>
      <c r="K1631" s="50" t="s">
        <v>109</v>
      </c>
      <c r="L1631" s="50" t="s">
        <v>12</v>
      </c>
      <c r="M1631" s="50" t="s">
        <v>10</v>
      </c>
      <c r="N1631" s="50" t="s">
        <v>11</v>
      </c>
      <c r="O1631" s="48" t="s">
        <v>632</v>
      </c>
      <c r="P1631" s="45" t="s">
        <v>453</v>
      </c>
      <c r="Q1631" s="35" t="str">
        <f>MID(Tabla1[[#This Row],[Aplicación]],14,1)</f>
        <v>2</v>
      </c>
      <c r="R1631" s="35" t="s">
        <v>441</v>
      </c>
      <c r="S1631" s="35" t="str">
        <f>MID(Tabla1[[#This Row],[Aplicación]],6,2)</f>
        <v>06</v>
      </c>
      <c r="T1631" s="35" t="str">
        <f>VLOOKUP(Tabla1[[#This Row],[AREA]],Hoja1!A:B,2,FALSE)</f>
        <v>06. Educación, infancia, juventud e igualdad</v>
      </c>
      <c r="U1631" s="35" t="str">
        <f>MID(Tabla1[[#This Row],[Aplicación]],9,4)</f>
        <v>3232</v>
      </c>
      <c r="V1631" s="35" t="str">
        <f>VLOOKUP(Tabla1[[#This Row],[PROGRAMA]],Hoja1!A:B,2,FALSE)</f>
        <v>3232. Conservación y mantenimiento centros educación infantil y primaria</v>
      </c>
      <c r="W1631" s="35" t="str">
        <f>MID(Tabla1[[#This Row],[Aplicación]],14,2)</f>
        <v>21</v>
      </c>
      <c r="X1631" s="35" t="str">
        <f>MID(Tabla1[[#This Row],[Aplicación]],14,6)</f>
        <v>213</v>
      </c>
    </row>
    <row r="1632" spans="1:24" x14ac:dyDescent="0.25">
      <c r="A1632" s="49">
        <v>220209000703</v>
      </c>
      <c r="B1632" s="50" t="s">
        <v>9</v>
      </c>
      <c r="C1632" s="57">
        <v>44562</v>
      </c>
      <c r="D1632" s="49">
        <v>22022000251</v>
      </c>
      <c r="E1632" s="50" t="s">
        <v>1361</v>
      </c>
      <c r="F1632" s="58">
        <v>2000</v>
      </c>
      <c r="G1632" s="50" t="s">
        <v>46</v>
      </c>
      <c r="H1632" s="50" t="s">
        <v>876</v>
      </c>
      <c r="I1632" s="49" t="s">
        <v>107</v>
      </c>
      <c r="J1632" s="50" t="s">
        <v>109</v>
      </c>
      <c r="K1632" s="50" t="s">
        <v>109</v>
      </c>
      <c r="L1632" s="50" t="s">
        <v>12</v>
      </c>
      <c r="M1632" s="50" t="s">
        <v>13</v>
      </c>
      <c r="N1632" s="50" t="s">
        <v>14</v>
      </c>
      <c r="O1632" s="48" t="s">
        <v>620</v>
      </c>
      <c r="P1632" s="45" t="s">
        <v>453</v>
      </c>
      <c r="Q1632" s="35" t="str">
        <f>MID(Tabla1[[#This Row],[Aplicación]],14,1)</f>
        <v>2</v>
      </c>
      <c r="R1632" s="35" t="s">
        <v>441</v>
      </c>
      <c r="S1632" s="35" t="str">
        <f>MID(Tabla1[[#This Row],[Aplicación]],6,2)</f>
        <v>10</v>
      </c>
      <c r="T1632" s="35" t="str">
        <f>VLOOKUP(Tabla1[[#This Row],[AREA]],Hoja1!A:B,2,FALSE)</f>
        <v>10. Servicios sociales y mediación comunitaria</v>
      </c>
      <c r="U1632" s="35" t="str">
        <f>MID(Tabla1[[#This Row],[Aplicación]],9,4)</f>
        <v>2311</v>
      </c>
      <c r="V1632" s="35" t="str">
        <f>VLOOKUP(Tabla1[[#This Row],[PROGRAMA]],Hoja1!A:B,2,FALSE)</f>
        <v>2311. Intervención social</v>
      </c>
      <c r="W1632" s="35" t="str">
        <f>MID(Tabla1[[#This Row],[Aplicación]],14,2)</f>
        <v>22</v>
      </c>
      <c r="X1632" s="35" t="str">
        <f>MID(Tabla1[[#This Row],[Aplicación]],14,6)</f>
        <v>22799</v>
      </c>
    </row>
    <row r="1633" spans="1:24" x14ac:dyDescent="0.25">
      <c r="A1633" s="49">
        <v>220219000391</v>
      </c>
      <c r="B1633" s="50" t="s">
        <v>9</v>
      </c>
      <c r="C1633" s="57">
        <v>44562</v>
      </c>
      <c r="D1633" s="49">
        <v>22022000507</v>
      </c>
      <c r="E1633" s="50" t="s">
        <v>3035</v>
      </c>
      <c r="F1633" s="58">
        <v>2000</v>
      </c>
      <c r="G1633" s="50" t="s">
        <v>158</v>
      </c>
      <c r="H1633" s="50" t="s">
        <v>3036</v>
      </c>
      <c r="I1633" s="49" t="s">
        <v>107</v>
      </c>
      <c r="J1633" s="50" t="s">
        <v>108</v>
      </c>
      <c r="K1633" s="50" t="s">
        <v>108</v>
      </c>
      <c r="L1633" s="50" t="s">
        <v>15</v>
      </c>
      <c r="M1633" s="50" t="s">
        <v>13</v>
      </c>
      <c r="N1633" s="50" t="s">
        <v>16</v>
      </c>
      <c r="O1633" s="48" t="s">
        <v>620</v>
      </c>
      <c r="P1633" s="45" t="s">
        <v>453</v>
      </c>
      <c r="Q1633" s="35" t="str">
        <f>MID(Tabla1[[#This Row],[Aplicación]],14,1)</f>
        <v>2</v>
      </c>
      <c r="R1633" s="35" t="s">
        <v>441</v>
      </c>
      <c r="S1633" s="35" t="str">
        <f>MID(Tabla1[[#This Row],[Aplicación]],6,2)</f>
        <v>08</v>
      </c>
      <c r="T1633" s="35" t="str">
        <f>VLOOKUP(Tabla1[[#This Row],[AREA]],Hoja1!A:B,2,FALSE)</f>
        <v>08. Movilidad y espacio urbano</v>
      </c>
      <c r="U1633" s="35" t="str">
        <f>MID(Tabla1[[#This Row],[Aplicación]],9,4)</f>
        <v>1341</v>
      </c>
      <c r="V1633" s="35" t="str">
        <f>VLOOKUP(Tabla1[[#This Row],[PROGRAMA]],Hoja1!A:B,2,FALSE)</f>
        <v>1341. Movilidad</v>
      </c>
      <c r="W1633" s="35" t="str">
        <f>MID(Tabla1[[#This Row],[Aplicación]],14,2)</f>
        <v>22</v>
      </c>
      <c r="X1633" s="35" t="str">
        <f>MID(Tabla1[[#This Row],[Aplicación]],14,6)</f>
        <v>22103</v>
      </c>
    </row>
    <row r="1634" spans="1:24" x14ac:dyDescent="0.25">
      <c r="A1634" s="49">
        <v>220220003445</v>
      </c>
      <c r="B1634" s="50" t="s">
        <v>9</v>
      </c>
      <c r="C1634" s="57">
        <v>44603</v>
      </c>
      <c r="D1634" s="49">
        <v>22022002119</v>
      </c>
      <c r="E1634" s="50" t="s">
        <v>1841</v>
      </c>
      <c r="F1634" s="58">
        <v>1996.5</v>
      </c>
      <c r="G1634" s="50" t="s">
        <v>848</v>
      </c>
      <c r="H1634" s="50" t="s">
        <v>3037</v>
      </c>
      <c r="I1634" s="49" t="s">
        <v>107</v>
      </c>
      <c r="J1634" s="50" t="s">
        <v>109</v>
      </c>
      <c r="K1634" s="50" t="s">
        <v>109</v>
      </c>
      <c r="L1634" s="50" t="s">
        <v>12</v>
      </c>
      <c r="M1634" s="50" t="s">
        <v>10</v>
      </c>
      <c r="N1634" s="50" t="s">
        <v>11</v>
      </c>
      <c r="O1634" s="48" t="s">
        <v>632</v>
      </c>
      <c r="P1634" s="45" t="s">
        <v>453</v>
      </c>
      <c r="Q1634" s="35" t="str">
        <f>MID(Tabla1[[#This Row],[Aplicación]],14,1)</f>
        <v>2</v>
      </c>
      <c r="R1634" s="35" t="s">
        <v>441</v>
      </c>
      <c r="S1634" s="35" t="str">
        <f>MID(Tabla1[[#This Row],[Aplicación]],6,2)</f>
        <v>03</v>
      </c>
      <c r="T1634" s="35" t="str">
        <f>VLOOKUP(Tabla1[[#This Row],[AREA]],Hoja1!A:B,2,FALSE)</f>
        <v>03. Participación ciudadana y deportes</v>
      </c>
      <c r="U1634" s="35" t="str">
        <f>MID(Tabla1[[#This Row],[Aplicación]],9,4)</f>
        <v>9241</v>
      </c>
      <c r="V1634" s="35" t="str">
        <f>VLOOKUP(Tabla1[[#This Row],[PROGRAMA]],Hoja1!A:B,2,FALSE)</f>
        <v>9241. Participación ciudadana</v>
      </c>
      <c r="W1634" s="35" t="str">
        <f>MID(Tabla1[[#This Row],[Aplicación]],14,2)</f>
        <v>22</v>
      </c>
      <c r="X1634" s="35" t="str">
        <f>MID(Tabla1[[#This Row],[Aplicación]],14,6)</f>
        <v>22602</v>
      </c>
    </row>
    <row r="1635" spans="1:24" x14ac:dyDescent="0.25">
      <c r="A1635" s="49">
        <v>220219000334</v>
      </c>
      <c r="B1635" s="50" t="s">
        <v>9</v>
      </c>
      <c r="C1635" s="57">
        <v>44562</v>
      </c>
      <c r="D1635" s="49">
        <v>22022001978</v>
      </c>
      <c r="E1635" s="50" t="s">
        <v>1616</v>
      </c>
      <c r="F1635" s="58">
        <v>90750</v>
      </c>
      <c r="G1635" s="50" t="s">
        <v>948</v>
      </c>
      <c r="H1635" s="50" t="s">
        <v>3038</v>
      </c>
      <c r="I1635" s="49" t="s">
        <v>107</v>
      </c>
      <c r="J1635" s="50" t="s">
        <v>949</v>
      </c>
      <c r="K1635" s="50" t="s">
        <v>108</v>
      </c>
      <c r="L1635" s="50" t="s">
        <v>15</v>
      </c>
      <c r="M1635" s="50" t="s">
        <v>13</v>
      </c>
      <c r="N1635" s="50" t="s">
        <v>14</v>
      </c>
      <c r="O1635" s="48" t="s">
        <v>620</v>
      </c>
      <c r="P1635" s="45" t="s">
        <v>453</v>
      </c>
      <c r="Q1635" s="35" t="str">
        <f>MID(Tabla1[[#This Row],[Aplicación]],14,1)</f>
        <v>6</v>
      </c>
      <c r="R1635" s="35" t="s">
        <v>442</v>
      </c>
      <c r="S1635" s="35" t="str">
        <f>MID(Tabla1[[#This Row],[Aplicación]],6,2)</f>
        <v>04</v>
      </c>
      <c r="T1635" s="35" t="str">
        <f>VLOOKUP(Tabla1[[#This Row],[AREA]],Hoja1!A:B,2,FALSE)</f>
        <v>04. Planificación y recursos</v>
      </c>
      <c r="U1635" s="35" t="str">
        <f>MID(Tabla1[[#This Row],[Aplicación]],9,4)</f>
        <v>9204</v>
      </c>
      <c r="V1635" s="35" t="str">
        <f>VLOOKUP(Tabla1[[#This Row],[PROGRAMA]],Hoja1!A:B,2,FALSE)</f>
        <v>9204. Tecnologías de la información y comunicación</v>
      </c>
      <c r="W1635" s="35" t="str">
        <f>MID(Tabla1[[#This Row],[Aplicación]],14,2)</f>
        <v>62</v>
      </c>
      <c r="X1635" s="35" t="str">
        <f>MID(Tabla1[[#This Row],[Aplicación]],14,6)</f>
        <v>626</v>
      </c>
    </row>
    <row r="1636" spans="1:24" x14ac:dyDescent="0.25">
      <c r="A1636" s="49">
        <v>220219000127</v>
      </c>
      <c r="B1636" s="50" t="s">
        <v>9</v>
      </c>
      <c r="C1636" s="57">
        <v>44562</v>
      </c>
      <c r="D1636" s="49">
        <v>22022000377</v>
      </c>
      <c r="E1636" s="50" t="s">
        <v>2763</v>
      </c>
      <c r="F1636" s="58">
        <v>29645</v>
      </c>
      <c r="G1636" s="50" t="s">
        <v>178</v>
      </c>
      <c r="H1636" s="50" t="s">
        <v>774</v>
      </c>
      <c r="I1636" s="49" t="s">
        <v>107</v>
      </c>
      <c r="J1636" s="50" t="s">
        <v>545</v>
      </c>
      <c r="K1636" s="50" t="s">
        <v>141</v>
      </c>
      <c r="L1636" s="50" t="s">
        <v>12</v>
      </c>
      <c r="M1636" s="50" t="s">
        <v>13</v>
      </c>
      <c r="N1636" s="50" t="s">
        <v>14</v>
      </c>
      <c r="O1636" s="48" t="s">
        <v>620</v>
      </c>
      <c r="P1636" s="45" t="s">
        <v>453</v>
      </c>
      <c r="Q1636" s="35" t="str">
        <f>MID(Tabla1[[#This Row],[Aplicación]],14,1)</f>
        <v>2</v>
      </c>
      <c r="R1636" s="35" t="s">
        <v>441</v>
      </c>
      <c r="S1636" s="35" t="str">
        <f>MID(Tabla1[[#This Row],[Aplicación]],6,2)</f>
        <v>11</v>
      </c>
      <c r="T1636" s="35" t="str">
        <f>VLOOKUP(Tabla1[[#This Row],[AREA]],Hoja1!A:B,2,FALSE)</f>
        <v>11. Salud pública y seguridad ciudadana</v>
      </c>
      <c r="U1636" s="35" t="str">
        <f>MID(Tabla1[[#This Row],[Aplicación]],9,4)</f>
        <v>3111</v>
      </c>
      <c r="V1636" s="35" t="str">
        <f>VLOOKUP(Tabla1[[#This Row],[PROGRAMA]],Hoja1!A:B,2,FALSE)</f>
        <v>3111. Protección de la salubridad pública</v>
      </c>
      <c r="W1636" s="35" t="str">
        <f>MID(Tabla1[[#This Row],[Aplicación]],14,2)</f>
        <v>22</v>
      </c>
      <c r="X1636" s="35" t="str">
        <f>MID(Tabla1[[#This Row],[Aplicación]],14,6)</f>
        <v>22706</v>
      </c>
    </row>
    <row r="1637" spans="1:24" x14ac:dyDescent="0.25">
      <c r="A1637" s="49">
        <v>220220002545</v>
      </c>
      <c r="B1637" s="50" t="s">
        <v>9</v>
      </c>
      <c r="C1637" s="57">
        <v>44596</v>
      </c>
      <c r="D1637" s="49">
        <v>22022001891</v>
      </c>
      <c r="E1637" s="50" t="s">
        <v>1841</v>
      </c>
      <c r="F1637" s="58">
        <v>1883.97</v>
      </c>
      <c r="G1637" s="50" t="s">
        <v>503</v>
      </c>
      <c r="H1637" s="50" t="s">
        <v>3039</v>
      </c>
      <c r="I1637" s="49" t="s">
        <v>107</v>
      </c>
      <c r="J1637" s="50" t="s">
        <v>575</v>
      </c>
      <c r="K1637" s="50" t="s">
        <v>141</v>
      </c>
      <c r="L1637" s="50" t="s">
        <v>12</v>
      </c>
      <c r="M1637" s="50" t="s">
        <v>10</v>
      </c>
      <c r="N1637" s="50" t="s">
        <v>11</v>
      </c>
      <c r="O1637" s="48" t="s">
        <v>632</v>
      </c>
      <c r="P1637" s="45" t="s">
        <v>453</v>
      </c>
      <c r="Q1637" s="35" t="str">
        <f>MID(Tabla1[[#This Row],[Aplicación]],14,1)</f>
        <v>2</v>
      </c>
      <c r="R1637" s="35" t="s">
        <v>441</v>
      </c>
      <c r="S1637" s="35" t="str">
        <f>MID(Tabla1[[#This Row],[Aplicación]],6,2)</f>
        <v>03</v>
      </c>
      <c r="T1637" s="35" t="str">
        <f>VLOOKUP(Tabla1[[#This Row],[AREA]],Hoja1!A:B,2,FALSE)</f>
        <v>03. Participación ciudadana y deportes</v>
      </c>
      <c r="U1637" s="35" t="str">
        <f>MID(Tabla1[[#This Row],[Aplicación]],9,4)</f>
        <v>9241</v>
      </c>
      <c r="V1637" s="35" t="str">
        <f>VLOOKUP(Tabla1[[#This Row],[PROGRAMA]],Hoja1!A:B,2,FALSE)</f>
        <v>9241. Participación ciudadana</v>
      </c>
      <c r="W1637" s="35" t="str">
        <f>MID(Tabla1[[#This Row],[Aplicación]],14,2)</f>
        <v>22</v>
      </c>
      <c r="X1637" s="35" t="str">
        <f>MID(Tabla1[[#This Row],[Aplicación]],14,6)</f>
        <v>22602</v>
      </c>
    </row>
    <row r="1638" spans="1:24" x14ac:dyDescent="0.25">
      <c r="A1638" s="49">
        <v>220219000234</v>
      </c>
      <c r="B1638" s="50" t="s">
        <v>9</v>
      </c>
      <c r="C1638" s="57">
        <v>44562</v>
      </c>
      <c r="D1638" s="49">
        <v>22022000424</v>
      </c>
      <c r="E1638" s="50" t="s">
        <v>2203</v>
      </c>
      <c r="F1638" s="58">
        <v>1882.22</v>
      </c>
      <c r="G1638" s="50" t="s">
        <v>458</v>
      </c>
      <c r="H1638" s="50" t="s">
        <v>3040</v>
      </c>
      <c r="I1638" s="49" t="s">
        <v>107</v>
      </c>
      <c r="J1638" s="50" t="s">
        <v>109</v>
      </c>
      <c r="K1638" s="50" t="s">
        <v>109</v>
      </c>
      <c r="L1638" s="50" t="s">
        <v>12</v>
      </c>
      <c r="M1638" s="50" t="s">
        <v>13</v>
      </c>
      <c r="N1638" s="50" t="s">
        <v>14</v>
      </c>
      <c r="O1638" s="48" t="s">
        <v>631</v>
      </c>
      <c r="P1638" s="45" t="s">
        <v>453</v>
      </c>
      <c r="Q1638" s="35" t="str">
        <f>MID(Tabla1[[#This Row],[Aplicación]],14,1)</f>
        <v>2</v>
      </c>
      <c r="R1638" s="35" t="s">
        <v>441</v>
      </c>
      <c r="S1638" s="35" t="str">
        <f>MID(Tabla1[[#This Row],[Aplicación]],6,2)</f>
        <v>05</v>
      </c>
      <c r="T1638" s="35" t="str">
        <f>VLOOKUP(Tabla1[[#This Row],[AREA]],Hoja1!A:B,2,FALSE)</f>
        <v>05. Innovación, desarrollo económico, empleo y comercio</v>
      </c>
      <c r="U1638" s="35" t="str">
        <f>MID(Tabla1[[#This Row],[Aplicación]],9,4)</f>
        <v>4331</v>
      </c>
      <c r="V1638" s="35" t="str">
        <f>VLOOKUP(Tabla1[[#This Row],[PROGRAMA]],Hoja1!A:B,2,FALSE)</f>
        <v>4331. Desarrollo empresarial</v>
      </c>
      <c r="W1638" s="35" t="str">
        <f>MID(Tabla1[[#This Row],[Aplicación]],14,2)</f>
        <v>22</v>
      </c>
      <c r="X1638" s="35" t="str">
        <f>MID(Tabla1[[#This Row],[Aplicación]],14,6)</f>
        <v>22602</v>
      </c>
    </row>
    <row r="1639" spans="1:24" x14ac:dyDescent="0.25">
      <c r="A1639" s="49">
        <v>220220012522</v>
      </c>
      <c r="B1639" s="50" t="s">
        <v>26</v>
      </c>
      <c r="C1639" s="57">
        <v>44644</v>
      </c>
      <c r="D1639" s="49">
        <v>22022002416</v>
      </c>
      <c r="E1639" s="50" t="s">
        <v>1759</v>
      </c>
      <c r="F1639" s="58">
        <v>1188.3399999999999</v>
      </c>
      <c r="G1639" s="50" t="s">
        <v>153</v>
      </c>
      <c r="H1639" s="50" t="s">
        <v>3041</v>
      </c>
      <c r="I1639" s="49" t="s">
        <v>197</v>
      </c>
      <c r="J1639" s="50" t="s">
        <v>126</v>
      </c>
      <c r="K1639" s="50" t="s">
        <v>126</v>
      </c>
      <c r="L1639" s="50" t="s">
        <v>12</v>
      </c>
      <c r="M1639" s="50" t="s">
        <v>13</v>
      </c>
      <c r="N1639" s="50" t="s">
        <v>14</v>
      </c>
      <c r="O1639" s="48" t="s">
        <v>620</v>
      </c>
      <c r="P1639" s="45" t="s">
        <v>453</v>
      </c>
      <c r="Q1639" s="35" t="str">
        <f>MID(Tabla1[[#This Row],[Aplicación]],14,1)</f>
        <v>2</v>
      </c>
      <c r="R1639" s="35" t="s">
        <v>441</v>
      </c>
      <c r="S1639" s="35" t="str">
        <f>MID(Tabla1[[#This Row],[Aplicación]],6,2)</f>
        <v>02</v>
      </c>
      <c r="T1639" s="35" t="str">
        <f>VLOOKUP(Tabla1[[#This Row],[AREA]],Hoja1!A:B,2,FALSE)</f>
        <v>02. Planeamiento urbanístico y vivienda</v>
      </c>
      <c r="U1639" s="35" t="str">
        <f>MID(Tabla1[[#This Row],[Aplicación]],9,4)</f>
        <v>9332</v>
      </c>
      <c r="V1639" s="35" t="str">
        <f>VLOOKUP(Tabla1[[#This Row],[PROGRAMA]],Hoja1!A:B,2,FALSE)</f>
        <v>9332. Mantenimiento de edificios e instalaciones municipales</v>
      </c>
      <c r="W1639" s="35" t="str">
        <f>MID(Tabla1[[#This Row],[Aplicación]],14,2)</f>
        <v>21</v>
      </c>
      <c r="X1639" s="35" t="str">
        <f>MID(Tabla1[[#This Row],[Aplicación]],14,6)</f>
        <v>213</v>
      </c>
    </row>
    <row r="1640" spans="1:24" x14ac:dyDescent="0.25">
      <c r="A1640" s="49">
        <v>220220003479</v>
      </c>
      <c r="B1640" s="50" t="s">
        <v>9</v>
      </c>
      <c r="C1640" s="57">
        <v>44606</v>
      </c>
      <c r="D1640" s="49">
        <v>22022001787</v>
      </c>
      <c r="E1640" s="50" t="s">
        <v>2738</v>
      </c>
      <c r="F1640" s="58">
        <v>10560</v>
      </c>
      <c r="G1640" s="50" t="s">
        <v>954</v>
      </c>
      <c r="H1640" s="50" t="s">
        <v>3042</v>
      </c>
      <c r="I1640" s="49" t="s">
        <v>107</v>
      </c>
      <c r="J1640" s="50" t="s">
        <v>108</v>
      </c>
      <c r="K1640" s="50" t="s">
        <v>108</v>
      </c>
      <c r="L1640" s="50" t="s">
        <v>12</v>
      </c>
      <c r="M1640" s="50" t="s">
        <v>13</v>
      </c>
      <c r="N1640" s="50" t="s">
        <v>14</v>
      </c>
      <c r="O1640" s="48" t="s">
        <v>620</v>
      </c>
      <c r="P1640" s="45" t="s">
        <v>453</v>
      </c>
      <c r="Q1640" s="35" t="str">
        <f>MID(Tabla1[[#This Row],[Aplicación]],14,1)</f>
        <v>2</v>
      </c>
      <c r="R1640" s="35" t="s">
        <v>441</v>
      </c>
      <c r="S1640" s="35" t="str">
        <f>MID(Tabla1[[#This Row],[Aplicación]],6,2)</f>
        <v>10</v>
      </c>
      <c r="T1640" s="35" t="str">
        <f>VLOOKUP(Tabla1[[#This Row],[AREA]],Hoja1!A:B,2,FALSE)</f>
        <v>10. Servicios sociales y mediación comunitaria</v>
      </c>
      <c r="U1640" s="35" t="str">
        <f>MID(Tabla1[[#This Row],[Aplicación]],9,4)</f>
        <v>2412</v>
      </c>
      <c r="V1640" s="35" t="str">
        <f>VLOOKUP(Tabla1[[#This Row],[PROGRAMA]],Hoja1!A:B,2,FALSE)</f>
        <v>2412. Formación para el empleo</v>
      </c>
      <c r="W1640" s="35" t="str">
        <f>MID(Tabla1[[#This Row],[Aplicación]],14,2)</f>
        <v>22</v>
      </c>
      <c r="X1640" s="35" t="str">
        <f>MID(Tabla1[[#This Row],[Aplicación]],14,6)</f>
        <v>22799</v>
      </c>
    </row>
    <row r="1641" spans="1:24" x14ac:dyDescent="0.25">
      <c r="A1641" s="49">
        <v>220169000655</v>
      </c>
      <c r="B1641" s="50" t="s">
        <v>9</v>
      </c>
      <c r="C1641" s="57">
        <v>44562</v>
      </c>
      <c r="D1641" s="49">
        <v>22022000144</v>
      </c>
      <c r="E1641" s="50" t="s">
        <v>1367</v>
      </c>
      <c r="F1641" s="58">
        <v>1880</v>
      </c>
      <c r="G1641" s="50" t="s">
        <v>3043</v>
      </c>
      <c r="H1641" s="50" t="s">
        <v>3044</v>
      </c>
      <c r="I1641" s="49" t="s">
        <v>107</v>
      </c>
      <c r="J1641" s="50" t="s">
        <v>126</v>
      </c>
      <c r="K1641" s="50" t="s">
        <v>126</v>
      </c>
      <c r="L1641" s="50" t="s">
        <v>19</v>
      </c>
      <c r="M1641" s="50" t="s">
        <v>13</v>
      </c>
      <c r="N1641" s="50" t="s">
        <v>14</v>
      </c>
      <c r="O1641" s="48" t="s">
        <v>620</v>
      </c>
      <c r="P1641" s="45" t="s">
        <v>453</v>
      </c>
      <c r="Q1641" s="35" t="str">
        <f>MID(Tabla1[[#This Row],[Aplicación]],14,1)</f>
        <v>2</v>
      </c>
      <c r="R1641" s="35" t="s">
        <v>441</v>
      </c>
      <c r="S1641" s="35" t="str">
        <f>MID(Tabla1[[#This Row],[Aplicación]],6,2)</f>
        <v>08</v>
      </c>
      <c r="T1641" s="35" t="str">
        <f>VLOOKUP(Tabla1[[#This Row],[AREA]],Hoja1!A:B,2,FALSE)</f>
        <v>08. Movilidad y espacio urbano</v>
      </c>
      <c r="U1641" s="35" t="str">
        <f>MID(Tabla1[[#This Row],[Aplicación]],9,4)</f>
        <v>1341</v>
      </c>
      <c r="V1641" s="35" t="str">
        <f>VLOOKUP(Tabla1[[#This Row],[PROGRAMA]],Hoja1!A:B,2,FALSE)</f>
        <v>1341. Movilidad</v>
      </c>
      <c r="W1641" s="35" t="str">
        <f>MID(Tabla1[[#This Row],[Aplicación]],14,2)</f>
        <v>22</v>
      </c>
      <c r="X1641" s="35" t="str">
        <f>MID(Tabla1[[#This Row],[Aplicación]],14,6)</f>
        <v>22799</v>
      </c>
    </row>
    <row r="1642" spans="1:24" x14ac:dyDescent="0.25">
      <c r="A1642" s="49">
        <v>220209000673</v>
      </c>
      <c r="B1642" s="50" t="s">
        <v>9</v>
      </c>
      <c r="C1642" s="57">
        <v>44631</v>
      </c>
      <c r="D1642" s="49">
        <v>22021000530</v>
      </c>
      <c r="E1642" s="50" t="s">
        <v>1593</v>
      </c>
      <c r="F1642" s="58">
        <v>1838.81</v>
      </c>
      <c r="G1642" s="50" t="s">
        <v>890</v>
      </c>
      <c r="H1642" s="50" t="s">
        <v>892</v>
      </c>
      <c r="I1642" s="49" t="s">
        <v>107</v>
      </c>
      <c r="J1642" s="50" t="s">
        <v>109</v>
      </c>
      <c r="K1642" s="50" t="s">
        <v>109</v>
      </c>
      <c r="L1642" s="50" t="s">
        <v>25</v>
      </c>
      <c r="M1642" s="50" t="s">
        <v>13</v>
      </c>
      <c r="N1642" s="50" t="s">
        <v>14</v>
      </c>
      <c r="O1642" s="48" t="s">
        <v>631</v>
      </c>
      <c r="P1642" s="45" t="s">
        <v>453</v>
      </c>
      <c r="Q1642" s="35" t="str">
        <f>MID(Tabla1[[#This Row],[Aplicación]],14,1)</f>
        <v>6</v>
      </c>
      <c r="R1642" s="35" t="s">
        <v>442</v>
      </c>
      <c r="S1642" s="35" t="str">
        <f>MID(Tabla1[[#This Row],[Aplicación]],6,2)</f>
        <v>07</v>
      </c>
      <c r="T1642" s="35" t="str">
        <f>VLOOKUP(Tabla1[[#This Row],[AREA]],Hoja1!A:B,2,FALSE)</f>
        <v>07. Medio ambiente y desarrollo sostenible</v>
      </c>
      <c r="U1642" s="35" t="str">
        <f>MID(Tabla1[[#This Row],[Aplicación]],9,4)</f>
        <v>1711</v>
      </c>
      <c r="V1642" s="35" t="str">
        <f>VLOOKUP(Tabla1[[#This Row],[PROGRAMA]],Hoja1!A:B,2,FALSE)</f>
        <v>1711. Parques y jardines</v>
      </c>
      <c r="W1642" s="35" t="str">
        <f>MID(Tabla1[[#This Row],[Aplicación]],14,2)</f>
        <v>61</v>
      </c>
      <c r="X1642" s="35" t="str">
        <f>MID(Tabla1[[#This Row],[Aplicación]],14,6)</f>
        <v>619</v>
      </c>
    </row>
    <row r="1643" spans="1:24" x14ac:dyDescent="0.25">
      <c r="A1643" s="49">
        <v>220220000388</v>
      </c>
      <c r="B1643" s="50" t="s">
        <v>9</v>
      </c>
      <c r="C1643" s="57">
        <v>44586</v>
      </c>
      <c r="D1643" s="49">
        <v>22022000021</v>
      </c>
      <c r="E1643" s="50" t="s">
        <v>1488</v>
      </c>
      <c r="F1643" s="58">
        <v>1822.91</v>
      </c>
      <c r="G1643" s="50" t="s">
        <v>44</v>
      </c>
      <c r="H1643" s="50" t="s">
        <v>3045</v>
      </c>
      <c r="I1643" s="49" t="s">
        <v>107</v>
      </c>
      <c r="J1643" s="50" t="s">
        <v>109</v>
      </c>
      <c r="K1643" s="50" t="s">
        <v>109</v>
      </c>
      <c r="L1643" s="50" t="s">
        <v>12</v>
      </c>
      <c r="M1643" s="50" t="s">
        <v>13</v>
      </c>
      <c r="N1643" s="50" t="s">
        <v>14</v>
      </c>
      <c r="O1643" s="48" t="s">
        <v>620</v>
      </c>
      <c r="P1643" s="45" t="s">
        <v>453</v>
      </c>
      <c r="Q1643" s="35" t="str">
        <f>MID(Tabla1[[#This Row],[Aplicación]],14,1)</f>
        <v>2</v>
      </c>
      <c r="R1643" s="35" t="s">
        <v>441</v>
      </c>
      <c r="S1643" s="35" t="str">
        <f>MID(Tabla1[[#This Row],[Aplicación]],6,2)</f>
        <v>10</v>
      </c>
      <c r="T1643" s="35" t="str">
        <f>VLOOKUP(Tabla1[[#This Row],[AREA]],Hoja1!A:B,2,FALSE)</f>
        <v>10. Servicios sociales y mediación comunitaria</v>
      </c>
      <c r="U1643" s="35" t="str">
        <f>MID(Tabla1[[#This Row],[Aplicación]],9,4)</f>
        <v>2312</v>
      </c>
      <c r="V1643" s="35" t="str">
        <f>VLOOKUP(Tabla1[[#This Row],[PROGRAMA]],Hoja1!A:B,2,FALSE)</f>
        <v>2312. Iniciativas sociales</v>
      </c>
      <c r="W1643" s="35" t="str">
        <f>MID(Tabla1[[#This Row],[Aplicación]],14,2)</f>
        <v>21</v>
      </c>
      <c r="X1643" s="35" t="str">
        <f>MID(Tabla1[[#This Row],[Aplicación]],14,6)</f>
        <v>213</v>
      </c>
    </row>
    <row r="1644" spans="1:24" x14ac:dyDescent="0.25">
      <c r="A1644" s="49">
        <v>220220005783</v>
      </c>
      <c r="B1644" s="50" t="s">
        <v>9</v>
      </c>
      <c r="C1644" s="57">
        <v>44615</v>
      </c>
      <c r="D1644" s="49">
        <v>22022002352</v>
      </c>
      <c r="E1644" s="50" t="s">
        <v>2552</v>
      </c>
      <c r="F1644" s="58">
        <v>1780</v>
      </c>
      <c r="G1644" s="50" t="s">
        <v>3046</v>
      </c>
      <c r="H1644" s="50" t="s">
        <v>3047</v>
      </c>
      <c r="I1644" s="49" t="s">
        <v>107</v>
      </c>
      <c r="J1644" s="50" t="s">
        <v>3048</v>
      </c>
      <c r="K1644" s="50" t="s">
        <v>109</v>
      </c>
      <c r="L1644" s="50" t="s">
        <v>15</v>
      </c>
      <c r="M1644" s="50" t="s">
        <v>10</v>
      </c>
      <c r="N1644" s="50" t="s">
        <v>11</v>
      </c>
      <c r="O1644" s="48" t="s">
        <v>632</v>
      </c>
      <c r="P1644" s="45" t="s">
        <v>453</v>
      </c>
      <c r="Q1644" s="35" t="str">
        <f>MID(Tabla1[[#This Row],[Aplicación]],14,1)</f>
        <v>2</v>
      </c>
      <c r="R1644" s="35" t="s">
        <v>441</v>
      </c>
      <c r="S1644" s="35" t="str">
        <f>MID(Tabla1[[#This Row],[Aplicación]],6,2)</f>
        <v>06</v>
      </c>
      <c r="T1644" s="35" t="str">
        <f>VLOOKUP(Tabla1[[#This Row],[AREA]],Hoja1!A:B,2,FALSE)</f>
        <v>06. Educación, infancia, juventud e igualdad</v>
      </c>
      <c r="U1644" s="35" t="str">
        <f>MID(Tabla1[[#This Row],[Aplicación]],9,4)</f>
        <v>3261</v>
      </c>
      <c r="V1644" s="35" t="str">
        <f>VLOOKUP(Tabla1[[#This Row],[PROGRAMA]],Hoja1!A:B,2,FALSE)</f>
        <v>3261. Servicios complementarios de educación</v>
      </c>
      <c r="W1644" s="35" t="str">
        <f>MID(Tabla1[[#This Row],[Aplicación]],14,2)</f>
        <v>22</v>
      </c>
      <c r="X1644" s="35" t="str">
        <f>MID(Tabla1[[#This Row],[Aplicación]],14,6)</f>
        <v>22699</v>
      </c>
    </row>
    <row r="1645" spans="1:24" x14ac:dyDescent="0.25">
      <c r="A1645" s="49">
        <v>220220003099</v>
      </c>
      <c r="B1645" s="50" t="s">
        <v>9</v>
      </c>
      <c r="C1645" s="57">
        <v>44601</v>
      </c>
      <c r="D1645" s="49">
        <v>22022001667</v>
      </c>
      <c r="E1645" s="50" t="s">
        <v>2203</v>
      </c>
      <c r="F1645" s="58">
        <v>4840</v>
      </c>
      <c r="G1645" s="50" t="s">
        <v>55</v>
      </c>
      <c r="H1645" s="50" t="s">
        <v>3049</v>
      </c>
      <c r="I1645" s="49" t="s">
        <v>107</v>
      </c>
      <c r="J1645" s="50" t="s">
        <v>109</v>
      </c>
      <c r="K1645" s="50" t="s">
        <v>109</v>
      </c>
      <c r="L1645" s="50" t="s">
        <v>12</v>
      </c>
      <c r="M1645" s="50" t="s">
        <v>10</v>
      </c>
      <c r="N1645" s="50" t="s">
        <v>11</v>
      </c>
      <c r="O1645" s="48" t="s">
        <v>632</v>
      </c>
      <c r="P1645" s="45" t="s">
        <v>453</v>
      </c>
      <c r="Q1645" s="35" t="str">
        <f>MID(Tabla1[[#This Row],[Aplicación]],14,1)</f>
        <v>2</v>
      </c>
      <c r="R1645" s="35" t="s">
        <v>441</v>
      </c>
      <c r="S1645" s="35" t="str">
        <f>MID(Tabla1[[#This Row],[Aplicación]],6,2)</f>
        <v>05</v>
      </c>
      <c r="T1645" s="35" t="str">
        <f>VLOOKUP(Tabla1[[#This Row],[AREA]],Hoja1!A:B,2,FALSE)</f>
        <v>05. Innovación, desarrollo económico, empleo y comercio</v>
      </c>
      <c r="U1645" s="35" t="str">
        <f>MID(Tabla1[[#This Row],[Aplicación]],9,4)</f>
        <v>4331</v>
      </c>
      <c r="V1645" s="35" t="str">
        <f>VLOOKUP(Tabla1[[#This Row],[PROGRAMA]],Hoja1!A:B,2,FALSE)</f>
        <v>4331. Desarrollo empresarial</v>
      </c>
      <c r="W1645" s="35" t="str">
        <f>MID(Tabla1[[#This Row],[Aplicación]],14,2)</f>
        <v>22</v>
      </c>
      <c r="X1645" s="35" t="str">
        <f>MID(Tabla1[[#This Row],[Aplicación]],14,6)</f>
        <v>22602</v>
      </c>
    </row>
    <row r="1646" spans="1:24" x14ac:dyDescent="0.25">
      <c r="A1646" s="49">
        <v>220220003483</v>
      </c>
      <c r="B1646" s="50" t="s">
        <v>9</v>
      </c>
      <c r="C1646" s="57">
        <v>44606</v>
      </c>
      <c r="D1646" s="49">
        <v>22022001906</v>
      </c>
      <c r="E1646" s="50" t="s">
        <v>1762</v>
      </c>
      <c r="F1646" s="58">
        <v>5631.25</v>
      </c>
      <c r="G1646" s="50" t="s">
        <v>965</v>
      </c>
      <c r="H1646" s="50" t="s">
        <v>3050</v>
      </c>
      <c r="I1646" s="49" t="s">
        <v>107</v>
      </c>
      <c r="J1646" s="50" t="s">
        <v>128</v>
      </c>
      <c r="K1646" s="50" t="s">
        <v>128</v>
      </c>
      <c r="L1646" s="50" t="s">
        <v>15</v>
      </c>
      <c r="M1646" s="50" t="s">
        <v>10</v>
      </c>
      <c r="N1646" s="50" t="s">
        <v>11</v>
      </c>
      <c r="O1646" s="48" t="s">
        <v>632</v>
      </c>
      <c r="P1646" s="45" t="s">
        <v>453</v>
      </c>
      <c r="Q1646" s="35" t="str">
        <f>MID(Tabla1[[#This Row],[Aplicación]],14,1)</f>
        <v>2</v>
      </c>
      <c r="R1646" s="35" t="s">
        <v>441</v>
      </c>
      <c r="S1646" s="35" t="str">
        <f>MID(Tabla1[[#This Row],[Aplicación]],6,2)</f>
        <v>06</v>
      </c>
      <c r="T1646" s="35" t="str">
        <f>VLOOKUP(Tabla1[[#This Row],[AREA]],Hoja1!A:B,2,FALSE)</f>
        <v>06. Educación, infancia, juventud e igualdad</v>
      </c>
      <c r="U1646" s="35" t="str">
        <f>MID(Tabla1[[#This Row],[Aplicación]],9,4)</f>
        <v>3321</v>
      </c>
      <c r="V1646" s="35" t="str">
        <f>VLOOKUP(Tabla1[[#This Row],[PROGRAMA]],Hoja1!A:B,2,FALSE)</f>
        <v>3321. Bibliotecas públicas</v>
      </c>
      <c r="W1646" s="35" t="str">
        <f>MID(Tabla1[[#This Row],[Aplicación]],14,2)</f>
        <v>22</v>
      </c>
      <c r="X1646" s="35" t="str">
        <f>MID(Tabla1[[#This Row],[Aplicación]],14,6)</f>
        <v>22001</v>
      </c>
    </row>
    <row r="1647" spans="1:24" x14ac:dyDescent="0.25">
      <c r="A1647" s="49">
        <v>220220003490</v>
      </c>
      <c r="B1647" s="50" t="s">
        <v>9</v>
      </c>
      <c r="C1647" s="57">
        <v>44606</v>
      </c>
      <c r="D1647" s="49">
        <v>22022002020</v>
      </c>
      <c r="E1647" s="50" t="s">
        <v>1762</v>
      </c>
      <c r="F1647" s="58">
        <v>1533.44</v>
      </c>
      <c r="G1647" s="50" t="s">
        <v>483</v>
      </c>
      <c r="H1647" s="50" t="s">
        <v>3051</v>
      </c>
      <c r="I1647" s="49" t="s">
        <v>107</v>
      </c>
      <c r="J1647" s="50" t="s">
        <v>128</v>
      </c>
      <c r="K1647" s="50" t="s">
        <v>128</v>
      </c>
      <c r="L1647" s="50" t="s">
        <v>15</v>
      </c>
      <c r="M1647" s="50" t="s">
        <v>10</v>
      </c>
      <c r="N1647" s="50" t="s">
        <v>11</v>
      </c>
      <c r="O1647" s="48" t="s">
        <v>632</v>
      </c>
      <c r="P1647" s="45" t="s">
        <v>453</v>
      </c>
      <c r="Q1647" s="35" t="str">
        <f>MID(Tabla1[[#This Row],[Aplicación]],14,1)</f>
        <v>2</v>
      </c>
      <c r="R1647" s="35" t="s">
        <v>441</v>
      </c>
      <c r="S1647" s="35" t="str">
        <f>MID(Tabla1[[#This Row],[Aplicación]],6,2)</f>
        <v>06</v>
      </c>
      <c r="T1647" s="35" t="str">
        <f>VLOOKUP(Tabla1[[#This Row],[AREA]],Hoja1!A:B,2,FALSE)</f>
        <v>06. Educación, infancia, juventud e igualdad</v>
      </c>
      <c r="U1647" s="35" t="str">
        <f>MID(Tabla1[[#This Row],[Aplicación]],9,4)</f>
        <v>3321</v>
      </c>
      <c r="V1647" s="35" t="str">
        <f>VLOOKUP(Tabla1[[#This Row],[PROGRAMA]],Hoja1!A:B,2,FALSE)</f>
        <v>3321. Bibliotecas públicas</v>
      </c>
      <c r="W1647" s="35" t="str">
        <f>MID(Tabla1[[#This Row],[Aplicación]],14,2)</f>
        <v>22</v>
      </c>
      <c r="X1647" s="35" t="str">
        <f>MID(Tabla1[[#This Row],[Aplicación]],14,6)</f>
        <v>22001</v>
      </c>
    </row>
    <row r="1648" spans="1:24" x14ac:dyDescent="0.25">
      <c r="A1648" s="49">
        <v>220219000528</v>
      </c>
      <c r="B1648" s="50" t="s">
        <v>9</v>
      </c>
      <c r="C1648" s="57">
        <v>44562</v>
      </c>
      <c r="D1648" s="49">
        <v>22022001996</v>
      </c>
      <c r="E1648" s="50" t="s">
        <v>1676</v>
      </c>
      <c r="F1648" s="58">
        <v>20831.64</v>
      </c>
      <c r="G1648" s="50" t="s">
        <v>1136</v>
      </c>
      <c r="H1648" s="50" t="s">
        <v>1137</v>
      </c>
      <c r="I1648" s="49" t="s">
        <v>107</v>
      </c>
      <c r="J1648" s="50" t="s">
        <v>543</v>
      </c>
      <c r="K1648" s="50" t="s">
        <v>108</v>
      </c>
      <c r="L1648" s="50" t="s">
        <v>15</v>
      </c>
      <c r="M1648" s="50" t="s">
        <v>13</v>
      </c>
      <c r="N1648" s="50" t="s">
        <v>14</v>
      </c>
      <c r="O1648" s="48" t="s">
        <v>620</v>
      </c>
      <c r="P1648" s="45" t="s">
        <v>453</v>
      </c>
      <c r="Q1648" s="35" t="str">
        <f>MID(Tabla1[[#This Row],[Aplicación]],14,1)</f>
        <v>6</v>
      </c>
      <c r="R1648" s="35" t="s">
        <v>442</v>
      </c>
      <c r="S1648" s="35" t="str">
        <f>MID(Tabla1[[#This Row],[Aplicación]],6,2)</f>
        <v>04</v>
      </c>
      <c r="T1648" s="35" t="str">
        <f>VLOOKUP(Tabla1[[#This Row],[AREA]],Hoja1!A:B,2,FALSE)</f>
        <v>04. Planificación y recursos</v>
      </c>
      <c r="U1648" s="35" t="str">
        <f>MID(Tabla1[[#This Row],[Aplicación]],9,4)</f>
        <v>9204</v>
      </c>
      <c r="V1648" s="35" t="str">
        <f>VLOOKUP(Tabla1[[#This Row],[PROGRAMA]],Hoja1!A:B,2,FALSE)</f>
        <v>9204. Tecnologías de la información y comunicación</v>
      </c>
      <c r="W1648" s="35" t="str">
        <f>MID(Tabla1[[#This Row],[Aplicación]],14,2)</f>
        <v>64</v>
      </c>
      <c r="X1648" s="35" t="str">
        <f>MID(Tabla1[[#This Row],[Aplicación]],14,6)</f>
        <v>641</v>
      </c>
    </row>
    <row r="1649" spans="1:24" x14ac:dyDescent="0.25">
      <c r="A1649" s="49">
        <v>220220002541</v>
      </c>
      <c r="B1649" s="50" t="s">
        <v>9</v>
      </c>
      <c r="C1649" s="57">
        <v>44596</v>
      </c>
      <c r="D1649" s="49">
        <v>22022001855</v>
      </c>
      <c r="E1649" s="50" t="s">
        <v>1762</v>
      </c>
      <c r="F1649" s="58">
        <v>1525.56</v>
      </c>
      <c r="G1649" s="50" t="s">
        <v>598</v>
      </c>
      <c r="H1649" s="50" t="s">
        <v>3052</v>
      </c>
      <c r="I1649" s="49" t="s">
        <v>107</v>
      </c>
      <c r="J1649" s="50" t="s">
        <v>108</v>
      </c>
      <c r="K1649" s="50" t="s">
        <v>108</v>
      </c>
      <c r="L1649" s="50" t="s">
        <v>15</v>
      </c>
      <c r="M1649" s="50" t="s">
        <v>10</v>
      </c>
      <c r="N1649" s="50" t="s">
        <v>11</v>
      </c>
      <c r="O1649" s="48" t="s">
        <v>632</v>
      </c>
      <c r="P1649" s="45" t="s">
        <v>453</v>
      </c>
      <c r="Q1649" s="35" t="str">
        <f>MID(Tabla1[[#This Row],[Aplicación]],14,1)</f>
        <v>2</v>
      </c>
      <c r="R1649" s="35" t="s">
        <v>441</v>
      </c>
      <c r="S1649" s="35" t="str">
        <f>MID(Tabla1[[#This Row],[Aplicación]],6,2)</f>
        <v>06</v>
      </c>
      <c r="T1649" s="35" t="str">
        <f>VLOOKUP(Tabla1[[#This Row],[AREA]],Hoja1!A:B,2,FALSE)</f>
        <v>06. Educación, infancia, juventud e igualdad</v>
      </c>
      <c r="U1649" s="35" t="str">
        <f>MID(Tabla1[[#This Row],[Aplicación]],9,4)</f>
        <v>3321</v>
      </c>
      <c r="V1649" s="35" t="str">
        <f>VLOOKUP(Tabla1[[#This Row],[PROGRAMA]],Hoja1!A:B,2,FALSE)</f>
        <v>3321. Bibliotecas públicas</v>
      </c>
      <c r="W1649" s="35" t="str">
        <f>MID(Tabla1[[#This Row],[Aplicación]],14,2)</f>
        <v>22</v>
      </c>
      <c r="X1649" s="35" t="str">
        <f>MID(Tabla1[[#This Row],[Aplicación]],14,6)</f>
        <v>22001</v>
      </c>
    </row>
    <row r="1650" spans="1:24" x14ac:dyDescent="0.25">
      <c r="A1650" s="49">
        <v>220220010338</v>
      </c>
      <c r="B1650" s="50" t="s">
        <v>9</v>
      </c>
      <c r="C1650" s="57">
        <v>44641</v>
      </c>
      <c r="D1650" s="49">
        <v>22022002916</v>
      </c>
      <c r="E1650" s="50" t="s">
        <v>1436</v>
      </c>
      <c r="F1650" s="58">
        <v>1529</v>
      </c>
      <c r="G1650" s="50" t="s">
        <v>1008</v>
      </c>
      <c r="H1650" s="50" t="s">
        <v>3053</v>
      </c>
      <c r="I1650" s="49" t="s">
        <v>107</v>
      </c>
      <c r="J1650" s="50" t="s">
        <v>1009</v>
      </c>
      <c r="K1650" s="50" t="s">
        <v>109</v>
      </c>
      <c r="L1650" s="50" t="s">
        <v>12</v>
      </c>
      <c r="M1650" s="50" t="s">
        <v>10</v>
      </c>
      <c r="N1650" s="50" t="s">
        <v>11</v>
      </c>
      <c r="O1650" s="48" t="s">
        <v>632</v>
      </c>
      <c r="P1650" s="45" t="s">
        <v>453</v>
      </c>
      <c r="Q1650" s="35" t="str">
        <f>MID(Tabla1[[#This Row],[Aplicación]],14,1)</f>
        <v>2</v>
      </c>
      <c r="R1650" s="35" t="s">
        <v>441</v>
      </c>
      <c r="S1650" s="35" t="str">
        <f>MID(Tabla1[[#This Row],[Aplicación]],6,2)</f>
        <v>03</v>
      </c>
      <c r="T1650" s="35" t="str">
        <f>VLOOKUP(Tabla1[[#This Row],[AREA]],Hoja1!A:B,2,FALSE)</f>
        <v>03. Participación ciudadana y deportes</v>
      </c>
      <c r="U1650" s="35" t="str">
        <f>MID(Tabla1[[#This Row],[Aplicación]],9,4)</f>
        <v>9241</v>
      </c>
      <c r="V1650" s="35" t="str">
        <f>VLOOKUP(Tabla1[[#This Row],[PROGRAMA]],Hoja1!A:B,2,FALSE)</f>
        <v>9241. Participación ciudadana</v>
      </c>
      <c r="W1650" s="35" t="str">
        <f>MID(Tabla1[[#This Row],[Aplicación]],14,2)</f>
        <v>22</v>
      </c>
      <c r="X1650" s="35" t="str">
        <f>MID(Tabla1[[#This Row],[Aplicación]],14,6)</f>
        <v>22609</v>
      </c>
    </row>
    <row r="1651" spans="1:24" x14ac:dyDescent="0.25">
      <c r="A1651" s="49">
        <v>220220003482</v>
      </c>
      <c r="B1651" s="50" t="s">
        <v>9</v>
      </c>
      <c r="C1651" s="57">
        <v>44606</v>
      </c>
      <c r="D1651" s="49">
        <v>22022001901</v>
      </c>
      <c r="E1651" s="50" t="s">
        <v>1762</v>
      </c>
      <c r="F1651" s="58">
        <v>441</v>
      </c>
      <c r="G1651" s="50" t="s">
        <v>1163</v>
      </c>
      <c r="H1651" s="50" t="s">
        <v>3054</v>
      </c>
      <c r="I1651" s="49" t="s">
        <v>107</v>
      </c>
      <c r="J1651" s="50" t="s">
        <v>513</v>
      </c>
      <c r="K1651" s="50" t="s">
        <v>108</v>
      </c>
      <c r="L1651" s="50" t="s">
        <v>15</v>
      </c>
      <c r="M1651" s="50" t="s">
        <v>10</v>
      </c>
      <c r="N1651" s="50" t="s">
        <v>11</v>
      </c>
      <c r="O1651" s="48" t="s">
        <v>632</v>
      </c>
      <c r="P1651" s="45" t="s">
        <v>453</v>
      </c>
      <c r="Q1651" s="35" t="str">
        <f>MID(Tabla1[[#This Row],[Aplicación]],14,1)</f>
        <v>2</v>
      </c>
      <c r="R1651" s="35" t="s">
        <v>441</v>
      </c>
      <c r="S1651" s="35" t="str">
        <f>MID(Tabla1[[#This Row],[Aplicación]],6,2)</f>
        <v>06</v>
      </c>
      <c r="T1651" s="35" t="str">
        <f>VLOOKUP(Tabla1[[#This Row],[AREA]],Hoja1!A:B,2,FALSE)</f>
        <v>06. Educación, infancia, juventud e igualdad</v>
      </c>
      <c r="U1651" s="35" t="str">
        <f>MID(Tabla1[[#This Row],[Aplicación]],9,4)</f>
        <v>3321</v>
      </c>
      <c r="V1651" s="35" t="str">
        <f>VLOOKUP(Tabla1[[#This Row],[PROGRAMA]],Hoja1!A:B,2,FALSE)</f>
        <v>3321. Bibliotecas públicas</v>
      </c>
      <c r="W1651" s="35" t="str">
        <f>MID(Tabla1[[#This Row],[Aplicación]],14,2)</f>
        <v>22</v>
      </c>
      <c r="X1651" s="35" t="str">
        <f>MID(Tabla1[[#This Row],[Aplicación]],14,6)</f>
        <v>22001</v>
      </c>
    </row>
    <row r="1652" spans="1:24" x14ac:dyDescent="0.25">
      <c r="A1652" s="49">
        <v>220209000233</v>
      </c>
      <c r="B1652" s="50" t="s">
        <v>9</v>
      </c>
      <c r="C1652" s="57">
        <v>44562</v>
      </c>
      <c r="D1652" s="49">
        <v>22022002090</v>
      </c>
      <c r="E1652" s="50" t="s">
        <v>1424</v>
      </c>
      <c r="F1652" s="58">
        <v>2289.98</v>
      </c>
      <c r="G1652" s="50" t="s">
        <v>102</v>
      </c>
      <c r="H1652" s="50" t="s">
        <v>745</v>
      </c>
      <c r="I1652" s="49" t="s">
        <v>107</v>
      </c>
      <c r="J1652" s="50" t="s">
        <v>108</v>
      </c>
      <c r="K1652" s="50" t="s">
        <v>108</v>
      </c>
      <c r="L1652" s="50" t="s">
        <v>12</v>
      </c>
      <c r="M1652" s="50" t="s">
        <v>10</v>
      </c>
      <c r="N1652" s="50" t="s">
        <v>11</v>
      </c>
      <c r="O1652" s="48" t="s">
        <v>632</v>
      </c>
      <c r="P1652" s="45" t="s">
        <v>453</v>
      </c>
      <c r="Q1652" s="35" t="str">
        <f>MID(Tabla1[[#This Row],[Aplicación]],14,1)</f>
        <v>6</v>
      </c>
      <c r="R1652" s="35" t="s">
        <v>442</v>
      </c>
      <c r="S1652" s="35" t="str">
        <f>MID(Tabla1[[#This Row],[Aplicación]],6,2)</f>
        <v>06</v>
      </c>
      <c r="T1652" s="35" t="str">
        <f>VLOOKUP(Tabla1[[#This Row],[AREA]],Hoja1!A:B,2,FALSE)</f>
        <v>06. Educación, infancia, juventud e igualdad</v>
      </c>
      <c r="U1652" s="35" t="str">
        <f>MID(Tabla1[[#This Row],[Aplicación]],9,4)</f>
        <v>3321</v>
      </c>
      <c r="V1652" s="35" t="str">
        <f>VLOOKUP(Tabla1[[#This Row],[PROGRAMA]],Hoja1!A:B,2,FALSE)</f>
        <v>3321. Bibliotecas públicas</v>
      </c>
      <c r="W1652" s="35" t="str">
        <f>MID(Tabla1[[#This Row],[Aplicación]],14,2)</f>
        <v>62</v>
      </c>
      <c r="X1652" s="35" t="str">
        <f>MID(Tabla1[[#This Row],[Aplicación]],14,6)</f>
        <v>622</v>
      </c>
    </row>
    <row r="1653" spans="1:24" x14ac:dyDescent="0.25">
      <c r="A1653" s="49">
        <v>220219000533</v>
      </c>
      <c r="B1653" s="50" t="s">
        <v>9</v>
      </c>
      <c r="C1653" s="57">
        <v>44562</v>
      </c>
      <c r="D1653" s="49">
        <v>22022000080</v>
      </c>
      <c r="E1653" s="50" t="s">
        <v>1408</v>
      </c>
      <c r="F1653" s="58">
        <v>3773.27</v>
      </c>
      <c r="G1653" s="50" t="s">
        <v>249</v>
      </c>
      <c r="H1653" s="50" t="s">
        <v>3055</v>
      </c>
      <c r="I1653" s="49" t="s">
        <v>107</v>
      </c>
      <c r="J1653" s="50" t="s">
        <v>569</v>
      </c>
      <c r="K1653" s="50" t="s">
        <v>108</v>
      </c>
      <c r="L1653" s="50" t="s">
        <v>15</v>
      </c>
      <c r="M1653" s="50" t="s">
        <v>13</v>
      </c>
      <c r="N1653" s="50" t="s">
        <v>14</v>
      </c>
      <c r="O1653" s="48" t="s">
        <v>620</v>
      </c>
      <c r="P1653" s="45" t="s">
        <v>453</v>
      </c>
      <c r="Q1653" s="35" t="str">
        <f>MID(Tabla1[[#This Row],[Aplicación]],14,1)</f>
        <v>2</v>
      </c>
      <c r="R1653" s="35" t="s">
        <v>441</v>
      </c>
      <c r="S1653" s="35" t="str">
        <f>MID(Tabla1[[#This Row],[Aplicación]],6,2)</f>
        <v>04</v>
      </c>
      <c r="T1653" s="35" t="str">
        <f>VLOOKUP(Tabla1[[#This Row],[AREA]],Hoja1!A:B,2,FALSE)</f>
        <v>04. Planificación y recursos</v>
      </c>
      <c r="U1653" s="35" t="str">
        <f>MID(Tabla1[[#This Row],[Aplicación]],9,4)</f>
        <v>9204</v>
      </c>
      <c r="V1653" s="35" t="str">
        <f>VLOOKUP(Tabla1[[#This Row],[PROGRAMA]],Hoja1!A:B,2,FALSE)</f>
        <v>9204. Tecnologías de la información y comunicación</v>
      </c>
      <c r="W1653" s="35" t="str">
        <f>MID(Tabla1[[#This Row],[Aplicación]],14,2)</f>
        <v>21</v>
      </c>
      <c r="X1653" s="35" t="str">
        <f>MID(Tabla1[[#This Row],[Aplicación]],14,6)</f>
        <v>216</v>
      </c>
    </row>
    <row r="1654" spans="1:24" x14ac:dyDescent="0.25">
      <c r="A1654" s="49">
        <v>220220005798</v>
      </c>
      <c r="B1654" s="50" t="s">
        <v>9</v>
      </c>
      <c r="C1654" s="57">
        <v>44615</v>
      </c>
      <c r="D1654" s="49">
        <v>22022002388</v>
      </c>
      <c r="E1654" s="50" t="s">
        <v>2309</v>
      </c>
      <c r="F1654" s="58">
        <v>2220.35</v>
      </c>
      <c r="G1654" s="50" t="s">
        <v>1356</v>
      </c>
      <c r="H1654" s="50" t="s">
        <v>3056</v>
      </c>
      <c r="I1654" s="49" t="s">
        <v>107</v>
      </c>
      <c r="J1654" s="50" t="s">
        <v>108</v>
      </c>
      <c r="K1654" s="50" t="s">
        <v>108</v>
      </c>
      <c r="L1654" s="50" t="s">
        <v>12</v>
      </c>
      <c r="M1654" s="50" t="s">
        <v>10</v>
      </c>
      <c r="N1654" s="50" t="s">
        <v>11</v>
      </c>
      <c r="O1654" s="48" t="s">
        <v>632</v>
      </c>
      <c r="P1654" s="45" t="s">
        <v>453</v>
      </c>
      <c r="Q1654" s="35" t="str">
        <f>MID(Tabla1[[#This Row],[Aplicación]],14,1)</f>
        <v>2</v>
      </c>
      <c r="R1654" s="35" t="s">
        <v>441</v>
      </c>
      <c r="S1654" s="35" t="str">
        <f>MID(Tabla1[[#This Row],[Aplicación]],6,2)</f>
        <v>07</v>
      </c>
      <c r="T1654" s="35" t="str">
        <f>VLOOKUP(Tabla1[[#This Row],[AREA]],Hoja1!A:B,2,FALSE)</f>
        <v>07. Medio ambiente y desarrollo sostenible</v>
      </c>
      <c r="U1654" s="35" t="str">
        <f>MID(Tabla1[[#This Row],[Aplicación]],9,4)</f>
        <v>1721</v>
      </c>
      <c r="V1654" s="35" t="str">
        <f>VLOOKUP(Tabla1[[#This Row],[PROGRAMA]],Hoja1!A:B,2,FALSE)</f>
        <v>1721. Protección del medio ambiente</v>
      </c>
      <c r="W1654" s="35" t="str">
        <f>MID(Tabla1[[#This Row],[Aplicación]],14,2)</f>
        <v>21</v>
      </c>
      <c r="X1654" s="35" t="str">
        <f>MID(Tabla1[[#This Row],[Aplicación]],14,6)</f>
        <v>213</v>
      </c>
    </row>
    <row r="1655" spans="1:24" x14ac:dyDescent="0.25">
      <c r="A1655" s="49">
        <v>220219000215</v>
      </c>
      <c r="B1655" s="50" t="s">
        <v>9</v>
      </c>
      <c r="C1655" s="57">
        <v>44562</v>
      </c>
      <c r="D1655" s="49">
        <v>22022000048</v>
      </c>
      <c r="E1655" s="50" t="s">
        <v>1742</v>
      </c>
      <c r="F1655" s="58">
        <v>19355.740000000002</v>
      </c>
      <c r="G1655" s="50" t="s">
        <v>139</v>
      </c>
      <c r="H1655" s="50" t="s">
        <v>3057</v>
      </c>
      <c r="I1655" s="49" t="s">
        <v>107</v>
      </c>
      <c r="J1655" s="50" t="s">
        <v>109</v>
      </c>
      <c r="K1655" s="50" t="s">
        <v>108</v>
      </c>
      <c r="L1655" s="50" t="s">
        <v>12</v>
      </c>
      <c r="M1655" s="50" t="s">
        <v>13</v>
      </c>
      <c r="N1655" s="50" t="s">
        <v>16</v>
      </c>
      <c r="O1655" s="48" t="s">
        <v>620</v>
      </c>
      <c r="P1655" s="45" t="s">
        <v>453</v>
      </c>
      <c r="Q1655" s="35" t="str">
        <f>MID(Tabla1[[#This Row],[Aplicación]],14,1)</f>
        <v>2</v>
      </c>
      <c r="R1655" s="35" t="s">
        <v>441</v>
      </c>
      <c r="S1655" s="35" t="str">
        <f>MID(Tabla1[[#This Row],[Aplicación]],6,2)</f>
        <v>03</v>
      </c>
      <c r="T1655" s="35" t="str">
        <f>VLOOKUP(Tabla1[[#This Row],[AREA]],Hoja1!A:B,2,FALSE)</f>
        <v>03. Participación ciudadana y deportes</v>
      </c>
      <c r="U1655" s="35" t="str">
        <f>MID(Tabla1[[#This Row],[Aplicación]],9,4)</f>
        <v>9241</v>
      </c>
      <c r="V1655" s="35" t="str">
        <f>VLOOKUP(Tabla1[[#This Row],[PROGRAMA]],Hoja1!A:B,2,FALSE)</f>
        <v>9241. Participación ciudadana</v>
      </c>
      <c r="W1655" s="35" t="str">
        <f>MID(Tabla1[[#This Row],[Aplicación]],14,2)</f>
        <v>21</v>
      </c>
      <c r="X1655" s="35" t="str">
        <f>MID(Tabla1[[#This Row],[Aplicación]],14,6)</f>
        <v>213</v>
      </c>
    </row>
    <row r="1656" spans="1:24" x14ac:dyDescent="0.25">
      <c r="A1656" s="49">
        <v>220220003849</v>
      </c>
      <c r="B1656" s="50" t="s">
        <v>9</v>
      </c>
      <c r="C1656" s="57">
        <v>44608</v>
      </c>
      <c r="D1656" s="49">
        <v>22022002063</v>
      </c>
      <c r="E1656" s="50" t="s">
        <v>1459</v>
      </c>
      <c r="F1656" s="58">
        <v>2211.84</v>
      </c>
      <c r="G1656" s="50" t="s">
        <v>867</v>
      </c>
      <c r="H1656" s="50" t="s">
        <v>3058</v>
      </c>
      <c r="I1656" s="49" t="s">
        <v>107</v>
      </c>
      <c r="J1656" s="50" t="s">
        <v>543</v>
      </c>
      <c r="K1656" s="50" t="s">
        <v>108</v>
      </c>
      <c r="L1656" s="50" t="s">
        <v>12</v>
      </c>
      <c r="M1656" s="50" t="s">
        <v>10</v>
      </c>
      <c r="N1656" s="50" t="s">
        <v>11</v>
      </c>
      <c r="O1656" s="48" t="s">
        <v>632</v>
      </c>
      <c r="P1656" s="45" t="s">
        <v>453</v>
      </c>
      <c r="Q1656" s="35" t="str">
        <f>MID(Tabla1[[#This Row],[Aplicación]],14,1)</f>
        <v>2</v>
      </c>
      <c r="R1656" s="35" t="s">
        <v>441</v>
      </c>
      <c r="S1656" s="35" t="str">
        <f>MID(Tabla1[[#This Row],[Aplicación]],6,2)</f>
        <v>02</v>
      </c>
      <c r="T1656" s="35" t="str">
        <f>VLOOKUP(Tabla1[[#This Row],[AREA]],Hoja1!A:B,2,FALSE)</f>
        <v>02. Planeamiento urbanístico y vivienda</v>
      </c>
      <c r="U1656" s="35" t="str">
        <f>MID(Tabla1[[#This Row],[Aplicación]],9,4)</f>
        <v>1501</v>
      </c>
      <c r="V1656" s="35" t="str">
        <f>VLOOKUP(Tabla1[[#This Row],[PROGRAMA]],Hoja1!A:B,2,FALSE)</f>
        <v>1501. Dirección del área de urbanismo</v>
      </c>
      <c r="W1656" s="35" t="str">
        <f>MID(Tabla1[[#This Row],[Aplicación]],14,2)</f>
        <v>20</v>
      </c>
      <c r="X1656" s="35" t="str">
        <f>MID(Tabla1[[#This Row],[Aplicación]],14,6)</f>
        <v>203</v>
      </c>
    </row>
    <row r="1657" spans="1:24" x14ac:dyDescent="0.25">
      <c r="A1657" s="49">
        <v>220220002280</v>
      </c>
      <c r="B1657" s="50" t="s">
        <v>9</v>
      </c>
      <c r="C1657" s="57">
        <v>44593</v>
      </c>
      <c r="D1657" s="49">
        <v>22022001664</v>
      </c>
      <c r="E1657" s="50" t="s">
        <v>1471</v>
      </c>
      <c r="F1657" s="58">
        <v>2185.4299999999998</v>
      </c>
      <c r="G1657" s="50" t="s">
        <v>60</v>
      </c>
      <c r="H1657" s="50" t="s">
        <v>3059</v>
      </c>
      <c r="I1657" s="49" t="s">
        <v>107</v>
      </c>
      <c r="J1657" s="50" t="s">
        <v>109</v>
      </c>
      <c r="K1657" s="50" t="s">
        <v>109</v>
      </c>
      <c r="L1657" s="50" t="s">
        <v>12</v>
      </c>
      <c r="M1657" s="50" t="s">
        <v>10</v>
      </c>
      <c r="N1657" s="50" t="s">
        <v>11</v>
      </c>
      <c r="O1657" s="48" t="s">
        <v>632</v>
      </c>
      <c r="P1657" s="45" t="s">
        <v>453</v>
      </c>
      <c r="Q1657" s="35" t="str">
        <f>MID(Tabla1[[#This Row],[Aplicación]],14,1)</f>
        <v>2</v>
      </c>
      <c r="R1657" s="35" t="s">
        <v>441</v>
      </c>
      <c r="S1657" s="35" t="str">
        <f>MID(Tabla1[[#This Row],[Aplicación]],6,2)</f>
        <v>11</v>
      </c>
      <c r="T1657" s="35" t="str">
        <f>VLOOKUP(Tabla1[[#This Row],[AREA]],Hoja1!A:B,2,FALSE)</f>
        <v>11. Salud pública y seguridad ciudadana</v>
      </c>
      <c r="U1657" s="35" t="str">
        <f>MID(Tabla1[[#This Row],[Aplicación]],9,4)</f>
        <v>1321</v>
      </c>
      <c r="V1657" s="35" t="str">
        <f>VLOOKUP(Tabla1[[#This Row],[PROGRAMA]],Hoja1!A:B,2,FALSE)</f>
        <v>1321. Policía municipal</v>
      </c>
      <c r="W1657" s="35" t="str">
        <f>MID(Tabla1[[#This Row],[Aplicación]],14,2)</f>
        <v>21</v>
      </c>
      <c r="X1657" s="35" t="str">
        <f>MID(Tabla1[[#This Row],[Aplicación]],14,6)</f>
        <v>213</v>
      </c>
    </row>
    <row r="1658" spans="1:24" x14ac:dyDescent="0.25">
      <c r="A1658" s="49">
        <v>220220002262</v>
      </c>
      <c r="B1658" s="50" t="s">
        <v>9</v>
      </c>
      <c r="C1658" s="57">
        <v>44592</v>
      </c>
      <c r="D1658" s="49">
        <v>22022001723</v>
      </c>
      <c r="E1658" s="50" t="s">
        <v>1907</v>
      </c>
      <c r="F1658" s="58">
        <v>1500</v>
      </c>
      <c r="G1658" s="50" t="s">
        <v>184</v>
      </c>
      <c r="H1658" s="50" t="s">
        <v>3060</v>
      </c>
      <c r="I1658" s="49" t="s">
        <v>107</v>
      </c>
      <c r="J1658" s="50" t="s">
        <v>109</v>
      </c>
      <c r="K1658" s="50" t="s">
        <v>109</v>
      </c>
      <c r="L1658" s="50" t="s">
        <v>15</v>
      </c>
      <c r="M1658" s="50" t="s">
        <v>10</v>
      </c>
      <c r="N1658" s="50" t="s">
        <v>11</v>
      </c>
      <c r="O1658" s="48" t="s">
        <v>632</v>
      </c>
      <c r="P1658" s="45" t="s">
        <v>453</v>
      </c>
      <c r="Q1658" s="35" t="str">
        <f>MID(Tabla1[[#This Row],[Aplicación]],14,1)</f>
        <v>2</v>
      </c>
      <c r="R1658" s="35" t="s">
        <v>441</v>
      </c>
      <c r="S1658" s="35" t="str">
        <f>MID(Tabla1[[#This Row],[Aplicación]],6,2)</f>
        <v>11</v>
      </c>
      <c r="T1658" s="35" t="str">
        <f>VLOOKUP(Tabla1[[#This Row],[AREA]],Hoja1!A:B,2,FALSE)</f>
        <v>11. Salud pública y seguridad ciudadana</v>
      </c>
      <c r="U1658" s="35" t="str">
        <f>MID(Tabla1[[#This Row],[Aplicación]],9,4)</f>
        <v>3111</v>
      </c>
      <c r="V1658" s="35" t="str">
        <f>VLOOKUP(Tabla1[[#This Row],[PROGRAMA]],Hoja1!A:B,2,FALSE)</f>
        <v>3111. Protección de la salubridad pública</v>
      </c>
      <c r="W1658" s="35" t="str">
        <f>MID(Tabla1[[#This Row],[Aplicación]],14,2)</f>
        <v>22</v>
      </c>
      <c r="X1658" s="35" t="str">
        <f>MID(Tabla1[[#This Row],[Aplicación]],14,6)</f>
        <v>22106</v>
      </c>
    </row>
    <row r="1659" spans="1:24" x14ac:dyDescent="0.25">
      <c r="A1659" s="49">
        <v>220220003449</v>
      </c>
      <c r="B1659" s="50" t="s">
        <v>9</v>
      </c>
      <c r="C1659" s="57">
        <v>44603</v>
      </c>
      <c r="D1659" s="49">
        <v>22022002126</v>
      </c>
      <c r="E1659" s="50" t="s">
        <v>2585</v>
      </c>
      <c r="F1659" s="58">
        <v>2140.5</v>
      </c>
      <c r="G1659" s="50" t="s">
        <v>1167</v>
      </c>
      <c r="H1659" s="50" t="s">
        <v>3061</v>
      </c>
      <c r="I1659" s="49" t="s">
        <v>107</v>
      </c>
      <c r="J1659" s="50" t="s">
        <v>109</v>
      </c>
      <c r="K1659" s="50" t="s">
        <v>109</v>
      </c>
      <c r="L1659" s="50" t="s">
        <v>17</v>
      </c>
      <c r="M1659" s="50" t="s">
        <v>10</v>
      </c>
      <c r="N1659" s="50" t="s">
        <v>11</v>
      </c>
      <c r="O1659" s="48" t="s">
        <v>632</v>
      </c>
      <c r="P1659" s="45" t="s">
        <v>453</v>
      </c>
      <c r="Q1659" s="35" t="str">
        <f>MID(Tabla1[[#This Row],[Aplicación]],14,1)</f>
        <v>2</v>
      </c>
      <c r="R1659" s="35" t="s">
        <v>441</v>
      </c>
      <c r="S1659" s="35" t="str">
        <f>MID(Tabla1[[#This Row],[Aplicación]],6,2)</f>
        <v>11</v>
      </c>
      <c r="T1659" s="35" t="str">
        <f>VLOOKUP(Tabla1[[#This Row],[AREA]],Hoja1!A:B,2,FALSE)</f>
        <v>11. Salud pública y seguridad ciudadana</v>
      </c>
      <c r="U1659" s="35" t="str">
        <f>MID(Tabla1[[#This Row],[Aplicación]],9,4)</f>
        <v>1321</v>
      </c>
      <c r="V1659" s="35" t="str">
        <f>VLOOKUP(Tabla1[[#This Row],[PROGRAMA]],Hoja1!A:B,2,FALSE)</f>
        <v>1321. Policía municipal</v>
      </c>
      <c r="W1659" s="35" t="str">
        <f>MID(Tabla1[[#This Row],[Aplicación]],14,2)</f>
        <v>21</v>
      </c>
      <c r="X1659" s="35" t="str">
        <f>MID(Tabla1[[#This Row],[Aplicación]],14,6)</f>
        <v>212</v>
      </c>
    </row>
    <row r="1660" spans="1:24" x14ac:dyDescent="0.25">
      <c r="A1660" s="49">
        <v>220219000393</v>
      </c>
      <c r="B1660" s="50" t="s">
        <v>9</v>
      </c>
      <c r="C1660" s="57">
        <v>44562</v>
      </c>
      <c r="D1660" s="49">
        <v>22022000509</v>
      </c>
      <c r="E1660" s="50" t="s">
        <v>2421</v>
      </c>
      <c r="F1660" s="58">
        <v>1500</v>
      </c>
      <c r="G1660" s="50" t="s">
        <v>158</v>
      </c>
      <c r="H1660" s="50" t="s">
        <v>3062</v>
      </c>
      <c r="I1660" s="49" t="s">
        <v>107</v>
      </c>
      <c r="J1660" s="50" t="s">
        <v>108</v>
      </c>
      <c r="K1660" s="50" t="s">
        <v>108</v>
      </c>
      <c r="L1660" s="50" t="s">
        <v>15</v>
      </c>
      <c r="M1660" s="50" t="s">
        <v>13</v>
      </c>
      <c r="N1660" s="50" t="s">
        <v>14</v>
      </c>
      <c r="O1660" s="48" t="s">
        <v>620</v>
      </c>
      <c r="P1660" s="45" t="s">
        <v>453</v>
      </c>
      <c r="Q1660" s="35" t="str">
        <f>MID(Tabla1[[#This Row],[Aplicación]],14,1)</f>
        <v>2</v>
      </c>
      <c r="R1660" s="35" t="s">
        <v>441</v>
      </c>
      <c r="S1660" s="35" t="str">
        <f>MID(Tabla1[[#This Row],[Aplicación]],6,2)</f>
        <v>11</v>
      </c>
      <c r="T1660" s="35" t="str">
        <f>VLOOKUP(Tabla1[[#This Row],[AREA]],Hoja1!A:B,2,FALSE)</f>
        <v>11. Salud pública y seguridad ciudadana</v>
      </c>
      <c r="U1660" s="35" t="str">
        <f>MID(Tabla1[[#This Row],[Aplicación]],9,4)</f>
        <v>1361</v>
      </c>
      <c r="V1660" s="35" t="str">
        <f>VLOOKUP(Tabla1[[#This Row],[PROGRAMA]],Hoja1!A:B,2,FALSE)</f>
        <v>1361. Prevención y extinción de incencios</v>
      </c>
      <c r="W1660" s="35" t="str">
        <f>MID(Tabla1[[#This Row],[Aplicación]],14,2)</f>
        <v>22</v>
      </c>
      <c r="X1660" s="35" t="str">
        <f>MID(Tabla1[[#This Row],[Aplicación]],14,6)</f>
        <v>22103</v>
      </c>
    </row>
    <row r="1661" spans="1:24" x14ac:dyDescent="0.25">
      <c r="A1661" s="49">
        <v>220220002543</v>
      </c>
      <c r="B1661" s="50" t="s">
        <v>9</v>
      </c>
      <c r="C1661" s="57">
        <v>44596</v>
      </c>
      <c r="D1661" s="49">
        <v>22022001854</v>
      </c>
      <c r="E1661" s="50" t="s">
        <v>1762</v>
      </c>
      <c r="F1661" s="58">
        <v>431.55</v>
      </c>
      <c r="G1661" s="50" t="s">
        <v>1260</v>
      </c>
      <c r="H1661" s="50" t="s">
        <v>3063</v>
      </c>
      <c r="I1661" s="49" t="s">
        <v>107</v>
      </c>
      <c r="J1661" s="50" t="s">
        <v>108</v>
      </c>
      <c r="K1661" s="50" t="s">
        <v>108</v>
      </c>
      <c r="L1661" s="50" t="s">
        <v>15</v>
      </c>
      <c r="M1661" s="50" t="s">
        <v>10</v>
      </c>
      <c r="N1661" s="50" t="s">
        <v>11</v>
      </c>
      <c r="O1661" s="48" t="s">
        <v>632</v>
      </c>
      <c r="P1661" s="45" t="s">
        <v>453</v>
      </c>
      <c r="Q1661" s="35" t="str">
        <f>MID(Tabla1[[#This Row],[Aplicación]],14,1)</f>
        <v>2</v>
      </c>
      <c r="R1661" s="35" t="s">
        <v>441</v>
      </c>
      <c r="S1661" s="35" t="str">
        <f>MID(Tabla1[[#This Row],[Aplicación]],6,2)</f>
        <v>06</v>
      </c>
      <c r="T1661" s="35" t="str">
        <f>VLOOKUP(Tabla1[[#This Row],[AREA]],Hoja1!A:B,2,FALSE)</f>
        <v>06. Educación, infancia, juventud e igualdad</v>
      </c>
      <c r="U1661" s="35" t="str">
        <f>MID(Tabla1[[#This Row],[Aplicación]],9,4)</f>
        <v>3321</v>
      </c>
      <c r="V1661" s="35" t="str">
        <f>VLOOKUP(Tabla1[[#This Row],[PROGRAMA]],Hoja1!A:B,2,FALSE)</f>
        <v>3321. Bibliotecas públicas</v>
      </c>
      <c r="W1661" s="35" t="str">
        <f>MID(Tabla1[[#This Row],[Aplicación]],14,2)</f>
        <v>22</v>
      </c>
      <c r="X1661" s="35" t="str">
        <f>MID(Tabla1[[#This Row],[Aplicación]],14,6)</f>
        <v>22001</v>
      </c>
    </row>
    <row r="1662" spans="1:24" x14ac:dyDescent="0.25">
      <c r="A1662" s="49">
        <v>220220013171</v>
      </c>
      <c r="B1662" s="50" t="s">
        <v>9</v>
      </c>
      <c r="C1662" s="57">
        <v>44649</v>
      </c>
      <c r="D1662" s="49">
        <v>22022003087</v>
      </c>
      <c r="E1662" s="50" t="s">
        <v>1415</v>
      </c>
      <c r="F1662" s="58">
        <v>1428</v>
      </c>
      <c r="G1662" s="50" t="s">
        <v>2894</v>
      </c>
      <c r="H1662" s="50" t="s">
        <v>3064</v>
      </c>
      <c r="I1662" s="49" t="s">
        <v>107</v>
      </c>
      <c r="J1662" s="50" t="s">
        <v>109</v>
      </c>
      <c r="K1662" s="50" t="s">
        <v>109</v>
      </c>
      <c r="L1662" s="50" t="s">
        <v>12</v>
      </c>
      <c r="M1662" s="50" t="s">
        <v>10</v>
      </c>
      <c r="N1662" s="50" t="s">
        <v>11</v>
      </c>
      <c r="O1662" s="48" t="s">
        <v>632</v>
      </c>
      <c r="P1662" s="45" t="s">
        <v>453</v>
      </c>
      <c r="Q1662" s="35" t="str">
        <f>MID(Tabla1[[#This Row],[Aplicación]],14,1)</f>
        <v>2</v>
      </c>
      <c r="R1662" s="35" t="s">
        <v>441</v>
      </c>
      <c r="S1662" s="35" t="str">
        <f>MID(Tabla1[[#This Row],[Aplicación]],6,2)</f>
        <v>06</v>
      </c>
      <c r="T1662" s="35" t="str">
        <f>VLOOKUP(Tabla1[[#This Row],[AREA]],Hoja1!A:B,2,FALSE)</f>
        <v>06. Educación, infancia, juventud e igualdad</v>
      </c>
      <c r="U1662" s="35" t="str">
        <f>MID(Tabla1[[#This Row],[Aplicación]],9,4)</f>
        <v>3261</v>
      </c>
      <c r="V1662" s="35" t="str">
        <f>VLOOKUP(Tabla1[[#This Row],[PROGRAMA]],Hoja1!A:B,2,FALSE)</f>
        <v>3261. Servicios complementarios de educación</v>
      </c>
      <c r="W1662" s="35" t="str">
        <f>MID(Tabla1[[#This Row],[Aplicación]],14,2)</f>
        <v>22</v>
      </c>
      <c r="X1662" s="35" t="str">
        <f>MID(Tabla1[[#This Row],[Aplicación]],14,6)</f>
        <v>22799</v>
      </c>
    </row>
    <row r="1663" spans="1:24" x14ac:dyDescent="0.25">
      <c r="A1663" s="49">
        <v>220220010681</v>
      </c>
      <c r="B1663" s="50" t="s">
        <v>172</v>
      </c>
      <c r="C1663" s="57">
        <v>44642</v>
      </c>
      <c r="D1663" s="49">
        <v>22021003437</v>
      </c>
      <c r="E1663" s="50" t="s">
        <v>1374</v>
      </c>
      <c r="F1663" s="58">
        <v>28322.36</v>
      </c>
      <c r="G1663" s="50" t="s">
        <v>3065</v>
      </c>
      <c r="H1663" s="50" t="s">
        <v>3066</v>
      </c>
      <c r="I1663" s="49" t="s">
        <v>173</v>
      </c>
      <c r="J1663" s="50" t="s">
        <v>108</v>
      </c>
      <c r="K1663" s="50" t="s">
        <v>108</v>
      </c>
      <c r="L1663" s="50" t="s">
        <v>25</v>
      </c>
      <c r="M1663" s="50" t="s">
        <v>13</v>
      </c>
      <c r="N1663" s="50" t="s">
        <v>14</v>
      </c>
      <c r="O1663" s="48" t="s">
        <v>620</v>
      </c>
      <c r="P1663" s="45" t="s">
        <v>453</v>
      </c>
      <c r="Q1663" s="35" t="str">
        <f>MID(Tabla1[[#This Row],[Aplicación]],14,1)</f>
        <v>6</v>
      </c>
      <c r="R1663" s="35" t="s">
        <v>442</v>
      </c>
      <c r="S1663" s="35" t="str">
        <f>MID(Tabla1[[#This Row],[Aplicación]],6,2)</f>
        <v>08</v>
      </c>
      <c r="T1663" s="35" t="str">
        <f>VLOOKUP(Tabla1[[#This Row],[AREA]],Hoja1!A:B,2,FALSE)</f>
        <v>08. Movilidad y espacio urbano</v>
      </c>
      <c r="U1663" s="35" t="str">
        <f>MID(Tabla1[[#This Row],[Aplicación]],9,4)</f>
        <v>1651</v>
      </c>
      <c r="V1663" s="35" t="str">
        <f>VLOOKUP(Tabla1[[#This Row],[PROGRAMA]],Hoja1!A:B,2,FALSE)</f>
        <v>1651. Alumbrado público</v>
      </c>
      <c r="W1663" s="35" t="str">
        <f>MID(Tabla1[[#This Row],[Aplicación]],14,2)</f>
        <v>61</v>
      </c>
      <c r="X1663" s="35" t="str">
        <f>MID(Tabla1[[#This Row],[Aplicación]],14,6)</f>
        <v>619</v>
      </c>
    </row>
    <row r="1664" spans="1:24" x14ac:dyDescent="0.25">
      <c r="A1664" s="49">
        <v>220220002266</v>
      </c>
      <c r="B1664" s="50" t="s">
        <v>9</v>
      </c>
      <c r="C1664" s="57">
        <v>44592</v>
      </c>
      <c r="D1664" s="49">
        <v>22022001756</v>
      </c>
      <c r="E1664" s="50" t="s">
        <v>1571</v>
      </c>
      <c r="F1664" s="58">
        <v>2100</v>
      </c>
      <c r="G1664" s="50" t="s">
        <v>3067</v>
      </c>
      <c r="H1664" s="50" t="s">
        <v>3068</v>
      </c>
      <c r="I1664" s="49" t="s">
        <v>107</v>
      </c>
      <c r="J1664" s="50" t="s">
        <v>109</v>
      </c>
      <c r="K1664" s="50" t="s">
        <v>109</v>
      </c>
      <c r="L1664" s="50" t="s">
        <v>12</v>
      </c>
      <c r="M1664" s="50" t="s">
        <v>10</v>
      </c>
      <c r="N1664" s="50" t="s">
        <v>11</v>
      </c>
      <c r="O1664" s="48" t="s">
        <v>632</v>
      </c>
      <c r="P1664" s="45" t="s">
        <v>453</v>
      </c>
      <c r="Q1664" s="35" t="str">
        <f>MID(Tabla1[[#This Row],[Aplicación]],14,1)</f>
        <v>2</v>
      </c>
      <c r="R1664" s="35" t="s">
        <v>441</v>
      </c>
      <c r="S1664" s="35" t="str">
        <f>MID(Tabla1[[#This Row],[Aplicación]],6,2)</f>
        <v>11</v>
      </c>
      <c r="T1664" s="35" t="str">
        <f>VLOOKUP(Tabla1[[#This Row],[AREA]],Hoja1!A:B,2,FALSE)</f>
        <v>11. Salud pública y seguridad ciudadana</v>
      </c>
      <c r="U1664" s="35" t="str">
        <f>MID(Tabla1[[#This Row],[Aplicación]],9,4)</f>
        <v>3111</v>
      </c>
      <c r="V1664" s="35" t="str">
        <f>VLOOKUP(Tabla1[[#This Row],[PROGRAMA]],Hoja1!A:B,2,FALSE)</f>
        <v>3111. Protección de la salubridad pública</v>
      </c>
      <c r="W1664" s="35" t="str">
        <f>MID(Tabla1[[#This Row],[Aplicación]],14,2)</f>
        <v>21</v>
      </c>
      <c r="X1664" s="35" t="str">
        <f>MID(Tabla1[[#This Row],[Aplicación]],14,6)</f>
        <v>213</v>
      </c>
    </row>
    <row r="1665" spans="1:24" x14ac:dyDescent="0.25">
      <c r="A1665" s="49">
        <v>220220003528</v>
      </c>
      <c r="B1665" s="50" t="s">
        <v>9</v>
      </c>
      <c r="C1665" s="57">
        <v>44606</v>
      </c>
      <c r="D1665" s="49">
        <v>22022002268</v>
      </c>
      <c r="E1665" s="50" t="s">
        <v>1571</v>
      </c>
      <c r="F1665" s="58">
        <v>2100</v>
      </c>
      <c r="G1665" s="50" t="s">
        <v>3069</v>
      </c>
      <c r="H1665" s="50" t="s">
        <v>3070</v>
      </c>
      <c r="I1665" s="49" t="s">
        <v>107</v>
      </c>
      <c r="J1665" s="50" t="s">
        <v>109</v>
      </c>
      <c r="K1665" s="50" t="s">
        <v>109</v>
      </c>
      <c r="L1665" s="50" t="s">
        <v>12</v>
      </c>
      <c r="M1665" s="50" t="s">
        <v>10</v>
      </c>
      <c r="N1665" s="50" t="s">
        <v>11</v>
      </c>
      <c r="O1665" s="48" t="s">
        <v>632</v>
      </c>
      <c r="P1665" s="45" t="s">
        <v>453</v>
      </c>
      <c r="Q1665" s="35" t="str">
        <f>MID(Tabla1[[#This Row],[Aplicación]],14,1)</f>
        <v>2</v>
      </c>
      <c r="R1665" s="35" t="s">
        <v>441</v>
      </c>
      <c r="S1665" s="35" t="str">
        <f>MID(Tabla1[[#This Row],[Aplicación]],6,2)</f>
        <v>11</v>
      </c>
      <c r="T1665" s="35" t="str">
        <f>VLOOKUP(Tabla1[[#This Row],[AREA]],Hoja1!A:B,2,FALSE)</f>
        <v>11. Salud pública y seguridad ciudadana</v>
      </c>
      <c r="U1665" s="35" t="str">
        <f>MID(Tabla1[[#This Row],[Aplicación]],9,4)</f>
        <v>3111</v>
      </c>
      <c r="V1665" s="35" t="str">
        <f>VLOOKUP(Tabla1[[#This Row],[PROGRAMA]],Hoja1!A:B,2,FALSE)</f>
        <v>3111. Protección de la salubridad pública</v>
      </c>
      <c r="W1665" s="35" t="str">
        <f>MID(Tabla1[[#This Row],[Aplicación]],14,2)</f>
        <v>21</v>
      </c>
      <c r="X1665" s="35" t="str">
        <f>MID(Tabla1[[#This Row],[Aplicación]],14,6)</f>
        <v>213</v>
      </c>
    </row>
    <row r="1666" spans="1:24" x14ac:dyDescent="0.25">
      <c r="A1666" s="49">
        <v>220219001135</v>
      </c>
      <c r="B1666" s="50" t="s">
        <v>9</v>
      </c>
      <c r="C1666" s="57">
        <v>44562</v>
      </c>
      <c r="D1666" s="49">
        <v>22022000298</v>
      </c>
      <c r="E1666" s="50" t="s">
        <v>1475</v>
      </c>
      <c r="F1666" s="58">
        <v>7139.09</v>
      </c>
      <c r="G1666" s="50" t="s">
        <v>1166</v>
      </c>
      <c r="H1666" s="50" t="s">
        <v>3071</v>
      </c>
      <c r="I1666" s="49" t="s">
        <v>107</v>
      </c>
      <c r="J1666" s="50" t="s">
        <v>539</v>
      </c>
      <c r="K1666" s="50" t="s">
        <v>109</v>
      </c>
      <c r="L1666" s="50" t="s">
        <v>12</v>
      </c>
      <c r="M1666" s="50" t="s">
        <v>13</v>
      </c>
      <c r="N1666" s="50" t="s">
        <v>14</v>
      </c>
      <c r="O1666" s="48" t="s">
        <v>620</v>
      </c>
      <c r="P1666" s="45" t="s">
        <v>453</v>
      </c>
      <c r="Q1666" s="35" t="str">
        <f>MID(Tabla1[[#This Row],[Aplicación]],14,1)</f>
        <v>2</v>
      </c>
      <c r="R1666" s="35" t="s">
        <v>441</v>
      </c>
      <c r="S1666" s="35" t="str">
        <f>MID(Tabla1[[#This Row],[Aplicación]],6,2)</f>
        <v>06</v>
      </c>
      <c r="T1666" s="35" t="str">
        <f>VLOOKUP(Tabla1[[#This Row],[AREA]],Hoja1!A:B,2,FALSE)</f>
        <v>06. Educación, infancia, juventud e igualdad</v>
      </c>
      <c r="U1666" s="35" t="str">
        <f>MID(Tabla1[[#This Row],[Aplicación]],9,4)</f>
        <v>3232</v>
      </c>
      <c r="V1666" s="35" t="str">
        <f>VLOOKUP(Tabla1[[#This Row],[PROGRAMA]],Hoja1!A:B,2,FALSE)</f>
        <v>3232. Conservación y mantenimiento centros educación infantil y primaria</v>
      </c>
      <c r="W1666" s="35" t="str">
        <f>MID(Tabla1[[#This Row],[Aplicación]],14,2)</f>
        <v>21</v>
      </c>
      <c r="X1666" s="35" t="str">
        <f>MID(Tabla1[[#This Row],[Aplicación]],14,6)</f>
        <v>213</v>
      </c>
    </row>
    <row r="1667" spans="1:24" x14ac:dyDescent="0.25">
      <c r="A1667" s="49">
        <v>220219001137</v>
      </c>
      <c r="B1667" s="50" t="s">
        <v>9</v>
      </c>
      <c r="C1667" s="57">
        <v>44562</v>
      </c>
      <c r="D1667" s="49">
        <v>22022000300</v>
      </c>
      <c r="E1667" s="50" t="s">
        <v>1759</v>
      </c>
      <c r="F1667" s="58">
        <v>1384.65</v>
      </c>
      <c r="G1667" s="50" t="s">
        <v>1166</v>
      </c>
      <c r="H1667" s="50" t="s">
        <v>3072</v>
      </c>
      <c r="I1667" s="49" t="s">
        <v>107</v>
      </c>
      <c r="J1667" s="50" t="s">
        <v>539</v>
      </c>
      <c r="K1667" s="50" t="s">
        <v>109</v>
      </c>
      <c r="L1667" s="50" t="s">
        <v>12</v>
      </c>
      <c r="M1667" s="50" t="s">
        <v>13</v>
      </c>
      <c r="N1667" s="50" t="s">
        <v>14</v>
      </c>
      <c r="O1667" s="48" t="s">
        <v>620</v>
      </c>
      <c r="P1667" s="45" t="s">
        <v>453</v>
      </c>
      <c r="Q1667" s="35" t="str">
        <f>MID(Tabla1[[#This Row],[Aplicación]],14,1)</f>
        <v>2</v>
      </c>
      <c r="R1667" s="35" t="s">
        <v>441</v>
      </c>
      <c r="S1667" s="35" t="str">
        <f>MID(Tabla1[[#This Row],[Aplicación]],6,2)</f>
        <v>02</v>
      </c>
      <c r="T1667" s="35" t="str">
        <f>VLOOKUP(Tabla1[[#This Row],[AREA]],Hoja1!A:B,2,FALSE)</f>
        <v>02. Planeamiento urbanístico y vivienda</v>
      </c>
      <c r="U1667" s="35" t="str">
        <f>MID(Tabla1[[#This Row],[Aplicación]],9,4)</f>
        <v>9332</v>
      </c>
      <c r="V1667" s="35" t="str">
        <f>VLOOKUP(Tabla1[[#This Row],[PROGRAMA]],Hoja1!A:B,2,FALSE)</f>
        <v>9332. Mantenimiento de edificios e instalaciones municipales</v>
      </c>
      <c r="W1667" s="35" t="str">
        <f>MID(Tabla1[[#This Row],[Aplicación]],14,2)</f>
        <v>21</v>
      </c>
      <c r="X1667" s="35" t="str">
        <f>MID(Tabla1[[#This Row],[Aplicación]],14,6)</f>
        <v>213</v>
      </c>
    </row>
    <row r="1668" spans="1:24" x14ac:dyDescent="0.25">
      <c r="A1668" s="49">
        <v>220220002529</v>
      </c>
      <c r="B1668" s="50" t="s">
        <v>9</v>
      </c>
      <c r="C1668" s="57">
        <v>44595</v>
      </c>
      <c r="D1668" s="49">
        <v>22022001798</v>
      </c>
      <c r="E1668" s="50" t="s">
        <v>1742</v>
      </c>
      <c r="F1668" s="58">
        <v>2011.78</v>
      </c>
      <c r="G1668" s="50" t="s">
        <v>139</v>
      </c>
      <c r="H1668" s="50" t="s">
        <v>3073</v>
      </c>
      <c r="I1668" s="49" t="s">
        <v>107</v>
      </c>
      <c r="J1668" s="50" t="s">
        <v>109</v>
      </c>
      <c r="K1668" s="50" t="s">
        <v>108</v>
      </c>
      <c r="L1668" s="50" t="s">
        <v>15</v>
      </c>
      <c r="M1668" s="50" t="s">
        <v>10</v>
      </c>
      <c r="N1668" s="50" t="s">
        <v>11</v>
      </c>
      <c r="O1668" s="48" t="s">
        <v>632</v>
      </c>
      <c r="P1668" s="45" t="s">
        <v>453</v>
      </c>
      <c r="Q1668" s="35" t="str">
        <f>MID(Tabla1[[#This Row],[Aplicación]],14,1)</f>
        <v>2</v>
      </c>
      <c r="R1668" s="35" t="s">
        <v>441</v>
      </c>
      <c r="S1668" s="35" t="str">
        <f>MID(Tabla1[[#This Row],[Aplicación]],6,2)</f>
        <v>03</v>
      </c>
      <c r="T1668" s="35" t="str">
        <f>VLOOKUP(Tabla1[[#This Row],[AREA]],Hoja1!A:B,2,FALSE)</f>
        <v>03. Participación ciudadana y deportes</v>
      </c>
      <c r="U1668" s="35" t="str">
        <f>MID(Tabla1[[#This Row],[Aplicación]],9,4)</f>
        <v>9241</v>
      </c>
      <c r="V1668" s="35" t="str">
        <f>VLOOKUP(Tabla1[[#This Row],[PROGRAMA]],Hoja1!A:B,2,FALSE)</f>
        <v>9241. Participación ciudadana</v>
      </c>
      <c r="W1668" s="35" t="str">
        <f>MID(Tabla1[[#This Row],[Aplicación]],14,2)</f>
        <v>21</v>
      </c>
      <c r="X1668" s="35" t="str">
        <f>MID(Tabla1[[#This Row],[Aplicación]],14,6)</f>
        <v>213</v>
      </c>
    </row>
    <row r="1669" spans="1:24" x14ac:dyDescent="0.25">
      <c r="A1669" s="49">
        <v>220219001140</v>
      </c>
      <c r="B1669" s="50" t="s">
        <v>9</v>
      </c>
      <c r="C1669" s="57">
        <v>44562</v>
      </c>
      <c r="D1669" s="49">
        <v>22022000303</v>
      </c>
      <c r="E1669" s="50" t="s">
        <v>1496</v>
      </c>
      <c r="F1669" s="58">
        <v>260.64</v>
      </c>
      <c r="G1669" s="50" t="s">
        <v>1166</v>
      </c>
      <c r="H1669" s="50" t="s">
        <v>3074</v>
      </c>
      <c r="I1669" s="49" t="s">
        <v>107</v>
      </c>
      <c r="J1669" s="50" t="s">
        <v>539</v>
      </c>
      <c r="K1669" s="50" t="s">
        <v>109</v>
      </c>
      <c r="L1669" s="50" t="s">
        <v>12</v>
      </c>
      <c r="M1669" s="50" t="s">
        <v>13</v>
      </c>
      <c r="N1669" s="50" t="s">
        <v>14</v>
      </c>
      <c r="O1669" s="48" t="s">
        <v>620</v>
      </c>
      <c r="P1669" s="45" t="s">
        <v>453</v>
      </c>
      <c r="Q1669" s="35" t="str">
        <f>MID(Tabla1[[#This Row],[Aplicación]],14,1)</f>
        <v>2</v>
      </c>
      <c r="R1669" s="35" t="s">
        <v>441</v>
      </c>
      <c r="S1669" s="35" t="str">
        <f>MID(Tabla1[[#This Row],[Aplicación]],6,2)</f>
        <v>10</v>
      </c>
      <c r="T1669" s="35" t="str">
        <f>VLOOKUP(Tabla1[[#This Row],[AREA]],Hoja1!A:B,2,FALSE)</f>
        <v>10. Servicios sociales y mediación comunitaria</v>
      </c>
      <c r="U1669" s="35" t="str">
        <f>MID(Tabla1[[#This Row],[Aplicación]],9,4)</f>
        <v>2311</v>
      </c>
      <c r="V1669" s="35" t="str">
        <f>VLOOKUP(Tabla1[[#This Row],[PROGRAMA]],Hoja1!A:B,2,FALSE)</f>
        <v>2311. Intervención social</v>
      </c>
      <c r="W1669" s="35" t="str">
        <f>MID(Tabla1[[#This Row],[Aplicación]],14,2)</f>
        <v>21</v>
      </c>
      <c r="X1669" s="35" t="str">
        <f>MID(Tabla1[[#This Row],[Aplicación]],14,6)</f>
        <v>213</v>
      </c>
    </row>
    <row r="1670" spans="1:24" x14ac:dyDescent="0.25">
      <c r="A1670" s="49">
        <v>220219000183</v>
      </c>
      <c r="B1670" s="50" t="s">
        <v>9</v>
      </c>
      <c r="C1670" s="57">
        <v>44562</v>
      </c>
      <c r="D1670" s="49">
        <v>22022000040</v>
      </c>
      <c r="E1670" s="50" t="s">
        <v>1361</v>
      </c>
      <c r="F1670" s="58">
        <v>1384.11</v>
      </c>
      <c r="G1670" s="50" t="s">
        <v>818</v>
      </c>
      <c r="H1670" s="50" t="s">
        <v>3075</v>
      </c>
      <c r="I1670" s="49" t="s">
        <v>107</v>
      </c>
      <c r="J1670" s="50" t="s">
        <v>109</v>
      </c>
      <c r="K1670" s="50" t="s">
        <v>109</v>
      </c>
      <c r="L1670" s="50" t="s">
        <v>12</v>
      </c>
      <c r="M1670" s="50" t="s">
        <v>13</v>
      </c>
      <c r="N1670" s="50" t="s">
        <v>14</v>
      </c>
      <c r="O1670" s="48" t="s">
        <v>620</v>
      </c>
      <c r="P1670" s="45" t="s">
        <v>453</v>
      </c>
      <c r="Q1670" s="35" t="str">
        <f>MID(Tabla1[[#This Row],[Aplicación]],14,1)</f>
        <v>2</v>
      </c>
      <c r="R1670" s="35" t="s">
        <v>441</v>
      </c>
      <c r="S1670" s="35" t="str">
        <f>MID(Tabla1[[#This Row],[Aplicación]],6,2)</f>
        <v>10</v>
      </c>
      <c r="T1670" s="35" t="str">
        <f>VLOOKUP(Tabla1[[#This Row],[AREA]],Hoja1!A:B,2,FALSE)</f>
        <v>10. Servicios sociales y mediación comunitaria</v>
      </c>
      <c r="U1670" s="35" t="str">
        <f>MID(Tabla1[[#This Row],[Aplicación]],9,4)</f>
        <v>2311</v>
      </c>
      <c r="V1670" s="35" t="str">
        <f>VLOOKUP(Tabla1[[#This Row],[PROGRAMA]],Hoja1!A:B,2,FALSE)</f>
        <v>2311. Intervención social</v>
      </c>
      <c r="W1670" s="35" t="str">
        <f>MID(Tabla1[[#This Row],[Aplicación]],14,2)</f>
        <v>22</v>
      </c>
      <c r="X1670" s="35" t="str">
        <f>MID(Tabla1[[#This Row],[Aplicación]],14,6)</f>
        <v>22799</v>
      </c>
    </row>
    <row r="1671" spans="1:24" x14ac:dyDescent="0.25">
      <c r="A1671" s="49">
        <v>220220010301</v>
      </c>
      <c r="B1671" s="50" t="s">
        <v>9</v>
      </c>
      <c r="C1671" s="57">
        <v>44641</v>
      </c>
      <c r="D1671" s="49">
        <v>22022002713</v>
      </c>
      <c r="E1671" s="50" t="s">
        <v>2789</v>
      </c>
      <c r="F1671" s="58">
        <v>1512.5</v>
      </c>
      <c r="G1671" s="50" t="s">
        <v>862</v>
      </c>
      <c r="H1671" s="50" t="s">
        <v>3076</v>
      </c>
      <c r="I1671" s="49" t="s">
        <v>107</v>
      </c>
      <c r="J1671" s="50" t="s">
        <v>109</v>
      </c>
      <c r="K1671" s="50" t="s">
        <v>109</v>
      </c>
      <c r="L1671" s="50" t="s">
        <v>12</v>
      </c>
      <c r="M1671" s="50" t="s">
        <v>10</v>
      </c>
      <c r="N1671" s="50" t="s">
        <v>11</v>
      </c>
      <c r="O1671" s="48" t="s">
        <v>632</v>
      </c>
      <c r="P1671" s="45" t="s">
        <v>453</v>
      </c>
      <c r="Q1671" s="35" t="str">
        <f>MID(Tabla1[[#This Row],[Aplicación]],14,1)</f>
        <v>2</v>
      </c>
      <c r="R1671" s="35" t="s">
        <v>441</v>
      </c>
      <c r="S1671" s="35" t="str">
        <f>MID(Tabla1[[#This Row],[Aplicación]],6,2)</f>
        <v>11</v>
      </c>
      <c r="T1671" s="35" t="str">
        <f>VLOOKUP(Tabla1[[#This Row],[AREA]],Hoja1!A:B,2,FALSE)</f>
        <v>11. Salud pública y seguridad ciudadana</v>
      </c>
      <c r="U1671" s="35" t="str">
        <f>MID(Tabla1[[#This Row],[Aplicación]],9,4)</f>
        <v>1621</v>
      </c>
      <c r="V1671" s="35" t="str">
        <f>VLOOKUP(Tabla1[[#This Row],[PROGRAMA]],Hoja1!A:B,2,FALSE)</f>
        <v>1621. Servicio de limpieza</v>
      </c>
      <c r="W1671" s="35" t="str">
        <f>MID(Tabla1[[#This Row],[Aplicación]],14,2)</f>
        <v>22</v>
      </c>
      <c r="X1671" s="35" t="str">
        <f>MID(Tabla1[[#This Row],[Aplicación]],14,6)</f>
        <v>22706</v>
      </c>
    </row>
    <row r="1672" spans="1:24" x14ac:dyDescent="0.25">
      <c r="A1672" s="49">
        <v>220220001712</v>
      </c>
      <c r="B1672" s="50" t="s">
        <v>9</v>
      </c>
      <c r="C1672" s="57">
        <v>44588</v>
      </c>
      <c r="D1672" s="49">
        <v>22022001654</v>
      </c>
      <c r="E1672" s="50" t="s">
        <v>1581</v>
      </c>
      <c r="F1672" s="58">
        <v>1500</v>
      </c>
      <c r="G1672" s="50" t="s">
        <v>211</v>
      </c>
      <c r="H1672" s="50" t="s">
        <v>3077</v>
      </c>
      <c r="I1672" s="49" t="s">
        <v>107</v>
      </c>
      <c r="J1672" s="50" t="s">
        <v>109</v>
      </c>
      <c r="K1672" s="50" t="s">
        <v>109</v>
      </c>
      <c r="L1672" s="50" t="s">
        <v>15</v>
      </c>
      <c r="M1672" s="50" t="s">
        <v>10</v>
      </c>
      <c r="N1672" s="50" t="s">
        <v>11</v>
      </c>
      <c r="O1672" s="48" t="s">
        <v>632</v>
      </c>
      <c r="P1672" s="45" t="s">
        <v>453</v>
      </c>
      <c r="Q1672" s="35" t="str">
        <f>MID(Tabla1[[#This Row],[Aplicación]],14,1)</f>
        <v>2</v>
      </c>
      <c r="R1672" s="35" t="s">
        <v>441</v>
      </c>
      <c r="S1672" s="35" t="str">
        <f>MID(Tabla1[[#This Row],[Aplicación]],6,2)</f>
        <v>07</v>
      </c>
      <c r="T1672" s="35" t="str">
        <f>VLOOKUP(Tabla1[[#This Row],[AREA]],Hoja1!A:B,2,FALSE)</f>
        <v>07. Medio ambiente y desarrollo sostenible</v>
      </c>
      <c r="U1672" s="35" t="str">
        <f>MID(Tabla1[[#This Row],[Aplicación]],9,4)</f>
        <v>1711</v>
      </c>
      <c r="V1672" s="35" t="str">
        <f>VLOOKUP(Tabla1[[#This Row],[PROGRAMA]],Hoja1!A:B,2,FALSE)</f>
        <v>1711. Parques y jardines</v>
      </c>
      <c r="W1672" s="35" t="str">
        <f>MID(Tabla1[[#This Row],[Aplicación]],14,2)</f>
        <v>22</v>
      </c>
      <c r="X1672" s="35" t="str">
        <f>MID(Tabla1[[#This Row],[Aplicación]],14,6)</f>
        <v>22199</v>
      </c>
    </row>
    <row r="1673" spans="1:24" x14ac:dyDescent="0.25">
      <c r="A1673" s="49">
        <v>220220003521</v>
      </c>
      <c r="B1673" s="50" t="s">
        <v>9</v>
      </c>
      <c r="C1673" s="57">
        <v>44606</v>
      </c>
      <c r="D1673" s="49">
        <v>22022001446</v>
      </c>
      <c r="E1673" s="50" t="s">
        <v>2910</v>
      </c>
      <c r="F1673" s="58">
        <v>1332.95</v>
      </c>
      <c r="G1673" s="50" t="s">
        <v>556</v>
      </c>
      <c r="H1673" s="50" t="s">
        <v>2911</v>
      </c>
      <c r="I1673" s="49" t="s">
        <v>107</v>
      </c>
      <c r="J1673" s="50" t="s">
        <v>108</v>
      </c>
      <c r="K1673" s="50" t="s">
        <v>108</v>
      </c>
      <c r="L1673" s="50" t="s">
        <v>12</v>
      </c>
      <c r="M1673" s="50" t="s">
        <v>13</v>
      </c>
      <c r="N1673" s="50" t="s">
        <v>14</v>
      </c>
      <c r="O1673" s="48" t="s">
        <v>620</v>
      </c>
      <c r="P1673" s="45" t="s">
        <v>453</v>
      </c>
      <c r="Q1673" s="35" t="str">
        <f>MID(Tabla1[[#This Row],[Aplicación]],14,1)</f>
        <v>2</v>
      </c>
      <c r="R1673" s="35" t="s">
        <v>441</v>
      </c>
      <c r="S1673" s="35" t="str">
        <f>MID(Tabla1[[#This Row],[Aplicación]],6,2)</f>
        <v>10</v>
      </c>
      <c r="T1673" s="35" t="str">
        <f>VLOOKUP(Tabla1[[#This Row],[AREA]],Hoja1!A:B,2,FALSE)</f>
        <v>10. Servicios sociales y mediación comunitaria</v>
      </c>
      <c r="U1673" s="35" t="str">
        <f>MID(Tabla1[[#This Row],[Aplicación]],9,4)</f>
        <v>2312</v>
      </c>
      <c r="V1673" s="35" t="str">
        <f>VLOOKUP(Tabla1[[#This Row],[PROGRAMA]],Hoja1!A:B,2,FALSE)</f>
        <v>2312. Iniciativas sociales</v>
      </c>
      <c r="W1673" s="35" t="str">
        <f>MID(Tabla1[[#This Row],[Aplicación]],14,2)</f>
        <v>21</v>
      </c>
      <c r="X1673" s="35" t="str">
        <f>MID(Tabla1[[#This Row],[Aplicación]],14,6)</f>
        <v>216</v>
      </c>
    </row>
    <row r="1674" spans="1:24" x14ac:dyDescent="0.25">
      <c r="A1674" s="49">
        <v>220219000392</v>
      </c>
      <c r="B1674" s="50" t="s">
        <v>9</v>
      </c>
      <c r="C1674" s="57">
        <v>44562</v>
      </c>
      <c r="D1674" s="49">
        <v>22022000508</v>
      </c>
      <c r="E1674" s="50" t="s">
        <v>2222</v>
      </c>
      <c r="F1674" s="58">
        <v>1320</v>
      </c>
      <c r="G1674" s="50" t="s">
        <v>158</v>
      </c>
      <c r="H1674" s="50" t="s">
        <v>3078</v>
      </c>
      <c r="I1674" s="49" t="s">
        <v>107</v>
      </c>
      <c r="J1674" s="50" t="s">
        <v>108</v>
      </c>
      <c r="K1674" s="50" t="s">
        <v>108</v>
      </c>
      <c r="L1674" s="50" t="s">
        <v>15</v>
      </c>
      <c r="M1674" s="50" t="s">
        <v>13</v>
      </c>
      <c r="N1674" s="50" t="s">
        <v>16</v>
      </c>
      <c r="O1674" s="48" t="s">
        <v>620</v>
      </c>
      <c r="P1674" s="45" t="s">
        <v>453</v>
      </c>
      <c r="Q1674" s="35" t="str">
        <f>MID(Tabla1[[#This Row],[Aplicación]],14,1)</f>
        <v>2</v>
      </c>
      <c r="R1674" s="35" t="s">
        <v>441</v>
      </c>
      <c r="S1674" s="35" t="str">
        <f>MID(Tabla1[[#This Row],[Aplicación]],6,2)</f>
        <v>11</v>
      </c>
      <c r="T1674" s="35" t="str">
        <f>VLOOKUP(Tabla1[[#This Row],[AREA]],Hoja1!A:B,2,FALSE)</f>
        <v>11. Salud pública y seguridad ciudadana</v>
      </c>
      <c r="U1674" s="35" t="str">
        <f>MID(Tabla1[[#This Row],[Aplicación]],9,4)</f>
        <v>3111</v>
      </c>
      <c r="V1674" s="35" t="str">
        <f>VLOOKUP(Tabla1[[#This Row],[PROGRAMA]],Hoja1!A:B,2,FALSE)</f>
        <v>3111. Protección de la salubridad pública</v>
      </c>
      <c r="W1674" s="35" t="str">
        <f>MID(Tabla1[[#This Row],[Aplicación]],14,2)</f>
        <v>22</v>
      </c>
      <c r="X1674" s="35" t="str">
        <f>MID(Tabla1[[#This Row],[Aplicación]],14,6)</f>
        <v>22103</v>
      </c>
    </row>
    <row r="1675" spans="1:24" x14ac:dyDescent="0.25">
      <c r="A1675" s="49">
        <v>220220001596</v>
      </c>
      <c r="B1675" s="50" t="s">
        <v>9</v>
      </c>
      <c r="C1675" s="57">
        <v>44587</v>
      </c>
      <c r="D1675" s="49">
        <v>22022001189</v>
      </c>
      <c r="E1675" s="50" t="s">
        <v>1762</v>
      </c>
      <c r="F1675" s="58">
        <v>300.02</v>
      </c>
      <c r="G1675" s="50" t="s">
        <v>202</v>
      </c>
      <c r="H1675" s="50" t="s">
        <v>3079</v>
      </c>
      <c r="I1675" s="49" t="s">
        <v>107</v>
      </c>
      <c r="J1675" s="50" t="s">
        <v>564</v>
      </c>
      <c r="K1675" s="50" t="s">
        <v>128</v>
      </c>
      <c r="L1675" s="50" t="s">
        <v>15</v>
      </c>
      <c r="M1675" s="50" t="s">
        <v>10</v>
      </c>
      <c r="N1675" s="50" t="s">
        <v>11</v>
      </c>
      <c r="O1675" s="48" t="s">
        <v>632</v>
      </c>
      <c r="P1675" s="45" t="s">
        <v>453</v>
      </c>
      <c r="Q1675" s="35" t="str">
        <f>MID(Tabla1[[#This Row],[Aplicación]],14,1)</f>
        <v>2</v>
      </c>
      <c r="R1675" s="35" t="s">
        <v>441</v>
      </c>
      <c r="S1675" s="35" t="str">
        <f>MID(Tabla1[[#This Row],[Aplicación]],6,2)</f>
        <v>06</v>
      </c>
      <c r="T1675" s="35" t="str">
        <f>VLOOKUP(Tabla1[[#This Row],[AREA]],Hoja1!A:B,2,FALSE)</f>
        <v>06. Educación, infancia, juventud e igualdad</v>
      </c>
      <c r="U1675" s="35" t="str">
        <f>MID(Tabla1[[#This Row],[Aplicación]],9,4)</f>
        <v>3321</v>
      </c>
      <c r="V1675" s="35" t="str">
        <f>VLOOKUP(Tabla1[[#This Row],[PROGRAMA]],Hoja1!A:B,2,FALSE)</f>
        <v>3321. Bibliotecas públicas</v>
      </c>
      <c r="W1675" s="35" t="str">
        <f>MID(Tabla1[[#This Row],[Aplicación]],14,2)</f>
        <v>22</v>
      </c>
      <c r="X1675" s="35" t="str">
        <f>MID(Tabla1[[#This Row],[Aplicación]],14,6)</f>
        <v>22001</v>
      </c>
    </row>
    <row r="1676" spans="1:24" x14ac:dyDescent="0.25">
      <c r="A1676" s="49">
        <v>220220005926</v>
      </c>
      <c r="B1676" s="50" t="s">
        <v>9</v>
      </c>
      <c r="C1676" s="57">
        <v>44616</v>
      </c>
      <c r="D1676" s="49">
        <v>22022002238</v>
      </c>
      <c r="E1676" s="50" t="s">
        <v>1611</v>
      </c>
      <c r="F1676" s="58">
        <v>442.24</v>
      </c>
      <c r="G1676" s="50" t="s">
        <v>210</v>
      </c>
      <c r="H1676" s="50" t="s">
        <v>3080</v>
      </c>
      <c r="I1676" s="49" t="s">
        <v>107</v>
      </c>
      <c r="J1676" s="50" t="s">
        <v>108</v>
      </c>
      <c r="K1676" s="50" t="s">
        <v>108</v>
      </c>
      <c r="L1676" s="50" t="s">
        <v>15</v>
      </c>
      <c r="M1676" s="50" t="s">
        <v>10</v>
      </c>
      <c r="N1676" s="50" t="s">
        <v>11</v>
      </c>
      <c r="O1676" s="48" t="s">
        <v>632</v>
      </c>
      <c r="P1676" s="45" t="s">
        <v>453</v>
      </c>
      <c r="Q1676" s="35" t="str">
        <f>MID(Tabla1[[#This Row],[Aplicación]],14,1)</f>
        <v>2</v>
      </c>
      <c r="R1676" s="35" t="s">
        <v>441</v>
      </c>
      <c r="S1676" s="35" t="str">
        <f>MID(Tabla1[[#This Row],[Aplicación]],6,2)</f>
        <v>01</v>
      </c>
      <c r="T1676" s="35" t="str">
        <f>VLOOKUP(Tabla1[[#This Row],[AREA]],Hoja1!A:B,2,FALSE)</f>
        <v>01. Alcaldía</v>
      </c>
      <c r="U1676" s="35" t="str">
        <f>MID(Tabla1[[#This Row],[Aplicación]],9,4)</f>
        <v>9207</v>
      </c>
      <c r="V1676" s="35" t="str">
        <f>VLOOKUP(Tabla1[[#This Row],[PROGRAMA]],Hoja1!A:B,2,FALSE)</f>
        <v>9207. Gobierno y relaciones</v>
      </c>
      <c r="W1676" s="35" t="str">
        <f>MID(Tabla1[[#This Row],[Aplicación]],14,2)</f>
        <v>22</v>
      </c>
      <c r="X1676" s="35" t="str">
        <f>MID(Tabla1[[#This Row],[Aplicación]],14,6)</f>
        <v>22001</v>
      </c>
    </row>
    <row r="1677" spans="1:24" x14ac:dyDescent="0.25">
      <c r="A1677" s="49">
        <v>220220000320</v>
      </c>
      <c r="B1677" s="50" t="s">
        <v>26</v>
      </c>
      <c r="C1677" s="57">
        <v>44582</v>
      </c>
      <c r="D1677" s="49">
        <v>22022001319</v>
      </c>
      <c r="E1677" s="50" t="s">
        <v>2805</v>
      </c>
      <c r="F1677" s="58">
        <v>1157.98</v>
      </c>
      <c r="G1677" s="50" t="s">
        <v>131</v>
      </c>
      <c r="H1677" s="50" t="s">
        <v>3081</v>
      </c>
      <c r="I1677" s="49" t="s">
        <v>197</v>
      </c>
      <c r="J1677" s="50" t="s">
        <v>109</v>
      </c>
      <c r="K1677" s="50" t="s">
        <v>109</v>
      </c>
      <c r="L1677" s="50" t="s">
        <v>12</v>
      </c>
      <c r="M1677" s="50" t="s">
        <v>10</v>
      </c>
      <c r="N1677" s="50" t="s">
        <v>11</v>
      </c>
      <c r="O1677" s="48" t="s">
        <v>632</v>
      </c>
      <c r="P1677" s="45" t="s">
        <v>453</v>
      </c>
      <c r="Q1677" s="35" t="str">
        <f>MID(Tabla1[[#This Row],[Aplicación]],14,1)</f>
        <v>2</v>
      </c>
      <c r="R1677" s="35" t="s">
        <v>441</v>
      </c>
      <c r="S1677" s="35" t="str">
        <f>MID(Tabla1[[#This Row],[Aplicación]],6,2)</f>
        <v>03</v>
      </c>
      <c r="T1677" s="35" t="str">
        <f>VLOOKUP(Tabla1[[#This Row],[AREA]],Hoja1!A:B,2,FALSE)</f>
        <v>03. Participación ciudadana y deportes</v>
      </c>
      <c r="U1677" s="35" t="str">
        <f>MID(Tabla1[[#This Row],[Aplicación]],9,4)</f>
        <v>9241</v>
      </c>
      <c r="V1677" s="35" t="str">
        <f>VLOOKUP(Tabla1[[#This Row],[PROGRAMA]],Hoja1!A:B,2,FALSE)</f>
        <v>9241. Participación ciudadana</v>
      </c>
      <c r="W1677" s="35" t="str">
        <f>MID(Tabla1[[#This Row],[Aplicación]],14,2)</f>
        <v>22</v>
      </c>
      <c r="X1677" s="35" t="str">
        <f>MID(Tabla1[[#This Row],[Aplicación]],14,6)</f>
        <v>223</v>
      </c>
    </row>
    <row r="1678" spans="1:24" x14ac:dyDescent="0.25">
      <c r="A1678" s="49">
        <v>220220000068</v>
      </c>
      <c r="B1678" s="50" t="s">
        <v>9</v>
      </c>
      <c r="C1678" s="57">
        <v>44580</v>
      </c>
      <c r="D1678" s="49">
        <v>22022000889</v>
      </c>
      <c r="E1678" s="50" t="s">
        <v>1434</v>
      </c>
      <c r="F1678" s="58">
        <v>1500</v>
      </c>
      <c r="G1678" s="50" t="s">
        <v>98</v>
      </c>
      <c r="H1678" s="50" t="s">
        <v>3082</v>
      </c>
      <c r="I1678" s="49" t="s">
        <v>107</v>
      </c>
      <c r="J1678" s="50" t="s">
        <v>109</v>
      </c>
      <c r="K1678" s="50" t="s">
        <v>109</v>
      </c>
      <c r="L1678" s="50" t="s">
        <v>15</v>
      </c>
      <c r="M1678" s="50" t="s">
        <v>10</v>
      </c>
      <c r="N1678" s="50" t="s">
        <v>11</v>
      </c>
      <c r="O1678" s="48" t="s">
        <v>632</v>
      </c>
      <c r="P1678" s="45" t="s">
        <v>453</v>
      </c>
      <c r="Q1678" s="35" t="str">
        <f>MID(Tabla1[[#This Row],[Aplicación]],14,1)</f>
        <v>2</v>
      </c>
      <c r="R1678" s="35" t="s">
        <v>441</v>
      </c>
      <c r="S1678" s="35" t="str">
        <f>MID(Tabla1[[#This Row],[Aplicación]],6,2)</f>
        <v>11</v>
      </c>
      <c r="T1678" s="35" t="str">
        <f>VLOOKUP(Tabla1[[#This Row],[AREA]],Hoja1!A:B,2,FALSE)</f>
        <v>11. Salud pública y seguridad ciudadana</v>
      </c>
      <c r="U1678" s="35" t="str">
        <f>MID(Tabla1[[#This Row],[Aplicación]],9,4)</f>
        <v>1631</v>
      </c>
      <c r="V1678" s="35" t="str">
        <f>VLOOKUP(Tabla1[[#This Row],[PROGRAMA]],Hoja1!A:B,2,FALSE)</f>
        <v>1631. Limpieza viaria</v>
      </c>
      <c r="W1678" s="35" t="str">
        <f>MID(Tabla1[[#This Row],[Aplicación]],14,2)</f>
        <v>21</v>
      </c>
      <c r="X1678" s="35" t="str">
        <f>MID(Tabla1[[#This Row],[Aplicación]],14,6)</f>
        <v>214</v>
      </c>
    </row>
    <row r="1679" spans="1:24" x14ac:dyDescent="0.25">
      <c r="A1679" s="49">
        <v>220220002260</v>
      </c>
      <c r="B1679" s="50" t="s">
        <v>9</v>
      </c>
      <c r="C1679" s="57">
        <v>44592</v>
      </c>
      <c r="D1679" s="49">
        <v>22022001701</v>
      </c>
      <c r="E1679" s="50" t="s">
        <v>3083</v>
      </c>
      <c r="F1679" s="58">
        <v>1500</v>
      </c>
      <c r="G1679" s="50" t="s">
        <v>224</v>
      </c>
      <c r="H1679" s="50" t="s">
        <v>3084</v>
      </c>
      <c r="I1679" s="49" t="s">
        <v>107</v>
      </c>
      <c r="J1679" s="50" t="s">
        <v>109</v>
      </c>
      <c r="K1679" s="50" t="s">
        <v>109</v>
      </c>
      <c r="L1679" s="50" t="s">
        <v>15</v>
      </c>
      <c r="M1679" s="50" t="s">
        <v>10</v>
      </c>
      <c r="N1679" s="50" t="s">
        <v>11</v>
      </c>
      <c r="O1679" s="48" t="s">
        <v>632</v>
      </c>
      <c r="P1679" s="45" t="s">
        <v>453</v>
      </c>
      <c r="Q1679" s="35" t="str">
        <f>MID(Tabla1[[#This Row],[Aplicación]],14,1)</f>
        <v>2</v>
      </c>
      <c r="R1679" s="35" t="s">
        <v>441</v>
      </c>
      <c r="S1679" s="35" t="str">
        <f>MID(Tabla1[[#This Row],[Aplicación]],6,2)</f>
        <v>10</v>
      </c>
      <c r="T1679" s="35" t="str">
        <f>VLOOKUP(Tabla1[[#This Row],[AREA]],Hoja1!A:B,2,FALSE)</f>
        <v>10. Servicios sociales y mediación comunitaria</v>
      </c>
      <c r="U1679" s="35" t="str">
        <f>MID(Tabla1[[#This Row],[Aplicación]],9,4)</f>
        <v>2412</v>
      </c>
      <c r="V1679" s="35" t="str">
        <f>VLOOKUP(Tabla1[[#This Row],[PROGRAMA]],Hoja1!A:B,2,FALSE)</f>
        <v>2412. Formación para el empleo</v>
      </c>
      <c r="W1679" s="35" t="str">
        <f>MID(Tabla1[[#This Row],[Aplicación]],14,2)</f>
        <v>22</v>
      </c>
      <c r="X1679" s="35" t="str">
        <f>MID(Tabla1[[#This Row],[Aplicación]],14,6)</f>
        <v>22110</v>
      </c>
    </row>
    <row r="1680" spans="1:24" x14ac:dyDescent="0.25">
      <c r="A1680" s="49">
        <v>220219000395</v>
      </c>
      <c r="B1680" s="50" t="s">
        <v>9</v>
      </c>
      <c r="C1680" s="57">
        <v>44562</v>
      </c>
      <c r="D1680" s="49">
        <v>22022000511</v>
      </c>
      <c r="E1680" s="50" t="s">
        <v>3085</v>
      </c>
      <c r="F1680" s="58">
        <v>1500</v>
      </c>
      <c r="G1680" s="50" t="s">
        <v>158</v>
      </c>
      <c r="H1680" s="50" t="s">
        <v>3086</v>
      </c>
      <c r="I1680" s="49" t="s">
        <v>107</v>
      </c>
      <c r="J1680" s="50" t="s">
        <v>108</v>
      </c>
      <c r="K1680" s="50" t="s">
        <v>108</v>
      </c>
      <c r="L1680" s="50" t="s">
        <v>15</v>
      </c>
      <c r="M1680" s="50" t="s">
        <v>13</v>
      </c>
      <c r="N1680" s="50" t="s">
        <v>14</v>
      </c>
      <c r="O1680" s="48" t="s">
        <v>620</v>
      </c>
      <c r="P1680" s="45" t="s">
        <v>453</v>
      </c>
      <c r="Q1680" s="35" t="str">
        <f>MID(Tabla1[[#This Row],[Aplicación]],14,1)</f>
        <v>2</v>
      </c>
      <c r="R1680" s="35" t="s">
        <v>441</v>
      </c>
      <c r="S1680" s="35" t="str">
        <f>MID(Tabla1[[#This Row],[Aplicación]],6,2)</f>
        <v>01</v>
      </c>
      <c r="T1680" s="35" t="str">
        <f>VLOOKUP(Tabla1[[#This Row],[AREA]],Hoja1!A:B,2,FALSE)</f>
        <v>01. Alcaldía</v>
      </c>
      <c r="U1680" s="35" t="str">
        <f>MID(Tabla1[[#This Row],[Aplicación]],9,4)</f>
        <v>9203</v>
      </c>
      <c r="V1680" s="35" t="str">
        <f>VLOOKUP(Tabla1[[#This Row],[PROGRAMA]],Hoja1!A:B,2,FALSE)</f>
        <v>9203. Unidad de régimen interior</v>
      </c>
      <c r="W1680" s="35" t="str">
        <f>MID(Tabla1[[#This Row],[Aplicación]],14,2)</f>
        <v>22</v>
      </c>
      <c r="X1680" s="35" t="str">
        <f>MID(Tabla1[[#This Row],[Aplicación]],14,6)</f>
        <v>22103</v>
      </c>
    </row>
    <row r="1681" spans="1:24" x14ac:dyDescent="0.25">
      <c r="A1681" s="49">
        <v>220219000233</v>
      </c>
      <c r="B1681" s="50" t="s">
        <v>9</v>
      </c>
      <c r="C1681" s="57">
        <v>44562</v>
      </c>
      <c r="D1681" s="49">
        <v>22022000423</v>
      </c>
      <c r="E1681" s="50" t="s">
        <v>2910</v>
      </c>
      <c r="F1681" s="58">
        <v>1066.4000000000001</v>
      </c>
      <c r="G1681" s="50" t="s">
        <v>556</v>
      </c>
      <c r="H1681" s="50" t="s">
        <v>3087</v>
      </c>
      <c r="I1681" s="49" t="s">
        <v>107</v>
      </c>
      <c r="J1681" s="50" t="s">
        <v>108</v>
      </c>
      <c r="K1681" s="50" t="s">
        <v>108</v>
      </c>
      <c r="L1681" s="50" t="s">
        <v>12</v>
      </c>
      <c r="M1681" s="50" t="s">
        <v>13</v>
      </c>
      <c r="N1681" s="50" t="s">
        <v>14</v>
      </c>
      <c r="O1681" s="48" t="s">
        <v>620</v>
      </c>
      <c r="P1681" s="45" t="s">
        <v>453</v>
      </c>
      <c r="Q1681" s="35" t="str">
        <f>MID(Tabla1[[#This Row],[Aplicación]],14,1)</f>
        <v>2</v>
      </c>
      <c r="R1681" s="35" t="s">
        <v>441</v>
      </c>
      <c r="S1681" s="35" t="str">
        <f>MID(Tabla1[[#This Row],[Aplicación]],6,2)</f>
        <v>10</v>
      </c>
      <c r="T1681" s="35" t="str">
        <f>VLOOKUP(Tabla1[[#This Row],[AREA]],Hoja1!A:B,2,FALSE)</f>
        <v>10. Servicios sociales y mediación comunitaria</v>
      </c>
      <c r="U1681" s="35" t="str">
        <f>MID(Tabla1[[#This Row],[Aplicación]],9,4)</f>
        <v>2312</v>
      </c>
      <c r="V1681" s="35" t="str">
        <f>VLOOKUP(Tabla1[[#This Row],[PROGRAMA]],Hoja1!A:B,2,FALSE)</f>
        <v>2312. Iniciativas sociales</v>
      </c>
      <c r="W1681" s="35" t="str">
        <f>MID(Tabla1[[#This Row],[Aplicación]],14,2)</f>
        <v>21</v>
      </c>
      <c r="X1681" s="35" t="str">
        <f>MID(Tabla1[[#This Row],[Aplicación]],14,6)</f>
        <v>216</v>
      </c>
    </row>
    <row r="1682" spans="1:24" x14ac:dyDescent="0.25">
      <c r="A1682" s="49">
        <v>220219001141</v>
      </c>
      <c r="B1682" s="50" t="s">
        <v>9</v>
      </c>
      <c r="C1682" s="57">
        <v>44562</v>
      </c>
      <c r="D1682" s="49">
        <v>22022000304</v>
      </c>
      <c r="E1682" s="50" t="s">
        <v>1488</v>
      </c>
      <c r="F1682" s="58">
        <v>1034.42</v>
      </c>
      <c r="G1682" s="50" t="s">
        <v>1166</v>
      </c>
      <c r="H1682" s="50" t="s">
        <v>2976</v>
      </c>
      <c r="I1682" s="49" t="s">
        <v>107</v>
      </c>
      <c r="J1682" s="50" t="s">
        <v>539</v>
      </c>
      <c r="K1682" s="50" t="s">
        <v>109</v>
      </c>
      <c r="L1682" s="50" t="s">
        <v>12</v>
      </c>
      <c r="M1682" s="50" t="s">
        <v>13</v>
      </c>
      <c r="N1682" s="50" t="s">
        <v>14</v>
      </c>
      <c r="O1682" s="48" t="s">
        <v>620</v>
      </c>
      <c r="P1682" s="45" t="s">
        <v>453</v>
      </c>
      <c r="Q1682" s="35" t="str">
        <f>MID(Tabla1[[#This Row],[Aplicación]],14,1)</f>
        <v>2</v>
      </c>
      <c r="R1682" s="35" t="s">
        <v>441</v>
      </c>
      <c r="S1682" s="35" t="str">
        <f>MID(Tabla1[[#This Row],[Aplicación]],6,2)</f>
        <v>10</v>
      </c>
      <c r="T1682" s="35" t="str">
        <f>VLOOKUP(Tabla1[[#This Row],[AREA]],Hoja1!A:B,2,FALSE)</f>
        <v>10. Servicios sociales y mediación comunitaria</v>
      </c>
      <c r="U1682" s="35" t="str">
        <f>MID(Tabla1[[#This Row],[Aplicación]],9,4)</f>
        <v>2312</v>
      </c>
      <c r="V1682" s="35" t="str">
        <f>VLOOKUP(Tabla1[[#This Row],[PROGRAMA]],Hoja1!A:B,2,FALSE)</f>
        <v>2312. Iniciativas sociales</v>
      </c>
      <c r="W1682" s="35" t="str">
        <f>MID(Tabla1[[#This Row],[Aplicación]],14,2)</f>
        <v>21</v>
      </c>
      <c r="X1682" s="35" t="str">
        <f>MID(Tabla1[[#This Row],[Aplicación]],14,6)</f>
        <v>213</v>
      </c>
    </row>
    <row r="1683" spans="1:24" x14ac:dyDescent="0.25">
      <c r="A1683" s="49">
        <v>220219001134</v>
      </c>
      <c r="B1683" s="50" t="s">
        <v>9</v>
      </c>
      <c r="C1683" s="57">
        <v>44562</v>
      </c>
      <c r="D1683" s="49">
        <v>22022000297</v>
      </c>
      <c r="E1683" s="50" t="s">
        <v>1911</v>
      </c>
      <c r="F1683" s="58">
        <v>101.82</v>
      </c>
      <c r="G1683" s="50" t="s">
        <v>1166</v>
      </c>
      <c r="H1683" s="50" t="s">
        <v>3088</v>
      </c>
      <c r="I1683" s="49" t="s">
        <v>107</v>
      </c>
      <c r="J1683" s="50" t="s">
        <v>539</v>
      </c>
      <c r="K1683" s="50" t="s">
        <v>109</v>
      </c>
      <c r="L1683" s="50" t="s">
        <v>12</v>
      </c>
      <c r="M1683" s="50" t="s">
        <v>13</v>
      </c>
      <c r="N1683" s="50" t="s">
        <v>14</v>
      </c>
      <c r="O1683" s="48" t="s">
        <v>620</v>
      </c>
      <c r="P1683" s="45" t="s">
        <v>453</v>
      </c>
      <c r="Q1683" s="35" t="str">
        <f>MID(Tabla1[[#This Row],[Aplicación]],14,1)</f>
        <v>2</v>
      </c>
      <c r="R1683" s="35" t="s">
        <v>441</v>
      </c>
      <c r="S1683" s="35" t="str">
        <f>MID(Tabla1[[#This Row],[Aplicación]],6,2)</f>
        <v>06</v>
      </c>
      <c r="T1683" s="35" t="str">
        <f>VLOOKUP(Tabla1[[#This Row],[AREA]],Hoja1!A:B,2,FALSE)</f>
        <v>06. Educación, infancia, juventud e igualdad</v>
      </c>
      <c r="U1683" s="35" t="str">
        <f>MID(Tabla1[[#This Row],[Aplicación]],9,4)</f>
        <v>2314</v>
      </c>
      <c r="V1683" s="35" t="str">
        <f>VLOOKUP(Tabla1[[#This Row],[PROGRAMA]],Hoja1!A:B,2,FALSE)</f>
        <v>2314. Centro de programas juveniles</v>
      </c>
      <c r="W1683" s="35" t="str">
        <f>MID(Tabla1[[#This Row],[Aplicación]],14,2)</f>
        <v>21</v>
      </c>
      <c r="X1683" s="35" t="str">
        <f>MID(Tabla1[[#This Row],[Aplicación]],14,6)</f>
        <v>213</v>
      </c>
    </row>
    <row r="1684" spans="1:24" x14ac:dyDescent="0.25">
      <c r="A1684" s="49">
        <v>220220003497</v>
      </c>
      <c r="B1684" s="50" t="s">
        <v>9</v>
      </c>
      <c r="C1684" s="57">
        <v>44606</v>
      </c>
      <c r="D1684" s="49">
        <v>22022002146</v>
      </c>
      <c r="E1684" s="50" t="s">
        <v>2552</v>
      </c>
      <c r="F1684" s="58">
        <v>1028.5</v>
      </c>
      <c r="G1684" s="50" t="s">
        <v>250</v>
      </c>
      <c r="H1684" s="50" t="s">
        <v>3089</v>
      </c>
      <c r="I1684" s="49" t="s">
        <v>107</v>
      </c>
      <c r="J1684" s="50" t="s">
        <v>109</v>
      </c>
      <c r="K1684" s="50" t="s">
        <v>109</v>
      </c>
      <c r="L1684" s="50" t="s">
        <v>15</v>
      </c>
      <c r="M1684" s="50" t="s">
        <v>10</v>
      </c>
      <c r="N1684" s="50" t="s">
        <v>11</v>
      </c>
      <c r="O1684" s="48" t="s">
        <v>632</v>
      </c>
      <c r="P1684" s="45" t="s">
        <v>453</v>
      </c>
      <c r="Q1684" s="35" t="str">
        <f>MID(Tabla1[[#This Row],[Aplicación]],14,1)</f>
        <v>2</v>
      </c>
      <c r="R1684" s="35" t="s">
        <v>441</v>
      </c>
      <c r="S1684" s="35" t="str">
        <f>MID(Tabla1[[#This Row],[Aplicación]],6,2)</f>
        <v>06</v>
      </c>
      <c r="T1684" s="35" t="str">
        <f>VLOOKUP(Tabla1[[#This Row],[AREA]],Hoja1!A:B,2,FALSE)</f>
        <v>06. Educación, infancia, juventud e igualdad</v>
      </c>
      <c r="U1684" s="35" t="str">
        <f>MID(Tabla1[[#This Row],[Aplicación]],9,4)</f>
        <v>3261</v>
      </c>
      <c r="V1684" s="35" t="str">
        <f>VLOOKUP(Tabla1[[#This Row],[PROGRAMA]],Hoja1!A:B,2,FALSE)</f>
        <v>3261. Servicios complementarios de educación</v>
      </c>
      <c r="W1684" s="35" t="str">
        <f>MID(Tabla1[[#This Row],[Aplicación]],14,2)</f>
        <v>22</v>
      </c>
      <c r="X1684" s="35" t="str">
        <f>MID(Tabla1[[#This Row],[Aplicación]],14,6)</f>
        <v>22699</v>
      </c>
    </row>
    <row r="1685" spans="1:24" x14ac:dyDescent="0.25">
      <c r="A1685" s="49">
        <v>220219000075</v>
      </c>
      <c r="B1685" s="50" t="s">
        <v>9</v>
      </c>
      <c r="C1685" s="57">
        <v>44562</v>
      </c>
      <c r="D1685" s="49">
        <v>22022000371</v>
      </c>
      <c r="E1685" s="50" t="s">
        <v>3090</v>
      </c>
      <c r="F1685" s="58">
        <v>1008.36</v>
      </c>
      <c r="G1685" s="50" t="s">
        <v>482</v>
      </c>
      <c r="H1685" s="50" t="s">
        <v>3091</v>
      </c>
      <c r="I1685" s="49" t="s">
        <v>107</v>
      </c>
      <c r="J1685" s="50" t="s">
        <v>109</v>
      </c>
      <c r="K1685" s="50" t="s">
        <v>109</v>
      </c>
      <c r="L1685" s="50" t="s">
        <v>12</v>
      </c>
      <c r="M1685" s="50" t="s">
        <v>13</v>
      </c>
      <c r="N1685" s="50" t="s">
        <v>14</v>
      </c>
      <c r="O1685" s="48" t="s">
        <v>620</v>
      </c>
      <c r="P1685" s="45" t="s">
        <v>453</v>
      </c>
      <c r="Q1685" s="35" t="str">
        <f>MID(Tabla1[[#This Row],[Aplicación]],14,1)</f>
        <v>2</v>
      </c>
      <c r="R1685" s="35" t="s">
        <v>441</v>
      </c>
      <c r="S1685" s="35" t="str">
        <f>MID(Tabla1[[#This Row],[Aplicación]],6,2)</f>
        <v>10</v>
      </c>
      <c r="T1685" s="35" t="str">
        <f>VLOOKUP(Tabla1[[#This Row],[AREA]],Hoja1!A:B,2,FALSE)</f>
        <v>10. Servicios sociales y mediación comunitaria</v>
      </c>
      <c r="U1685" s="35" t="str">
        <f>MID(Tabla1[[#This Row],[Aplicación]],9,4)</f>
        <v>2311</v>
      </c>
      <c r="V1685" s="35" t="str">
        <f>VLOOKUP(Tabla1[[#This Row],[PROGRAMA]],Hoja1!A:B,2,FALSE)</f>
        <v>2311. Intervención social</v>
      </c>
      <c r="W1685" s="35" t="str">
        <f>MID(Tabla1[[#This Row],[Aplicación]],14,2)</f>
        <v>22</v>
      </c>
      <c r="X1685" s="35" t="str">
        <f>MID(Tabla1[[#This Row],[Aplicación]],14,6)</f>
        <v>22706</v>
      </c>
    </row>
    <row r="1686" spans="1:24" x14ac:dyDescent="0.25">
      <c r="A1686" s="49">
        <v>220209000619</v>
      </c>
      <c r="B1686" s="50" t="s">
        <v>9</v>
      </c>
      <c r="C1686" s="57">
        <v>44562</v>
      </c>
      <c r="D1686" s="49">
        <v>22022002099</v>
      </c>
      <c r="E1686" s="50" t="s">
        <v>1676</v>
      </c>
      <c r="F1686" s="58">
        <v>69982.19</v>
      </c>
      <c r="G1686" s="50" t="s">
        <v>168</v>
      </c>
      <c r="H1686" s="50" t="s">
        <v>787</v>
      </c>
      <c r="I1686" s="49" t="s">
        <v>107</v>
      </c>
      <c r="J1686" s="50" t="s">
        <v>109</v>
      </c>
      <c r="K1686" s="50" t="s">
        <v>109</v>
      </c>
      <c r="L1686" s="50" t="s">
        <v>12</v>
      </c>
      <c r="M1686" s="50" t="s">
        <v>13</v>
      </c>
      <c r="N1686" s="50" t="s">
        <v>14</v>
      </c>
      <c r="O1686" s="48" t="s">
        <v>620</v>
      </c>
      <c r="P1686" s="45" t="s">
        <v>453</v>
      </c>
      <c r="Q1686" s="35" t="str">
        <f>MID(Tabla1[[#This Row],[Aplicación]],14,1)</f>
        <v>6</v>
      </c>
      <c r="R1686" s="35" t="s">
        <v>442</v>
      </c>
      <c r="S1686" s="35" t="str">
        <f>MID(Tabla1[[#This Row],[Aplicación]],6,2)</f>
        <v>04</v>
      </c>
      <c r="T1686" s="35" t="str">
        <f>VLOOKUP(Tabla1[[#This Row],[AREA]],Hoja1!A:B,2,FALSE)</f>
        <v>04. Planificación y recursos</v>
      </c>
      <c r="U1686" s="35" t="str">
        <f>MID(Tabla1[[#This Row],[Aplicación]],9,4)</f>
        <v>9204</v>
      </c>
      <c r="V1686" s="35" t="str">
        <f>VLOOKUP(Tabla1[[#This Row],[PROGRAMA]],Hoja1!A:B,2,FALSE)</f>
        <v>9204. Tecnologías de la información y comunicación</v>
      </c>
      <c r="W1686" s="35" t="str">
        <f>MID(Tabla1[[#This Row],[Aplicación]],14,2)</f>
        <v>64</v>
      </c>
      <c r="X1686" s="35" t="str">
        <f>MID(Tabla1[[#This Row],[Aplicación]],14,6)</f>
        <v>641</v>
      </c>
    </row>
    <row r="1687" spans="1:24" x14ac:dyDescent="0.25">
      <c r="A1687" s="49">
        <v>220220005800</v>
      </c>
      <c r="B1687" s="50" t="s">
        <v>9</v>
      </c>
      <c r="C1687" s="57">
        <v>44615</v>
      </c>
      <c r="D1687" s="49">
        <v>22022002391</v>
      </c>
      <c r="E1687" s="50" t="s">
        <v>2309</v>
      </c>
      <c r="F1687" s="58">
        <v>1420.78</v>
      </c>
      <c r="G1687" s="50" t="s">
        <v>3067</v>
      </c>
      <c r="H1687" s="50" t="s">
        <v>3092</v>
      </c>
      <c r="I1687" s="49" t="s">
        <v>107</v>
      </c>
      <c r="J1687" s="50" t="s">
        <v>109</v>
      </c>
      <c r="K1687" s="50" t="s">
        <v>109</v>
      </c>
      <c r="L1687" s="50" t="s">
        <v>12</v>
      </c>
      <c r="M1687" s="50" t="s">
        <v>10</v>
      </c>
      <c r="N1687" s="50" t="s">
        <v>11</v>
      </c>
      <c r="O1687" s="48" t="s">
        <v>632</v>
      </c>
      <c r="P1687" s="45" t="s">
        <v>453</v>
      </c>
      <c r="Q1687" s="35" t="str">
        <f>MID(Tabla1[[#This Row],[Aplicación]],14,1)</f>
        <v>2</v>
      </c>
      <c r="R1687" s="35" t="s">
        <v>441</v>
      </c>
      <c r="S1687" s="35" t="str">
        <f>MID(Tabla1[[#This Row],[Aplicación]],6,2)</f>
        <v>07</v>
      </c>
      <c r="T1687" s="35" t="str">
        <f>VLOOKUP(Tabla1[[#This Row],[AREA]],Hoja1!A:B,2,FALSE)</f>
        <v>07. Medio ambiente y desarrollo sostenible</v>
      </c>
      <c r="U1687" s="35" t="str">
        <f>MID(Tabla1[[#This Row],[Aplicación]],9,4)</f>
        <v>1721</v>
      </c>
      <c r="V1687" s="35" t="str">
        <f>VLOOKUP(Tabla1[[#This Row],[PROGRAMA]],Hoja1!A:B,2,FALSE)</f>
        <v>1721. Protección del medio ambiente</v>
      </c>
      <c r="W1687" s="35" t="str">
        <f>MID(Tabla1[[#This Row],[Aplicación]],14,2)</f>
        <v>21</v>
      </c>
      <c r="X1687" s="35" t="str">
        <f>MID(Tabla1[[#This Row],[Aplicación]],14,6)</f>
        <v>213</v>
      </c>
    </row>
    <row r="1688" spans="1:24" x14ac:dyDescent="0.25">
      <c r="A1688" s="49">
        <v>220220003505</v>
      </c>
      <c r="B1688" s="50" t="s">
        <v>9</v>
      </c>
      <c r="C1688" s="57">
        <v>44606</v>
      </c>
      <c r="D1688" s="49">
        <v>22022002261</v>
      </c>
      <c r="E1688" s="50" t="s">
        <v>3093</v>
      </c>
      <c r="F1688" s="58">
        <v>1411</v>
      </c>
      <c r="G1688" s="50" t="s">
        <v>97</v>
      </c>
      <c r="H1688" s="50" t="s">
        <v>3094</v>
      </c>
      <c r="I1688" s="49" t="s">
        <v>107</v>
      </c>
      <c r="J1688" s="50" t="s">
        <v>109</v>
      </c>
      <c r="K1688" s="50" t="s">
        <v>109</v>
      </c>
      <c r="L1688" s="50" t="s">
        <v>15</v>
      </c>
      <c r="M1688" s="50" t="s">
        <v>10</v>
      </c>
      <c r="N1688" s="50" t="s">
        <v>11</v>
      </c>
      <c r="O1688" s="48" t="s">
        <v>632</v>
      </c>
      <c r="P1688" s="45" t="s">
        <v>453</v>
      </c>
      <c r="Q1688" s="35" t="str">
        <f>MID(Tabla1[[#This Row],[Aplicación]],14,1)</f>
        <v>2</v>
      </c>
      <c r="R1688" s="35" t="s">
        <v>441</v>
      </c>
      <c r="S1688" s="35" t="str">
        <f>MID(Tabla1[[#This Row],[Aplicación]],6,2)</f>
        <v>07</v>
      </c>
      <c r="T1688" s="35" t="str">
        <f>VLOOKUP(Tabla1[[#This Row],[AREA]],Hoja1!A:B,2,FALSE)</f>
        <v>07. Medio ambiente y desarrollo sostenible</v>
      </c>
      <c r="U1688" s="35" t="str">
        <f>MID(Tabla1[[#This Row],[Aplicación]],9,4)</f>
        <v>1701</v>
      </c>
      <c r="V1688" s="35" t="str">
        <f>VLOOKUP(Tabla1[[#This Row],[PROGRAMA]],Hoja1!A:B,2,FALSE)</f>
        <v>1701. Dirección del área de medio ambiente</v>
      </c>
      <c r="W1688" s="35" t="str">
        <f>MID(Tabla1[[#This Row],[Aplicación]],14,2)</f>
        <v>22</v>
      </c>
      <c r="X1688" s="35" t="str">
        <f>MID(Tabla1[[#This Row],[Aplicación]],14,6)</f>
        <v>22110</v>
      </c>
    </row>
    <row r="1689" spans="1:24" x14ac:dyDescent="0.25">
      <c r="A1689" s="49">
        <v>220220002261</v>
      </c>
      <c r="B1689" s="50" t="s">
        <v>9</v>
      </c>
      <c r="C1689" s="57">
        <v>44592</v>
      </c>
      <c r="D1689" s="49">
        <v>22022001707</v>
      </c>
      <c r="E1689" s="50" t="s">
        <v>1762</v>
      </c>
      <c r="F1689" s="58">
        <v>282</v>
      </c>
      <c r="G1689" s="50" t="s">
        <v>476</v>
      </c>
      <c r="H1689" s="50" t="s">
        <v>3095</v>
      </c>
      <c r="I1689" s="49" t="s">
        <v>107</v>
      </c>
      <c r="J1689" s="50" t="s">
        <v>108</v>
      </c>
      <c r="K1689" s="50" t="s">
        <v>108</v>
      </c>
      <c r="L1689" s="50" t="s">
        <v>15</v>
      </c>
      <c r="M1689" s="50" t="s">
        <v>10</v>
      </c>
      <c r="N1689" s="50" t="s">
        <v>11</v>
      </c>
      <c r="O1689" s="48" t="s">
        <v>632</v>
      </c>
      <c r="P1689" s="45" t="s">
        <v>453</v>
      </c>
      <c r="Q1689" s="35" t="str">
        <f>MID(Tabla1[[#This Row],[Aplicación]],14,1)</f>
        <v>2</v>
      </c>
      <c r="R1689" s="35" t="s">
        <v>441</v>
      </c>
      <c r="S1689" s="35" t="str">
        <f>MID(Tabla1[[#This Row],[Aplicación]],6,2)</f>
        <v>06</v>
      </c>
      <c r="T1689" s="35" t="str">
        <f>VLOOKUP(Tabla1[[#This Row],[AREA]],Hoja1!A:B,2,FALSE)</f>
        <v>06. Educación, infancia, juventud e igualdad</v>
      </c>
      <c r="U1689" s="35" t="str">
        <f>MID(Tabla1[[#This Row],[Aplicación]],9,4)</f>
        <v>3321</v>
      </c>
      <c r="V1689" s="35" t="str">
        <f>VLOOKUP(Tabla1[[#This Row],[PROGRAMA]],Hoja1!A:B,2,FALSE)</f>
        <v>3321. Bibliotecas públicas</v>
      </c>
      <c r="W1689" s="35" t="str">
        <f>MID(Tabla1[[#This Row],[Aplicación]],14,2)</f>
        <v>22</v>
      </c>
      <c r="X1689" s="35" t="str">
        <f>MID(Tabla1[[#This Row],[Aplicación]],14,6)</f>
        <v>22001</v>
      </c>
    </row>
    <row r="1690" spans="1:24" x14ac:dyDescent="0.25">
      <c r="A1690" s="49">
        <v>220220012893</v>
      </c>
      <c r="B1690" s="50" t="s">
        <v>9</v>
      </c>
      <c r="C1690" s="57">
        <v>44648</v>
      </c>
      <c r="D1690" s="49">
        <v>22022002959</v>
      </c>
      <c r="E1690" s="50" t="s">
        <v>1762</v>
      </c>
      <c r="F1690" s="58">
        <v>264.01</v>
      </c>
      <c r="G1690" s="50" t="s">
        <v>248</v>
      </c>
      <c r="H1690" s="50" t="s">
        <v>3096</v>
      </c>
      <c r="I1690" s="49" t="s">
        <v>107</v>
      </c>
      <c r="J1690" s="50" t="s">
        <v>171</v>
      </c>
      <c r="K1690" s="50" t="s">
        <v>171</v>
      </c>
      <c r="L1690" s="50" t="s">
        <v>15</v>
      </c>
      <c r="M1690" s="50" t="s">
        <v>10</v>
      </c>
      <c r="N1690" s="50" t="s">
        <v>11</v>
      </c>
      <c r="O1690" s="48" t="s">
        <v>632</v>
      </c>
      <c r="P1690" s="45" t="s">
        <v>453</v>
      </c>
      <c r="Q1690" s="35" t="str">
        <f>MID(Tabla1[[#This Row],[Aplicación]],14,1)</f>
        <v>2</v>
      </c>
      <c r="R1690" s="35" t="s">
        <v>441</v>
      </c>
      <c r="S1690" s="35" t="str">
        <f>MID(Tabla1[[#This Row],[Aplicación]],6,2)</f>
        <v>06</v>
      </c>
      <c r="T1690" s="35" t="str">
        <f>VLOOKUP(Tabla1[[#This Row],[AREA]],Hoja1!A:B,2,FALSE)</f>
        <v>06. Educación, infancia, juventud e igualdad</v>
      </c>
      <c r="U1690" s="35" t="str">
        <f>MID(Tabla1[[#This Row],[Aplicación]],9,4)</f>
        <v>3321</v>
      </c>
      <c r="V1690" s="35" t="str">
        <f>VLOOKUP(Tabla1[[#This Row],[PROGRAMA]],Hoja1!A:B,2,FALSE)</f>
        <v>3321. Bibliotecas públicas</v>
      </c>
      <c r="W1690" s="35" t="str">
        <f>MID(Tabla1[[#This Row],[Aplicación]],14,2)</f>
        <v>22</v>
      </c>
      <c r="X1690" s="35" t="str">
        <f>MID(Tabla1[[#This Row],[Aplicación]],14,6)</f>
        <v>22001</v>
      </c>
    </row>
    <row r="1691" spans="1:24" x14ac:dyDescent="0.25">
      <c r="A1691" s="49">
        <v>220210071737</v>
      </c>
      <c r="B1691" s="50" t="s">
        <v>9</v>
      </c>
      <c r="C1691" s="57">
        <v>44620</v>
      </c>
      <c r="D1691" s="49">
        <v>22021007549</v>
      </c>
      <c r="E1691" s="50" t="s">
        <v>2291</v>
      </c>
      <c r="F1691" s="58">
        <v>992.2</v>
      </c>
      <c r="G1691" s="50" t="s">
        <v>1275</v>
      </c>
      <c r="H1691" s="50" t="s">
        <v>1276</v>
      </c>
      <c r="I1691" s="49" t="s">
        <v>107</v>
      </c>
      <c r="J1691" s="50" t="s">
        <v>1277</v>
      </c>
      <c r="K1691" s="50" t="s">
        <v>108</v>
      </c>
      <c r="L1691" s="50" t="s">
        <v>15</v>
      </c>
      <c r="M1691" s="50" t="s">
        <v>10</v>
      </c>
      <c r="N1691" s="50" t="s">
        <v>11</v>
      </c>
      <c r="O1691" s="48" t="s">
        <v>632</v>
      </c>
      <c r="P1691" s="45" t="s">
        <v>453</v>
      </c>
      <c r="Q1691" s="35" t="str">
        <f>MID(Tabla1[[#This Row],[Aplicación]],14,1)</f>
        <v>6</v>
      </c>
      <c r="R1691" s="35" t="s">
        <v>442</v>
      </c>
      <c r="S1691" s="35" t="str">
        <f>MID(Tabla1[[#This Row],[Aplicación]],6,2)</f>
        <v>03</v>
      </c>
      <c r="T1691" s="35" t="str">
        <f>VLOOKUP(Tabla1[[#This Row],[AREA]],Hoja1!A:B,2,FALSE)</f>
        <v>03. Participación ciudadana y deportes</v>
      </c>
      <c r="U1691" s="35" t="str">
        <f>MID(Tabla1[[#This Row],[Aplicación]],9,4)</f>
        <v>9241</v>
      </c>
      <c r="V1691" s="35" t="str">
        <f>VLOOKUP(Tabla1[[#This Row],[PROGRAMA]],Hoja1!A:B,2,FALSE)</f>
        <v>9241. Participación ciudadana</v>
      </c>
      <c r="W1691" s="35" t="str">
        <f>MID(Tabla1[[#This Row],[Aplicación]],14,2)</f>
        <v>63</v>
      </c>
      <c r="X1691" s="35" t="str">
        <f>MID(Tabla1[[#This Row],[Aplicación]],14,6)</f>
        <v>635</v>
      </c>
    </row>
    <row r="1692" spans="1:24" x14ac:dyDescent="0.25">
      <c r="A1692" s="49">
        <v>220220001798</v>
      </c>
      <c r="B1692" s="50" t="s">
        <v>9</v>
      </c>
      <c r="C1692" s="57">
        <v>44589</v>
      </c>
      <c r="D1692" s="49">
        <v>22022001686</v>
      </c>
      <c r="E1692" s="50" t="s">
        <v>1587</v>
      </c>
      <c r="F1692" s="58">
        <v>1400</v>
      </c>
      <c r="G1692" s="50" t="s">
        <v>44</v>
      </c>
      <c r="H1692" s="50" t="s">
        <v>3097</v>
      </c>
      <c r="I1692" s="49" t="s">
        <v>107</v>
      </c>
      <c r="J1692" s="50" t="s">
        <v>109</v>
      </c>
      <c r="K1692" s="50" t="s">
        <v>109</v>
      </c>
      <c r="L1692" s="50" t="s">
        <v>12</v>
      </c>
      <c r="M1692" s="50" t="s">
        <v>10</v>
      </c>
      <c r="N1692" s="50" t="s">
        <v>11</v>
      </c>
      <c r="O1692" s="48" t="s">
        <v>632</v>
      </c>
      <c r="P1692" s="45" t="s">
        <v>453</v>
      </c>
      <c r="Q1692" s="35" t="str">
        <f>MID(Tabla1[[#This Row],[Aplicación]],14,1)</f>
        <v>2</v>
      </c>
      <c r="R1692" s="35" t="s">
        <v>441</v>
      </c>
      <c r="S1692" s="35" t="str">
        <f>MID(Tabla1[[#This Row],[Aplicación]],6,2)</f>
        <v>07</v>
      </c>
      <c r="T1692" s="35" t="str">
        <f>VLOOKUP(Tabla1[[#This Row],[AREA]],Hoja1!A:B,2,FALSE)</f>
        <v>07. Medio ambiente y desarrollo sostenible</v>
      </c>
      <c r="U1692" s="35" t="str">
        <f>MID(Tabla1[[#This Row],[Aplicación]],9,4)</f>
        <v>1711</v>
      </c>
      <c r="V1692" s="35" t="str">
        <f>VLOOKUP(Tabla1[[#This Row],[PROGRAMA]],Hoja1!A:B,2,FALSE)</f>
        <v>1711. Parques y jardines</v>
      </c>
      <c r="W1692" s="35" t="str">
        <f>MID(Tabla1[[#This Row],[Aplicación]],14,2)</f>
        <v>22</v>
      </c>
      <c r="X1692" s="35" t="str">
        <f>MID(Tabla1[[#This Row],[Aplicación]],14,6)</f>
        <v>22799</v>
      </c>
    </row>
    <row r="1693" spans="1:24" x14ac:dyDescent="0.25">
      <c r="A1693" s="49">
        <v>220220001725</v>
      </c>
      <c r="B1693" s="50" t="s">
        <v>26</v>
      </c>
      <c r="C1693" s="57">
        <v>44588</v>
      </c>
      <c r="D1693" s="49">
        <v>22022001617</v>
      </c>
      <c r="E1693" s="50" t="s">
        <v>1611</v>
      </c>
      <c r="F1693" s="58">
        <v>1377.21</v>
      </c>
      <c r="G1693" s="50" t="s">
        <v>52</v>
      </c>
      <c r="H1693" s="50" t="s">
        <v>3098</v>
      </c>
      <c r="I1693" s="49" t="s">
        <v>197</v>
      </c>
      <c r="J1693" s="50" t="s">
        <v>108</v>
      </c>
      <c r="K1693" s="50" t="s">
        <v>108</v>
      </c>
      <c r="L1693" s="50" t="s">
        <v>12</v>
      </c>
      <c r="M1693" s="50" t="s">
        <v>10</v>
      </c>
      <c r="N1693" s="50" t="s">
        <v>11</v>
      </c>
      <c r="O1693" s="48" t="s">
        <v>632</v>
      </c>
      <c r="P1693" s="45" t="s">
        <v>453</v>
      </c>
      <c r="Q1693" s="35" t="str">
        <f>MID(Tabla1[[#This Row],[Aplicación]],14,1)</f>
        <v>2</v>
      </c>
      <c r="R1693" s="35" t="s">
        <v>441</v>
      </c>
      <c r="S1693" s="35" t="str">
        <f>MID(Tabla1[[#This Row],[Aplicación]],6,2)</f>
        <v>01</v>
      </c>
      <c r="T1693" s="35" t="str">
        <f>VLOOKUP(Tabla1[[#This Row],[AREA]],Hoja1!A:B,2,FALSE)</f>
        <v>01. Alcaldía</v>
      </c>
      <c r="U1693" s="35" t="str">
        <f>MID(Tabla1[[#This Row],[Aplicación]],9,4)</f>
        <v>9207</v>
      </c>
      <c r="V1693" s="35" t="str">
        <f>VLOOKUP(Tabla1[[#This Row],[PROGRAMA]],Hoja1!A:B,2,FALSE)</f>
        <v>9207. Gobierno y relaciones</v>
      </c>
      <c r="W1693" s="35" t="str">
        <f>MID(Tabla1[[#This Row],[Aplicación]],14,2)</f>
        <v>22</v>
      </c>
      <c r="X1693" s="35" t="str">
        <f>MID(Tabla1[[#This Row],[Aplicación]],14,6)</f>
        <v>22001</v>
      </c>
    </row>
    <row r="1694" spans="1:24" x14ac:dyDescent="0.25">
      <c r="A1694" s="49">
        <v>220219000184</v>
      </c>
      <c r="B1694" s="50" t="s">
        <v>9</v>
      </c>
      <c r="C1694" s="57">
        <v>44562</v>
      </c>
      <c r="D1694" s="49">
        <v>22022000389</v>
      </c>
      <c r="E1694" s="50" t="s">
        <v>3099</v>
      </c>
      <c r="F1694" s="58">
        <v>1355.81</v>
      </c>
      <c r="G1694" s="50" t="s">
        <v>985</v>
      </c>
      <c r="H1694" s="50" t="s">
        <v>986</v>
      </c>
      <c r="I1694" s="49" t="s">
        <v>107</v>
      </c>
      <c r="J1694" s="50" t="s">
        <v>109</v>
      </c>
      <c r="K1694" s="50" t="s">
        <v>109</v>
      </c>
      <c r="L1694" s="50" t="s">
        <v>12</v>
      </c>
      <c r="M1694" s="50" t="s">
        <v>10</v>
      </c>
      <c r="N1694" s="50" t="s">
        <v>11</v>
      </c>
      <c r="O1694" s="48" t="s">
        <v>632</v>
      </c>
      <c r="P1694" s="45" t="s">
        <v>453</v>
      </c>
      <c r="Q1694" s="35" t="str">
        <f>MID(Tabla1[[#This Row],[Aplicación]],14,1)</f>
        <v>2</v>
      </c>
      <c r="R1694" s="35" t="s">
        <v>441</v>
      </c>
      <c r="S1694" s="35" t="str">
        <f>MID(Tabla1[[#This Row],[Aplicación]],6,2)</f>
        <v>09</v>
      </c>
      <c r="T1694" s="35" t="str">
        <f>VLOOKUP(Tabla1[[#This Row],[AREA]],Hoja1!A:B,2,FALSE)</f>
        <v>09. Cultura y turismo</v>
      </c>
      <c r="U1694" s="35" t="str">
        <f>MID(Tabla1[[#This Row],[Aplicación]],9,4)</f>
        <v>3341</v>
      </c>
      <c r="V1694" s="35" t="str">
        <f>VLOOKUP(Tabla1[[#This Row],[PROGRAMA]],Hoja1!A:B,2,FALSE)</f>
        <v>3341. Coordinación de políticas culturales</v>
      </c>
      <c r="W1694" s="35" t="str">
        <f>MID(Tabla1[[#This Row],[Aplicación]],14,2)</f>
        <v>22</v>
      </c>
      <c r="X1694" s="35" t="str">
        <f>MID(Tabla1[[#This Row],[Aplicación]],14,6)</f>
        <v>22700</v>
      </c>
    </row>
    <row r="1695" spans="1:24" x14ac:dyDescent="0.25">
      <c r="A1695" s="49">
        <v>220220010315</v>
      </c>
      <c r="B1695" s="50" t="s">
        <v>9</v>
      </c>
      <c r="C1695" s="57">
        <v>44641</v>
      </c>
      <c r="D1695" s="49">
        <v>22022002889</v>
      </c>
      <c r="E1695" s="50" t="s">
        <v>1436</v>
      </c>
      <c r="F1695" s="58">
        <v>968</v>
      </c>
      <c r="G1695" s="50" t="s">
        <v>1129</v>
      </c>
      <c r="H1695" s="50" t="s">
        <v>3100</v>
      </c>
      <c r="I1695" s="49" t="s">
        <v>107</v>
      </c>
      <c r="J1695" s="50" t="s">
        <v>533</v>
      </c>
      <c r="K1695" s="50" t="s">
        <v>109</v>
      </c>
      <c r="L1695" s="50" t="s">
        <v>12</v>
      </c>
      <c r="M1695" s="50" t="s">
        <v>10</v>
      </c>
      <c r="N1695" s="50" t="s">
        <v>11</v>
      </c>
      <c r="O1695" s="48" t="s">
        <v>632</v>
      </c>
      <c r="P1695" s="45" t="s">
        <v>453</v>
      </c>
      <c r="Q1695" s="35" t="str">
        <f>MID(Tabla1[[#This Row],[Aplicación]],14,1)</f>
        <v>2</v>
      </c>
      <c r="R1695" s="35" t="s">
        <v>441</v>
      </c>
      <c r="S1695" s="35" t="str">
        <f>MID(Tabla1[[#This Row],[Aplicación]],6,2)</f>
        <v>03</v>
      </c>
      <c r="T1695" s="35" t="str">
        <f>VLOOKUP(Tabla1[[#This Row],[AREA]],Hoja1!A:B,2,FALSE)</f>
        <v>03. Participación ciudadana y deportes</v>
      </c>
      <c r="U1695" s="35" t="str">
        <f>MID(Tabla1[[#This Row],[Aplicación]],9,4)</f>
        <v>9241</v>
      </c>
      <c r="V1695" s="35" t="str">
        <f>VLOOKUP(Tabla1[[#This Row],[PROGRAMA]],Hoja1!A:B,2,FALSE)</f>
        <v>9241. Participación ciudadana</v>
      </c>
      <c r="W1695" s="35" t="str">
        <f>MID(Tabla1[[#This Row],[Aplicación]],14,2)</f>
        <v>22</v>
      </c>
      <c r="X1695" s="35" t="str">
        <f>MID(Tabla1[[#This Row],[Aplicación]],14,6)</f>
        <v>22609</v>
      </c>
    </row>
    <row r="1696" spans="1:24" x14ac:dyDescent="0.25">
      <c r="A1696" s="49">
        <v>220220002257</v>
      </c>
      <c r="B1696" s="50" t="s">
        <v>9</v>
      </c>
      <c r="C1696" s="57">
        <v>44592</v>
      </c>
      <c r="D1696" s="49">
        <v>22022001693</v>
      </c>
      <c r="E1696" s="50" t="s">
        <v>1762</v>
      </c>
      <c r="F1696" s="58">
        <v>209.98</v>
      </c>
      <c r="G1696" s="50" t="s">
        <v>1032</v>
      </c>
      <c r="H1696" s="50" t="s">
        <v>3101</v>
      </c>
      <c r="I1696" s="49" t="s">
        <v>107</v>
      </c>
      <c r="J1696" s="50" t="s">
        <v>108</v>
      </c>
      <c r="K1696" s="50" t="s">
        <v>108</v>
      </c>
      <c r="L1696" s="50" t="s">
        <v>15</v>
      </c>
      <c r="M1696" s="50" t="s">
        <v>10</v>
      </c>
      <c r="N1696" s="50" t="s">
        <v>11</v>
      </c>
      <c r="O1696" s="48" t="s">
        <v>632</v>
      </c>
      <c r="P1696" s="45" t="s">
        <v>453</v>
      </c>
      <c r="Q1696" s="35" t="str">
        <f>MID(Tabla1[[#This Row],[Aplicación]],14,1)</f>
        <v>2</v>
      </c>
      <c r="R1696" s="35" t="s">
        <v>441</v>
      </c>
      <c r="S1696" s="35" t="str">
        <f>MID(Tabla1[[#This Row],[Aplicación]],6,2)</f>
        <v>06</v>
      </c>
      <c r="T1696" s="35" t="str">
        <f>VLOOKUP(Tabla1[[#This Row],[AREA]],Hoja1!A:B,2,FALSE)</f>
        <v>06. Educación, infancia, juventud e igualdad</v>
      </c>
      <c r="U1696" s="35" t="str">
        <f>MID(Tabla1[[#This Row],[Aplicación]],9,4)</f>
        <v>3321</v>
      </c>
      <c r="V1696" s="35" t="str">
        <f>VLOOKUP(Tabla1[[#This Row],[PROGRAMA]],Hoja1!A:B,2,FALSE)</f>
        <v>3321. Bibliotecas públicas</v>
      </c>
      <c r="W1696" s="35" t="str">
        <f>MID(Tabla1[[#This Row],[Aplicación]],14,2)</f>
        <v>22</v>
      </c>
      <c r="X1696" s="35" t="str">
        <f>MID(Tabla1[[#This Row],[Aplicación]],14,6)</f>
        <v>22001</v>
      </c>
    </row>
    <row r="1697" spans="1:24" x14ac:dyDescent="0.25">
      <c r="A1697" s="49">
        <v>220220002255</v>
      </c>
      <c r="B1697" s="50" t="s">
        <v>9</v>
      </c>
      <c r="C1697" s="57">
        <v>44592</v>
      </c>
      <c r="D1697" s="49">
        <v>22022001678</v>
      </c>
      <c r="E1697" s="50" t="s">
        <v>1910</v>
      </c>
      <c r="F1697" s="58">
        <v>1132.56</v>
      </c>
      <c r="G1697" s="50" t="s">
        <v>44</v>
      </c>
      <c r="H1697" s="50" t="s">
        <v>3102</v>
      </c>
      <c r="I1697" s="49" t="s">
        <v>107</v>
      </c>
      <c r="J1697" s="50" t="s">
        <v>109</v>
      </c>
      <c r="K1697" s="50" t="s">
        <v>109</v>
      </c>
      <c r="L1697" s="50" t="s">
        <v>12</v>
      </c>
      <c r="M1697" s="50" t="s">
        <v>10</v>
      </c>
      <c r="N1697" s="50" t="s">
        <v>11</v>
      </c>
      <c r="O1697" s="48" t="s">
        <v>632</v>
      </c>
      <c r="P1697" s="45" t="s">
        <v>453</v>
      </c>
      <c r="Q1697" s="35" t="str">
        <f>MID(Tabla1[[#This Row],[Aplicación]],14,1)</f>
        <v>2</v>
      </c>
      <c r="R1697" s="35" t="s">
        <v>441</v>
      </c>
      <c r="S1697" s="35" t="str">
        <f>MID(Tabla1[[#This Row],[Aplicación]],6,2)</f>
        <v>06</v>
      </c>
      <c r="T1697" s="35" t="str">
        <f>VLOOKUP(Tabla1[[#This Row],[AREA]],Hoja1!A:B,2,FALSE)</f>
        <v>06. Educación, infancia, juventud e igualdad</v>
      </c>
      <c r="U1697" s="35" t="str">
        <f>MID(Tabla1[[#This Row],[Aplicación]],9,4)</f>
        <v>3261</v>
      </c>
      <c r="V1697" s="35" t="str">
        <f>VLOOKUP(Tabla1[[#This Row],[PROGRAMA]],Hoja1!A:B,2,FALSE)</f>
        <v>3261. Servicios complementarios de educación</v>
      </c>
      <c r="W1697" s="35" t="str">
        <f>MID(Tabla1[[#This Row],[Aplicación]],14,2)</f>
        <v>21</v>
      </c>
      <c r="X1697" s="35" t="str">
        <f>MID(Tabla1[[#This Row],[Aplicación]],14,6)</f>
        <v>213</v>
      </c>
    </row>
    <row r="1698" spans="1:24" x14ac:dyDescent="0.25">
      <c r="A1698" s="49">
        <v>220220003103</v>
      </c>
      <c r="B1698" s="50" t="s">
        <v>9</v>
      </c>
      <c r="C1698" s="57">
        <v>44601</v>
      </c>
      <c r="D1698" s="49">
        <v>22022001877</v>
      </c>
      <c r="E1698" s="50" t="s">
        <v>1827</v>
      </c>
      <c r="F1698" s="58">
        <v>1131.99</v>
      </c>
      <c r="G1698" s="50" t="s">
        <v>984</v>
      </c>
      <c r="H1698" s="50" t="s">
        <v>3103</v>
      </c>
      <c r="I1698" s="49" t="s">
        <v>107</v>
      </c>
      <c r="J1698" s="50" t="s">
        <v>108</v>
      </c>
      <c r="K1698" s="50" t="s">
        <v>108</v>
      </c>
      <c r="L1698" s="50" t="s">
        <v>12</v>
      </c>
      <c r="M1698" s="50" t="s">
        <v>10</v>
      </c>
      <c r="N1698" s="50" t="s">
        <v>11</v>
      </c>
      <c r="O1698" s="48" t="s">
        <v>632</v>
      </c>
      <c r="P1698" s="45" t="s">
        <v>453</v>
      </c>
      <c r="Q1698" s="35" t="str">
        <f>MID(Tabla1[[#This Row],[Aplicación]],14,1)</f>
        <v>2</v>
      </c>
      <c r="R1698" s="35" t="s">
        <v>441</v>
      </c>
      <c r="S1698" s="35" t="str">
        <f>MID(Tabla1[[#This Row],[Aplicación]],6,2)</f>
        <v>11</v>
      </c>
      <c r="T1698" s="35" t="str">
        <f>VLOOKUP(Tabla1[[#This Row],[AREA]],Hoja1!A:B,2,FALSE)</f>
        <v>11. Salud pública y seguridad ciudadana</v>
      </c>
      <c r="U1698" s="35" t="str">
        <f>MID(Tabla1[[#This Row],[Aplicación]],9,4)</f>
        <v>1361</v>
      </c>
      <c r="V1698" s="35" t="str">
        <f>VLOOKUP(Tabla1[[#This Row],[PROGRAMA]],Hoja1!A:B,2,FALSE)</f>
        <v>1361. Prevención y extinción de incencios</v>
      </c>
      <c r="W1698" s="35" t="str">
        <f>MID(Tabla1[[#This Row],[Aplicación]],14,2)</f>
        <v>21</v>
      </c>
      <c r="X1698" s="35" t="str">
        <f>MID(Tabla1[[#This Row],[Aplicación]],14,6)</f>
        <v>214</v>
      </c>
    </row>
    <row r="1699" spans="1:24" x14ac:dyDescent="0.25">
      <c r="A1699" s="49">
        <v>220220002532</v>
      </c>
      <c r="B1699" s="50" t="s">
        <v>9</v>
      </c>
      <c r="C1699" s="57">
        <v>44595</v>
      </c>
      <c r="D1699" s="49">
        <v>22022001801</v>
      </c>
      <c r="E1699" s="50" t="s">
        <v>1742</v>
      </c>
      <c r="F1699" s="58">
        <v>1109.9100000000001</v>
      </c>
      <c r="G1699" s="50" t="s">
        <v>139</v>
      </c>
      <c r="H1699" s="50" t="s">
        <v>3104</v>
      </c>
      <c r="I1699" s="49" t="s">
        <v>107</v>
      </c>
      <c r="J1699" s="50" t="s">
        <v>109</v>
      </c>
      <c r="K1699" s="50" t="s">
        <v>108</v>
      </c>
      <c r="L1699" s="50" t="s">
        <v>15</v>
      </c>
      <c r="M1699" s="50" t="s">
        <v>10</v>
      </c>
      <c r="N1699" s="50" t="s">
        <v>11</v>
      </c>
      <c r="O1699" s="48" t="s">
        <v>632</v>
      </c>
      <c r="P1699" s="45" t="s">
        <v>453</v>
      </c>
      <c r="Q1699" s="35" t="str">
        <f>MID(Tabla1[[#This Row],[Aplicación]],14,1)</f>
        <v>2</v>
      </c>
      <c r="R1699" s="35" t="s">
        <v>441</v>
      </c>
      <c r="S1699" s="35" t="str">
        <f>MID(Tabla1[[#This Row],[Aplicación]],6,2)</f>
        <v>03</v>
      </c>
      <c r="T1699" s="35" t="str">
        <f>VLOOKUP(Tabla1[[#This Row],[AREA]],Hoja1!A:B,2,FALSE)</f>
        <v>03. Participación ciudadana y deportes</v>
      </c>
      <c r="U1699" s="35" t="str">
        <f>MID(Tabla1[[#This Row],[Aplicación]],9,4)</f>
        <v>9241</v>
      </c>
      <c r="V1699" s="35" t="str">
        <f>VLOOKUP(Tabla1[[#This Row],[PROGRAMA]],Hoja1!A:B,2,FALSE)</f>
        <v>9241. Participación ciudadana</v>
      </c>
      <c r="W1699" s="35" t="str">
        <f>MID(Tabla1[[#This Row],[Aplicación]],14,2)</f>
        <v>21</v>
      </c>
      <c r="X1699" s="35" t="str">
        <f>MID(Tabla1[[#This Row],[Aplicación]],14,6)</f>
        <v>213</v>
      </c>
    </row>
    <row r="1700" spans="1:24" x14ac:dyDescent="0.25">
      <c r="A1700" s="49">
        <v>220209000776</v>
      </c>
      <c r="B1700" s="50" t="s">
        <v>9</v>
      </c>
      <c r="C1700" s="57">
        <v>44562</v>
      </c>
      <c r="D1700" s="49">
        <v>22022000281</v>
      </c>
      <c r="E1700" s="50" t="s">
        <v>1408</v>
      </c>
      <c r="F1700" s="58">
        <v>53431.6</v>
      </c>
      <c r="G1700" s="50" t="s">
        <v>168</v>
      </c>
      <c r="H1700" s="50" t="s">
        <v>788</v>
      </c>
      <c r="I1700" s="49" t="s">
        <v>107</v>
      </c>
      <c r="J1700" s="50" t="s">
        <v>109</v>
      </c>
      <c r="K1700" s="50" t="s">
        <v>109</v>
      </c>
      <c r="L1700" s="50" t="s">
        <v>12</v>
      </c>
      <c r="M1700" s="50" t="s">
        <v>13</v>
      </c>
      <c r="N1700" s="50" t="s">
        <v>14</v>
      </c>
      <c r="O1700" s="48" t="s">
        <v>620</v>
      </c>
      <c r="P1700" s="45" t="s">
        <v>453</v>
      </c>
      <c r="Q1700" s="35" t="str">
        <f>MID(Tabla1[[#This Row],[Aplicación]],14,1)</f>
        <v>2</v>
      </c>
      <c r="R1700" s="35" t="s">
        <v>441</v>
      </c>
      <c r="S1700" s="35" t="str">
        <f>MID(Tabla1[[#This Row],[Aplicación]],6,2)</f>
        <v>04</v>
      </c>
      <c r="T1700" s="35" t="str">
        <f>VLOOKUP(Tabla1[[#This Row],[AREA]],Hoja1!A:B,2,FALSE)</f>
        <v>04. Planificación y recursos</v>
      </c>
      <c r="U1700" s="35" t="str">
        <f>MID(Tabla1[[#This Row],[Aplicación]],9,4)</f>
        <v>9204</v>
      </c>
      <c r="V1700" s="35" t="str">
        <f>VLOOKUP(Tabla1[[#This Row],[PROGRAMA]],Hoja1!A:B,2,FALSE)</f>
        <v>9204. Tecnologías de la información y comunicación</v>
      </c>
      <c r="W1700" s="35" t="str">
        <f>MID(Tabla1[[#This Row],[Aplicación]],14,2)</f>
        <v>21</v>
      </c>
      <c r="X1700" s="35" t="str">
        <f>MID(Tabla1[[#This Row],[Aplicación]],14,6)</f>
        <v>216</v>
      </c>
    </row>
    <row r="1701" spans="1:24" x14ac:dyDescent="0.25">
      <c r="A1701" s="49">
        <v>220209000825</v>
      </c>
      <c r="B1701" s="50" t="s">
        <v>9</v>
      </c>
      <c r="C1701" s="57">
        <v>44562</v>
      </c>
      <c r="D1701" s="49">
        <v>22022002100</v>
      </c>
      <c r="E1701" s="50" t="s">
        <v>1676</v>
      </c>
      <c r="F1701" s="58">
        <v>49973.57</v>
      </c>
      <c r="G1701" s="50" t="s">
        <v>168</v>
      </c>
      <c r="H1701" s="50" t="s">
        <v>787</v>
      </c>
      <c r="I1701" s="49" t="s">
        <v>107</v>
      </c>
      <c r="J1701" s="50" t="s">
        <v>109</v>
      </c>
      <c r="K1701" s="50" t="s">
        <v>109</v>
      </c>
      <c r="L1701" s="50" t="s">
        <v>12</v>
      </c>
      <c r="M1701" s="50" t="s">
        <v>13</v>
      </c>
      <c r="N1701" s="50" t="s">
        <v>14</v>
      </c>
      <c r="O1701" s="48" t="s">
        <v>620</v>
      </c>
      <c r="P1701" s="45" t="s">
        <v>453</v>
      </c>
      <c r="Q1701" s="35" t="str">
        <f>MID(Tabla1[[#This Row],[Aplicación]],14,1)</f>
        <v>6</v>
      </c>
      <c r="R1701" s="35" t="s">
        <v>442</v>
      </c>
      <c r="S1701" s="35" t="str">
        <f>MID(Tabla1[[#This Row],[Aplicación]],6,2)</f>
        <v>04</v>
      </c>
      <c r="T1701" s="35" t="str">
        <f>VLOOKUP(Tabla1[[#This Row],[AREA]],Hoja1!A:B,2,FALSE)</f>
        <v>04. Planificación y recursos</v>
      </c>
      <c r="U1701" s="35" t="str">
        <f>MID(Tabla1[[#This Row],[Aplicación]],9,4)</f>
        <v>9204</v>
      </c>
      <c r="V1701" s="35" t="str">
        <f>VLOOKUP(Tabla1[[#This Row],[PROGRAMA]],Hoja1!A:B,2,FALSE)</f>
        <v>9204. Tecnologías de la información y comunicación</v>
      </c>
      <c r="W1701" s="35" t="str">
        <f>MID(Tabla1[[#This Row],[Aplicación]],14,2)</f>
        <v>64</v>
      </c>
      <c r="X1701" s="35" t="str">
        <f>MID(Tabla1[[#This Row],[Aplicación]],14,6)</f>
        <v>641</v>
      </c>
    </row>
    <row r="1702" spans="1:24" x14ac:dyDescent="0.25">
      <c r="A1702" s="49">
        <v>220220008624</v>
      </c>
      <c r="B1702" s="50" t="s">
        <v>9</v>
      </c>
      <c r="C1702" s="57">
        <v>44631</v>
      </c>
      <c r="D1702" s="49">
        <v>22021000744</v>
      </c>
      <c r="E1702" s="50" t="s">
        <v>1676</v>
      </c>
      <c r="F1702" s="58">
        <v>1.04</v>
      </c>
      <c r="G1702" s="50" t="s">
        <v>168</v>
      </c>
      <c r="H1702" s="50" t="s">
        <v>787</v>
      </c>
      <c r="I1702" s="49" t="s">
        <v>107</v>
      </c>
      <c r="J1702" s="50" t="s">
        <v>109</v>
      </c>
      <c r="K1702" s="50" t="s">
        <v>109</v>
      </c>
      <c r="L1702" s="50" t="s">
        <v>12</v>
      </c>
      <c r="M1702" s="50" t="s">
        <v>13</v>
      </c>
      <c r="N1702" s="50" t="s">
        <v>14</v>
      </c>
      <c r="O1702" s="48" t="s">
        <v>620</v>
      </c>
      <c r="P1702" s="45" t="s">
        <v>453</v>
      </c>
      <c r="Q1702" s="35" t="str">
        <f>MID(Tabla1[[#This Row],[Aplicación]],14,1)</f>
        <v>6</v>
      </c>
      <c r="R1702" s="35" t="s">
        <v>442</v>
      </c>
      <c r="S1702" s="35" t="str">
        <f>MID(Tabla1[[#This Row],[Aplicación]],6,2)</f>
        <v>04</v>
      </c>
      <c r="T1702" s="35" t="str">
        <f>VLOOKUP(Tabla1[[#This Row],[AREA]],Hoja1!A:B,2,FALSE)</f>
        <v>04. Planificación y recursos</v>
      </c>
      <c r="U1702" s="35" t="str">
        <f>MID(Tabla1[[#This Row],[Aplicación]],9,4)</f>
        <v>9204</v>
      </c>
      <c r="V1702" s="35" t="str">
        <f>VLOOKUP(Tabla1[[#This Row],[PROGRAMA]],Hoja1!A:B,2,FALSE)</f>
        <v>9204. Tecnologías de la información y comunicación</v>
      </c>
      <c r="W1702" s="35" t="str">
        <f>MID(Tabla1[[#This Row],[Aplicación]],14,2)</f>
        <v>64</v>
      </c>
      <c r="X1702" s="35" t="str">
        <f>MID(Tabla1[[#This Row],[Aplicación]],14,6)</f>
        <v>641</v>
      </c>
    </row>
    <row r="1703" spans="1:24" x14ac:dyDescent="0.25">
      <c r="A1703" s="49">
        <v>220220003515</v>
      </c>
      <c r="B1703" s="50" t="s">
        <v>9</v>
      </c>
      <c r="C1703" s="57">
        <v>44606</v>
      </c>
      <c r="D1703" s="49">
        <v>22022001927</v>
      </c>
      <c r="E1703" s="50" t="s">
        <v>1676</v>
      </c>
      <c r="F1703" s="58">
        <v>53131.1</v>
      </c>
      <c r="G1703" s="50" t="s">
        <v>956</v>
      </c>
      <c r="H1703" s="50" t="s">
        <v>3105</v>
      </c>
      <c r="I1703" s="49" t="s">
        <v>107</v>
      </c>
      <c r="J1703" s="50" t="s">
        <v>128</v>
      </c>
      <c r="K1703" s="50" t="s">
        <v>128</v>
      </c>
      <c r="L1703" s="50" t="s">
        <v>15</v>
      </c>
      <c r="M1703" s="50" t="s">
        <v>13</v>
      </c>
      <c r="N1703" s="50" t="s">
        <v>14</v>
      </c>
      <c r="O1703" s="48" t="s">
        <v>620</v>
      </c>
      <c r="P1703" s="45" t="s">
        <v>453</v>
      </c>
      <c r="Q1703" s="35" t="str">
        <f>MID(Tabla1[[#This Row],[Aplicación]],14,1)</f>
        <v>6</v>
      </c>
      <c r="R1703" s="35" t="s">
        <v>442</v>
      </c>
      <c r="S1703" s="35" t="str">
        <f>MID(Tabla1[[#This Row],[Aplicación]],6,2)</f>
        <v>04</v>
      </c>
      <c r="T1703" s="35" t="str">
        <f>VLOOKUP(Tabla1[[#This Row],[AREA]],Hoja1!A:B,2,FALSE)</f>
        <v>04. Planificación y recursos</v>
      </c>
      <c r="U1703" s="35" t="str">
        <f>MID(Tabla1[[#This Row],[Aplicación]],9,4)</f>
        <v>9204</v>
      </c>
      <c r="V1703" s="35" t="str">
        <f>VLOOKUP(Tabla1[[#This Row],[PROGRAMA]],Hoja1!A:B,2,FALSE)</f>
        <v>9204. Tecnologías de la información y comunicación</v>
      </c>
      <c r="W1703" s="35" t="str">
        <f>MID(Tabla1[[#This Row],[Aplicación]],14,2)</f>
        <v>64</v>
      </c>
      <c r="X1703" s="35" t="str">
        <f>MID(Tabla1[[#This Row],[Aplicación]],14,6)</f>
        <v>641</v>
      </c>
    </row>
    <row r="1704" spans="1:24" x14ac:dyDescent="0.25">
      <c r="A1704" s="49">
        <v>220220005935</v>
      </c>
      <c r="B1704" s="50" t="s">
        <v>9</v>
      </c>
      <c r="C1704" s="57">
        <v>44616</v>
      </c>
      <c r="D1704" s="49">
        <v>22022002428</v>
      </c>
      <c r="E1704" s="50" t="s">
        <v>1471</v>
      </c>
      <c r="F1704" s="58">
        <v>1000</v>
      </c>
      <c r="G1704" s="50" t="s">
        <v>44</v>
      </c>
      <c r="H1704" s="50" t="s">
        <v>3106</v>
      </c>
      <c r="I1704" s="49" t="s">
        <v>107</v>
      </c>
      <c r="J1704" s="50" t="s">
        <v>109</v>
      </c>
      <c r="K1704" s="50" t="s">
        <v>109</v>
      </c>
      <c r="L1704" s="50" t="s">
        <v>12</v>
      </c>
      <c r="M1704" s="50" t="s">
        <v>10</v>
      </c>
      <c r="N1704" s="50" t="s">
        <v>11</v>
      </c>
      <c r="O1704" s="48" t="s">
        <v>632</v>
      </c>
      <c r="P1704" s="45" t="s">
        <v>453</v>
      </c>
      <c r="Q1704" s="35" t="str">
        <f>MID(Tabla1[[#This Row],[Aplicación]],14,1)</f>
        <v>2</v>
      </c>
      <c r="R1704" s="35" t="s">
        <v>441</v>
      </c>
      <c r="S1704" s="35" t="str">
        <f>MID(Tabla1[[#This Row],[Aplicación]],6,2)</f>
        <v>11</v>
      </c>
      <c r="T1704" s="35" t="str">
        <f>VLOOKUP(Tabla1[[#This Row],[AREA]],Hoja1!A:B,2,FALSE)</f>
        <v>11. Salud pública y seguridad ciudadana</v>
      </c>
      <c r="U1704" s="35" t="str">
        <f>MID(Tabla1[[#This Row],[Aplicación]],9,4)</f>
        <v>1321</v>
      </c>
      <c r="V1704" s="35" t="str">
        <f>VLOOKUP(Tabla1[[#This Row],[PROGRAMA]],Hoja1!A:B,2,FALSE)</f>
        <v>1321. Policía municipal</v>
      </c>
      <c r="W1704" s="35" t="str">
        <f>MID(Tabla1[[#This Row],[Aplicación]],14,2)</f>
        <v>21</v>
      </c>
      <c r="X1704" s="35" t="str">
        <f>MID(Tabla1[[#This Row],[Aplicación]],14,6)</f>
        <v>213</v>
      </c>
    </row>
    <row r="1705" spans="1:24" x14ac:dyDescent="0.25">
      <c r="A1705" s="49">
        <v>220219000401</v>
      </c>
      <c r="B1705" s="50" t="s">
        <v>9</v>
      </c>
      <c r="C1705" s="57">
        <v>44562</v>
      </c>
      <c r="D1705" s="49">
        <v>22022000540</v>
      </c>
      <c r="E1705" s="50" t="s">
        <v>3107</v>
      </c>
      <c r="F1705" s="58">
        <v>1000</v>
      </c>
      <c r="G1705" s="50" t="s">
        <v>158</v>
      </c>
      <c r="H1705" s="50" t="s">
        <v>3108</v>
      </c>
      <c r="I1705" s="49" t="s">
        <v>107</v>
      </c>
      <c r="J1705" s="50" t="s">
        <v>108</v>
      </c>
      <c r="K1705" s="50" t="s">
        <v>108</v>
      </c>
      <c r="L1705" s="50" t="s">
        <v>15</v>
      </c>
      <c r="M1705" s="50" t="s">
        <v>13</v>
      </c>
      <c r="N1705" s="50" t="s">
        <v>14</v>
      </c>
      <c r="O1705" s="48" t="s">
        <v>620</v>
      </c>
      <c r="P1705" s="45" t="s">
        <v>453</v>
      </c>
      <c r="Q1705" s="35" t="str">
        <f>MID(Tabla1[[#This Row],[Aplicación]],14,1)</f>
        <v>2</v>
      </c>
      <c r="R1705" s="35" t="s">
        <v>441</v>
      </c>
      <c r="S1705" s="35" t="str">
        <f>MID(Tabla1[[#This Row],[Aplicación]],6,2)</f>
        <v>07</v>
      </c>
      <c r="T1705" s="35" t="str">
        <f>VLOOKUP(Tabla1[[#This Row],[AREA]],Hoja1!A:B,2,FALSE)</f>
        <v>07. Medio ambiente y desarrollo sostenible</v>
      </c>
      <c r="U1705" s="35" t="str">
        <f>MID(Tabla1[[#This Row],[Aplicación]],9,4)</f>
        <v>1721</v>
      </c>
      <c r="V1705" s="35" t="str">
        <f>VLOOKUP(Tabla1[[#This Row],[PROGRAMA]],Hoja1!A:B,2,FALSE)</f>
        <v>1721. Protección del medio ambiente</v>
      </c>
      <c r="W1705" s="35" t="str">
        <f>MID(Tabla1[[#This Row],[Aplicación]],14,2)</f>
        <v>22</v>
      </c>
      <c r="X1705" s="35" t="str">
        <f>MID(Tabla1[[#This Row],[Aplicación]],14,6)</f>
        <v>22103</v>
      </c>
    </row>
    <row r="1706" spans="1:24" x14ac:dyDescent="0.25">
      <c r="A1706" s="49">
        <v>220220003516</v>
      </c>
      <c r="B1706" s="50" t="s">
        <v>9</v>
      </c>
      <c r="C1706" s="57">
        <v>44606</v>
      </c>
      <c r="D1706" s="49">
        <v>22022001928</v>
      </c>
      <c r="E1706" s="50" t="s">
        <v>1616</v>
      </c>
      <c r="F1706" s="58">
        <v>37994</v>
      </c>
      <c r="G1706" s="50" t="s">
        <v>956</v>
      </c>
      <c r="H1706" s="50" t="s">
        <v>3109</v>
      </c>
      <c r="I1706" s="49" t="s">
        <v>107</v>
      </c>
      <c r="J1706" s="50" t="s">
        <v>128</v>
      </c>
      <c r="K1706" s="50" t="s">
        <v>128</v>
      </c>
      <c r="L1706" s="50" t="s">
        <v>15</v>
      </c>
      <c r="M1706" s="50" t="s">
        <v>13</v>
      </c>
      <c r="N1706" s="50" t="s">
        <v>16</v>
      </c>
      <c r="O1706" s="48" t="s">
        <v>620</v>
      </c>
      <c r="P1706" s="45" t="s">
        <v>453</v>
      </c>
      <c r="Q1706" s="35" t="str">
        <f>MID(Tabla1[[#This Row],[Aplicación]],14,1)</f>
        <v>6</v>
      </c>
      <c r="R1706" s="35" t="s">
        <v>442</v>
      </c>
      <c r="S1706" s="35" t="str">
        <f>MID(Tabla1[[#This Row],[Aplicación]],6,2)</f>
        <v>04</v>
      </c>
      <c r="T1706" s="35" t="str">
        <f>VLOOKUP(Tabla1[[#This Row],[AREA]],Hoja1!A:B,2,FALSE)</f>
        <v>04. Planificación y recursos</v>
      </c>
      <c r="U1706" s="35" t="str">
        <f>MID(Tabla1[[#This Row],[Aplicación]],9,4)</f>
        <v>9204</v>
      </c>
      <c r="V1706" s="35" t="str">
        <f>VLOOKUP(Tabla1[[#This Row],[PROGRAMA]],Hoja1!A:B,2,FALSE)</f>
        <v>9204. Tecnologías de la información y comunicación</v>
      </c>
      <c r="W1706" s="35" t="str">
        <f>MID(Tabla1[[#This Row],[Aplicación]],14,2)</f>
        <v>62</v>
      </c>
      <c r="X1706" s="35" t="str">
        <f>MID(Tabla1[[#This Row],[Aplicación]],14,6)</f>
        <v>626</v>
      </c>
    </row>
    <row r="1707" spans="1:24" x14ac:dyDescent="0.25">
      <c r="A1707" s="49">
        <v>220220002531</v>
      </c>
      <c r="B1707" s="50" t="s">
        <v>9</v>
      </c>
      <c r="C1707" s="57">
        <v>44595</v>
      </c>
      <c r="D1707" s="49">
        <v>22022001800</v>
      </c>
      <c r="E1707" s="50" t="s">
        <v>1742</v>
      </c>
      <c r="F1707" s="58">
        <v>992.2</v>
      </c>
      <c r="G1707" s="50" t="s">
        <v>139</v>
      </c>
      <c r="H1707" s="50" t="s">
        <v>3110</v>
      </c>
      <c r="I1707" s="49" t="s">
        <v>107</v>
      </c>
      <c r="J1707" s="50" t="s">
        <v>109</v>
      </c>
      <c r="K1707" s="50" t="s">
        <v>108</v>
      </c>
      <c r="L1707" s="50" t="s">
        <v>15</v>
      </c>
      <c r="M1707" s="50" t="s">
        <v>10</v>
      </c>
      <c r="N1707" s="50" t="s">
        <v>11</v>
      </c>
      <c r="O1707" s="48" t="s">
        <v>632</v>
      </c>
      <c r="P1707" s="45" t="s">
        <v>453</v>
      </c>
      <c r="Q1707" s="35" t="str">
        <f>MID(Tabla1[[#This Row],[Aplicación]],14,1)</f>
        <v>2</v>
      </c>
      <c r="R1707" s="35" t="s">
        <v>441</v>
      </c>
      <c r="S1707" s="35" t="str">
        <f>MID(Tabla1[[#This Row],[Aplicación]],6,2)</f>
        <v>03</v>
      </c>
      <c r="T1707" s="35" t="str">
        <f>VLOOKUP(Tabla1[[#This Row],[AREA]],Hoja1!A:B,2,FALSE)</f>
        <v>03. Participación ciudadana y deportes</v>
      </c>
      <c r="U1707" s="35" t="str">
        <f>MID(Tabla1[[#This Row],[Aplicación]],9,4)</f>
        <v>9241</v>
      </c>
      <c r="V1707" s="35" t="str">
        <f>VLOOKUP(Tabla1[[#This Row],[PROGRAMA]],Hoja1!A:B,2,FALSE)</f>
        <v>9241. Participación ciudadana</v>
      </c>
      <c r="W1707" s="35" t="str">
        <f>MID(Tabla1[[#This Row],[Aplicación]],14,2)</f>
        <v>21</v>
      </c>
      <c r="X1707" s="35" t="str">
        <f>MID(Tabla1[[#This Row],[Aplicación]],14,6)</f>
        <v>213</v>
      </c>
    </row>
    <row r="1708" spans="1:24" x14ac:dyDescent="0.25">
      <c r="A1708" s="49">
        <v>220220009336</v>
      </c>
      <c r="B1708" s="50" t="s">
        <v>9</v>
      </c>
      <c r="C1708" s="57">
        <v>44636</v>
      </c>
      <c r="D1708" s="49">
        <v>22022001669</v>
      </c>
      <c r="E1708" s="50" t="s">
        <v>3111</v>
      </c>
      <c r="F1708" s="58">
        <v>980.7</v>
      </c>
      <c r="G1708" s="50" t="s">
        <v>224</v>
      </c>
      <c r="H1708" s="50" t="s">
        <v>3112</v>
      </c>
      <c r="I1708" s="49" t="s">
        <v>107</v>
      </c>
      <c r="J1708" s="50" t="s">
        <v>109</v>
      </c>
      <c r="K1708" s="50" t="s">
        <v>109</v>
      </c>
      <c r="L1708" s="50" t="s">
        <v>15</v>
      </c>
      <c r="M1708" s="50" t="s">
        <v>10</v>
      </c>
      <c r="N1708" s="50" t="s">
        <v>11</v>
      </c>
      <c r="O1708" s="48" t="s">
        <v>632</v>
      </c>
      <c r="P1708" s="45" t="s">
        <v>453</v>
      </c>
      <c r="Q1708" s="35" t="str">
        <f>MID(Tabla1[[#This Row],[Aplicación]],14,1)</f>
        <v>2</v>
      </c>
      <c r="R1708" s="35" t="s">
        <v>441</v>
      </c>
      <c r="S1708" s="35" t="str">
        <f>MID(Tabla1[[#This Row],[Aplicación]],6,2)</f>
        <v>03</v>
      </c>
      <c r="T1708" s="35" t="str">
        <f>VLOOKUP(Tabla1[[#This Row],[AREA]],Hoja1!A:B,2,FALSE)</f>
        <v>03. Participación ciudadana y deportes</v>
      </c>
      <c r="U1708" s="35" t="str">
        <f>MID(Tabla1[[#This Row],[Aplicación]],9,4)</f>
        <v>9241</v>
      </c>
      <c r="V1708" s="35" t="str">
        <f>VLOOKUP(Tabla1[[#This Row],[PROGRAMA]],Hoja1!A:B,2,FALSE)</f>
        <v>9241. Participación ciudadana</v>
      </c>
      <c r="W1708" s="35" t="str">
        <f>MID(Tabla1[[#This Row],[Aplicación]],14,2)</f>
        <v>22</v>
      </c>
      <c r="X1708" s="35" t="str">
        <f>MID(Tabla1[[#This Row],[Aplicación]],14,6)</f>
        <v>22110</v>
      </c>
    </row>
    <row r="1709" spans="1:24" x14ac:dyDescent="0.25">
      <c r="A1709" s="49">
        <v>220219000335</v>
      </c>
      <c r="B1709" s="50" t="s">
        <v>9</v>
      </c>
      <c r="C1709" s="57">
        <v>44562</v>
      </c>
      <c r="D1709" s="49">
        <v>22022001979</v>
      </c>
      <c r="E1709" s="50" t="s">
        <v>1616</v>
      </c>
      <c r="F1709" s="58">
        <v>32670</v>
      </c>
      <c r="G1709" s="50" t="s">
        <v>956</v>
      </c>
      <c r="H1709" s="50" t="s">
        <v>3113</v>
      </c>
      <c r="I1709" s="49" t="s">
        <v>107</v>
      </c>
      <c r="J1709" s="50" t="s">
        <v>128</v>
      </c>
      <c r="K1709" s="50" t="s">
        <v>128</v>
      </c>
      <c r="L1709" s="50" t="s">
        <v>15</v>
      </c>
      <c r="M1709" s="50" t="s">
        <v>13</v>
      </c>
      <c r="N1709" s="50" t="s">
        <v>14</v>
      </c>
      <c r="O1709" s="48" t="s">
        <v>620</v>
      </c>
      <c r="P1709" s="45" t="s">
        <v>453</v>
      </c>
      <c r="Q1709" s="35" t="str">
        <f>MID(Tabla1[[#This Row],[Aplicación]],14,1)</f>
        <v>6</v>
      </c>
      <c r="R1709" s="35" t="s">
        <v>442</v>
      </c>
      <c r="S1709" s="35" t="str">
        <f>MID(Tabla1[[#This Row],[Aplicación]],6,2)</f>
        <v>04</v>
      </c>
      <c r="T1709" s="35" t="str">
        <f>VLOOKUP(Tabla1[[#This Row],[AREA]],Hoja1!A:B,2,FALSE)</f>
        <v>04. Planificación y recursos</v>
      </c>
      <c r="U1709" s="35" t="str">
        <f>MID(Tabla1[[#This Row],[Aplicación]],9,4)</f>
        <v>9204</v>
      </c>
      <c r="V1709" s="35" t="str">
        <f>VLOOKUP(Tabla1[[#This Row],[PROGRAMA]],Hoja1!A:B,2,FALSE)</f>
        <v>9204. Tecnologías de la información y comunicación</v>
      </c>
      <c r="W1709" s="35" t="str">
        <f>MID(Tabla1[[#This Row],[Aplicación]],14,2)</f>
        <v>62</v>
      </c>
      <c r="X1709" s="35" t="str">
        <f>MID(Tabla1[[#This Row],[Aplicación]],14,6)</f>
        <v>626</v>
      </c>
    </row>
    <row r="1710" spans="1:24" x14ac:dyDescent="0.25">
      <c r="A1710" s="49">
        <v>220220010325</v>
      </c>
      <c r="B1710" s="50" t="s">
        <v>9</v>
      </c>
      <c r="C1710" s="57">
        <v>44641</v>
      </c>
      <c r="D1710" s="49">
        <v>22022002902</v>
      </c>
      <c r="E1710" s="50" t="s">
        <v>1436</v>
      </c>
      <c r="F1710" s="58">
        <v>440</v>
      </c>
      <c r="G1710" s="50" t="s">
        <v>1000</v>
      </c>
      <c r="H1710" s="50" t="s">
        <v>3114</v>
      </c>
      <c r="I1710" s="49" t="s">
        <v>107</v>
      </c>
      <c r="J1710" s="50" t="s">
        <v>1001</v>
      </c>
      <c r="K1710" s="50" t="s">
        <v>109</v>
      </c>
      <c r="L1710" s="50" t="s">
        <v>12</v>
      </c>
      <c r="M1710" s="50" t="s">
        <v>10</v>
      </c>
      <c r="N1710" s="50" t="s">
        <v>11</v>
      </c>
      <c r="O1710" s="48" t="s">
        <v>632</v>
      </c>
      <c r="P1710" s="45" t="s">
        <v>453</v>
      </c>
      <c r="Q1710" s="35" t="str">
        <f>MID(Tabla1[[#This Row],[Aplicación]],14,1)</f>
        <v>2</v>
      </c>
      <c r="R1710" s="35" t="s">
        <v>441</v>
      </c>
      <c r="S1710" s="35" t="str">
        <f>MID(Tabla1[[#This Row],[Aplicación]],6,2)</f>
        <v>03</v>
      </c>
      <c r="T1710" s="35" t="str">
        <f>VLOOKUP(Tabla1[[#This Row],[AREA]],Hoja1!A:B,2,FALSE)</f>
        <v>03. Participación ciudadana y deportes</v>
      </c>
      <c r="U1710" s="35" t="str">
        <f>MID(Tabla1[[#This Row],[Aplicación]],9,4)</f>
        <v>9241</v>
      </c>
      <c r="V1710" s="35" t="str">
        <f>VLOOKUP(Tabla1[[#This Row],[PROGRAMA]],Hoja1!A:B,2,FALSE)</f>
        <v>9241. Participación ciudadana</v>
      </c>
      <c r="W1710" s="35" t="str">
        <f>MID(Tabla1[[#This Row],[Aplicación]],14,2)</f>
        <v>22</v>
      </c>
      <c r="X1710" s="35" t="str">
        <f>MID(Tabla1[[#This Row],[Aplicación]],14,6)</f>
        <v>22609</v>
      </c>
    </row>
    <row r="1711" spans="1:24" x14ac:dyDescent="0.25">
      <c r="A1711" s="49">
        <v>220220010332</v>
      </c>
      <c r="B1711" s="50" t="s">
        <v>9</v>
      </c>
      <c r="C1711" s="57">
        <v>44641</v>
      </c>
      <c r="D1711" s="49">
        <v>22022002909</v>
      </c>
      <c r="E1711" s="50" t="s">
        <v>1436</v>
      </c>
      <c r="F1711" s="58">
        <v>598.95000000000005</v>
      </c>
      <c r="G1711" s="50" t="s">
        <v>3115</v>
      </c>
      <c r="H1711" s="50" t="s">
        <v>3116</v>
      </c>
      <c r="I1711" s="49" t="s">
        <v>107</v>
      </c>
      <c r="J1711" s="50" t="s">
        <v>151</v>
      </c>
      <c r="K1711" s="50" t="s">
        <v>151</v>
      </c>
      <c r="L1711" s="50" t="s">
        <v>12</v>
      </c>
      <c r="M1711" s="50" t="s">
        <v>10</v>
      </c>
      <c r="N1711" s="50" t="s">
        <v>11</v>
      </c>
      <c r="O1711" s="48" t="s">
        <v>632</v>
      </c>
      <c r="P1711" s="45" t="s">
        <v>453</v>
      </c>
      <c r="Q1711" s="35" t="str">
        <f>MID(Tabla1[[#This Row],[Aplicación]],14,1)</f>
        <v>2</v>
      </c>
      <c r="R1711" s="35" t="s">
        <v>441</v>
      </c>
      <c r="S1711" s="35" t="str">
        <f>MID(Tabla1[[#This Row],[Aplicación]],6,2)</f>
        <v>03</v>
      </c>
      <c r="T1711" s="35" t="str">
        <f>VLOOKUP(Tabla1[[#This Row],[AREA]],Hoja1!A:B,2,FALSE)</f>
        <v>03. Participación ciudadana y deportes</v>
      </c>
      <c r="U1711" s="35" t="str">
        <f>MID(Tabla1[[#This Row],[Aplicación]],9,4)</f>
        <v>9241</v>
      </c>
      <c r="V1711" s="35" t="str">
        <f>VLOOKUP(Tabla1[[#This Row],[PROGRAMA]],Hoja1!A:B,2,FALSE)</f>
        <v>9241. Participación ciudadana</v>
      </c>
      <c r="W1711" s="35" t="str">
        <f>MID(Tabla1[[#This Row],[Aplicación]],14,2)</f>
        <v>22</v>
      </c>
      <c r="X1711" s="35" t="str">
        <f>MID(Tabla1[[#This Row],[Aplicación]],14,6)</f>
        <v>22609</v>
      </c>
    </row>
    <row r="1712" spans="1:24" x14ac:dyDescent="0.25">
      <c r="A1712" s="49">
        <v>220220005210</v>
      </c>
      <c r="B1712" s="50" t="s">
        <v>9</v>
      </c>
      <c r="C1712" s="57">
        <v>44614</v>
      </c>
      <c r="D1712" s="49">
        <v>22022002247</v>
      </c>
      <c r="E1712" s="50" t="s">
        <v>1461</v>
      </c>
      <c r="F1712" s="58">
        <v>972.84</v>
      </c>
      <c r="G1712" s="50" t="s">
        <v>232</v>
      </c>
      <c r="H1712" s="50" t="s">
        <v>3117</v>
      </c>
      <c r="I1712" s="49" t="s">
        <v>107</v>
      </c>
      <c r="J1712" s="50" t="s">
        <v>567</v>
      </c>
      <c r="K1712" s="50" t="s">
        <v>108</v>
      </c>
      <c r="L1712" s="50" t="s">
        <v>12</v>
      </c>
      <c r="M1712" s="50" t="s">
        <v>10</v>
      </c>
      <c r="N1712" s="50" t="s">
        <v>11</v>
      </c>
      <c r="O1712" s="48" t="s">
        <v>632</v>
      </c>
      <c r="P1712" s="45" t="s">
        <v>453</v>
      </c>
      <c r="Q1712" s="35" t="str">
        <f>MID(Tabla1[[#This Row],[Aplicación]],14,1)</f>
        <v>2</v>
      </c>
      <c r="R1712" s="35" t="s">
        <v>441</v>
      </c>
      <c r="S1712" s="35" t="str">
        <f>MID(Tabla1[[#This Row],[Aplicación]],6,2)</f>
        <v>11</v>
      </c>
      <c r="T1712" s="35" t="str">
        <f>VLOOKUP(Tabla1[[#This Row],[AREA]],Hoja1!A:B,2,FALSE)</f>
        <v>11. Salud pública y seguridad ciudadana</v>
      </c>
      <c r="U1712" s="35" t="str">
        <f>MID(Tabla1[[#This Row],[Aplicación]],9,4)</f>
        <v>1621</v>
      </c>
      <c r="V1712" s="35" t="str">
        <f>VLOOKUP(Tabla1[[#This Row],[PROGRAMA]],Hoja1!A:B,2,FALSE)</f>
        <v>1621. Servicio de limpieza</v>
      </c>
      <c r="W1712" s="35" t="str">
        <f>MID(Tabla1[[#This Row],[Aplicación]],14,2)</f>
        <v>21</v>
      </c>
      <c r="X1712" s="35" t="str">
        <f>MID(Tabla1[[#This Row],[Aplicación]],14,6)</f>
        <v>213</v>
      </c>
    </row>
    <row r="1713" spans="1:24" x14ac:dyDescent="0.25">
      <c r="A1713" s="49">
        <v>220220006755</v>
      </c>
      <c r="B1713" s="50" t="s">
        <v>172</v>
      </c>
      <c r="C1713" s="57">
        <v>44622</v>
      </c>
      <c r="D1713" s="49">
        <v>22022001623</v>
      </c>
      <c r="E1713" s="50" t="s">
        <v>1606</v>
      </c>
      <c r="F1713" s="58">
        <v>1177.6300000000001</v>
      </c>
      <c r="G1713" s="50" t="s">
        <v>220</v>
      </c>
      <c r="H1713" s="50" t="s">
        <v>3118</v>
      </c>
      <c r="I1713" s="49" t="s">
        <v>173</v>
      </c>
      <c r="J1713" s="50" t="s">
        <v>109</v>
      </c>
      <c r="K1713" s="50" t="s">
        <v>109</v>
      </c>
      <c r="L1713" s="50" t="s">
        <v>15</v>
      </c>
      <c r="M1713" s="50" t="s">
        <v>13</v>
      </c>
      <c r="N1713" s="50" t="s">
        <v>14</v>
      </c>
      <c r="O1713" s="48" t="s">
        <v>631</v>
      </c>
      <c r="P1713" s="45" t="s">
        <v>453</v>
      </c>
      <c r="Q1713" s="35" t="str">
        <f>MID(Tabla1[[#This Row],[Aplicación]],14,1)</f>
        <v>2</v>
      </c>
      <c r="R1713" s="35" t="s">
        <v>441</v>
      </c>
      <c r="S1713" s="35" t="str">
        <f>MID(Tabla1[[#This Row],[Aplicación]],6,2)</f>
        <v>11</v>
      </c>
      <c r="T1713" s="35" t="str">
        <f>VLOOKUP(Tabla1[[#This Row],[AREA]],Hoja1!A:B,2,FALSE)</f>
        <v>11. Salud pública y seguridad ciudadana</v>
      </c>
      <c r="U1713" s="35" t="str">
        <f>MID(Tabla1[[#This Row],[Aplicación]],9,4)</f>
        <v>1361</v>
      </c>
      <c r="V1713" s="35" t="str">
        <f>VLOOKUP(Tabla1[[#This Row],[PROGRAMA]],Hoja1!A:B,2,FALSE)</f>
        <v>1361. Prevención y extinción de incencios</v>
      </c>
      <c r="W1713" s="35" t="str">
        <f>MID(Tabla1[[#This Row],[Aplicación]],14,2)</f>
        <v>22</v>
      </c>
      <c r="X1713" s="35" t="str">
        <f>MID(Tabla1[[#This Row],[Aplicación]],14,6)</f>
        <v>22199</v>
      </c>
    </row>
    <row r="1714" spans="1:24" x14ac:dyDescent="0.25">
      <c r="A1714" s="49">
        <v>220220006743</v>
      </c>
      <c r="B1714" s="50" t="s">
        <v>172</v>
      </c>
      <c r="C1714" s="57">
        <v>44622</v>
      </c>
      <c r="D1714" s="49">
        <v>22022001623</v>
      </c>
      <c r="E1714" s="50" t="s">
        <v>1606</v>
      </c>
      <c r="F1714" s="58">
        <v>1152.71</v>
      </c>
      <c r="G1714" s="50" t="s">
        <v>220</v>
      </c>
      <c r="H1714" s="50" t="s">
        <v>3119</v>
      </c>
      <c r="I1714" s="49" t="s">
        <v>173</v>
      </c>
      <c r="J1714" s="50" t="s">
        <v>109</v>
      </c>
      <c r="K1714" s="50" t="s">
        <v>109</v>
      </c>
      <c r="L1714" s="50" t="s">
        <v>15</v>
      </c>
      <c r="M1714" s="50" t="s">
        <v>13</v>
      </c>
      <c r="N1714" s="50" t="s">
        <v>14</v>
      </c>
      <c r="O1714" s="48" t="s">
        <v>631</v>
      </c>
      <c r="P1714" s="45" t="s">
        <v>453</v>
      </c>
      <c r="Q1714" s="35" t="str">
        <f>MID(Tabla1[[#This Row],[Aplicación]],14,1)</f>
        <v>2</v>
      </c>
      <c r="R1714" s="35" t="s">
        <v>441</v>
      </c>
      <c r="S1714" s="35" t="str">
        <f>MID(Tabla1[[#This Row],[Aplicación]],6,2)</f>
        <v>11</v>
      </c>
      <c r="T1714" s="35" t="str">
        <f>VLOOKUP(Tabla1[[#This Row],[AREA]],Hoja1!A:B,2,FALSE)</f>
        <v>11. Salud pública y seguridad ciudadana</v>
      </c>
      <c r="U1714" s="35" t="str">
        <f>MID(Tabla1[[#This Row],[Aplicación]],9,4)</f>
        <v>1361</v>
      </c>
      <c r="V1714" s="35" t="str">
        <f>VLOOKUP(Tabla1[[#This Row],[PROGRAMA]],Hoja1!A:B,2,FALSE)</f>
        <v>1361. Prevención y extinción de incencios</v>
      </c>
      <c r="W1714" s="35" t="str">
        <f>MID(Tabla1[[#This Row],[Aplicación]],14,2)</f>
        <v>22</v>
      </c>
      <c r="X1714" s="35" t="str">
        <f>MID(Tabla1[[#This Row],[Aplicación]],14,6)</f>
        <v>22199</v>
      </c>
    </row>
    <row r="1715" spans="1:24" x14ac:dyDescent="0.25">
      <c r="A1715" s="49">
        <v>220220005558</v>
      </c>
      <c r="B1715" s="50" t="s">
        <v>172</v>
      </c>
      <c r="C1715" s="57">
        <v>44614</v>
      </c>
      <c r="D1715" s="49">
        <v>22022001454</v>
      </c>
      <c r="E1715" s="50" t="s">
        <v>1608</v>
      </c>
      <c r="F1715" s="58">
        <v>869.95</v>
      </c>
      <c r="G1715" s="50" t="s">
        <v>220</v>
      </c>
      <c r="H1715" s="50" t="s">
        <v>3120</v>
      </c>
      <c r="I1715" s="49" t="s">
        <v>173</v>
      </c>
      <c r="J1715" s="50" t="s">
        <v>109</v>
      </c>
      <c r="K1715" s="50" t="s">
        <v>109</v>
      </c>
      <c r="L1715" s="50" t="s">
        <v>15</v>
      </c>
      <c r="M1715" s="50" t="s">
        <v>13</v>
      </c>
      <c r="N1715" s="50" t="s">
        <v>14</v>
      </c>
      <c r="O1715" s="48" t="s">
        <v>631</v>
      </c>
      <c r="P1715" s="45" t="s">
        <v>453</v>
      </c>
      <c r="Q1715" s="35" t="str">
        <f>MID(Tabla1[[#This Row],[Aplicación]],14,1)</f>
        <v>2</v>
      </c>
      <c r="R1715" s="35" t="s">
        <v>441</v>
      </c>
      <c r="S1715" s="35" t="str">
        <f>MID(Tabla1[[#This Row],[Aplicación]],6,2)</f>
        <v>11</v>
      </c>
      <c r="T1715" s="35" t="str">
        <f>VLOOKUP(Tabla1[[#This Row],[AREA]],Hoja1!A:B,2,FALSE)</f>
        <v>11. Salud pública y seguridad ciudadana</v>
      </c>
      <c r="U1715" s="35" t="str">
        <f>MID(Tabla1[[#This Row],[Aplicación]],9,4)</f>
        <v>1321</v>
      </c>
      <c r="V1715" s="35" t="str">
        <f>VLOOKUP(Tabla1[[#This Row],[PROGRAMA]],Hoja1!A:B,2,FALSE)</f>
        <v>1321. Policía municipal</v>
      </c>
      <c r="W1715" s="35" t="str">
        <f>MID(Tabla1[[#This Row],[Aplicación]],14,2)</f>
        <v>21</v>
      </c>
      <c r="X1715" s="35" t="str">
        <f>MID(Tabla1[[#This Row],[Aplicación]],14,6)</f>
        <v>214</v>
      </c>
    </row>
    <row r="1716" spans="1:24" x14ac:dyDescent="0.25">
      <c r="A1716" s="49">
        <v>220220009577</v>
      </c>
      <c r="B1716" s="50" t="s">
        <v>172</v>
      </c>
      <c r="C1716" s="57">
        <v>44636</v>
      </c>
      <c r="D1716" s="49">
        <v>22022001454</v>
      </c>
      <c r="E1716" s="50" t="s">
        <v>1608</v>
      </c>
      <c r="F1716" s="58">
        <v>673.5</v>
      </c>
      <c r="G1716" s="50" t="s">
        <v>220</v>
      </c>
      <c r="H1716" s="50" t="s">
        <v>3121</v>
      </c>
      <c r="I1716" s="49" t="s">
        <v>173</v>
      </c>
      <c r="J1716" s="50" t="s">
        <v>109</v>
      </c>
      <c r="K1716" s="50" t="s">
        <v>109</v>
      </c>
      <c r="L1716" s="50" t="s">
        <v>15</v>
      </c>
      <c r="M1716" s="50" t="s">
        <v>13</v>
      </c>
      <c r="N1716" s="50" t="s">
        <v>14</v>
      </c>
      <c r="O1716" s="48" t="s">
        <v>631</v>
      </c>
      <c r="P1716" s="45" t="s">
        <v>453</v>
      </c>
      <c r="Q1716" s="35" t="str">
        <f>MID(Tabla1[[#This Row],[Aplicación]],14,1)</f>
        <v>2</v>
      </c>
      <c r="R1716" s="35" t="s">
        <v>441</v>
      </c>
      <c r="S1716" s="35" t="str">
        <f>MID(Tabla1[[#This Row],[Aplicación]],6,2)</f>
        <v>11</v>
      </c>
      <c r="T1716" s="35" t="str">
        <f>VLOOKUP(Tabla1[[#This Row],[AREA]],Hoja1!A:B,2,FALSE)</f>
        <v>11. Salud pública y seguridad ciudadana</v>
      </c>
      <c r="U1716" s="35" t="str">
        <f>MID(Tabla1[[#This Row],[Aplicación]],9,4)</f>
        <v>1321</v>
      </c>
      <c r="V1716" s="35" t="str">
        <f>VLOOKUP(Tabla1[[#This Row],[PROGRAMA]],Hoja1!A:B,2,FALSE)</f>
        <v>1321. Policía municipal</v>
      </c>
      <c r="W1716" s="35" t="str">
        <f>MID(Tabla1[[#This Row],[Aplicación]],14,2)</f>
        <v>21</v>
      </c>
      <c r="X1716" s="35" t="str">
        <f>MID(Tabla1[[#This Row],[Aplicación]],14,6)</f>
        <v>214</v>
      </c>
    </row>
    <row r="1717" spans="1:24" x14ac:dyDescent="0.25">
      <c r="A1717" s="49">
        <v>220220009564</v>
      </c>
      <c r="B1717" s="50" t="s">
        <v>172</v>
      </c>
      <c r="C1717" s="57">
        <v>44636</v>
      </c>
      <c r="D1717" s="49">
        <v>22022000029</v>
      </c>
      <c r="E1717" s="50" t="s">
        <v>3122</v>
      </c>
      <c r="F1717" s="58">
        <v>301.29000000000002</v>
      </c>
      <c r="G1717" s="50" t="s">
        <v>220</v>
      </c>
      <c r="H1717" s="50" t="s">
        <v>3123</v>
      </c>
      <c r="I1717" s="49" t="s">
        <v>173</v>
      </c>
      <c r="J1717" s="50" t="s">
        <v>109</v>
      </c>
      <c r="K1717" s="50" t="s">
        <v>109</v>
      </c>
      <c r="L1717" s="50" t="s">
        <v>15</v>
      </c>
      <c r="M1717" s="50" t="s">
        <v>13</v>
      </c>
      <c r="N1717" s="50" t="s">
        <v>14</v>
      </c>
      <c r="O1717" s="48" t="s">
        <v>631</v>
      </c>
      <c r="P1717" s="45" t="s">
        <v>453</v>
      </c>
      <c r="Q1717" s="35" t="str">
        <f>MID(Tabla1[[#This Row],[Aplicación]],14,1)</f>
        <v>2</v>
      </c>
      <c r="R1717" s="35" t="s">
        <v>441</v>
      </c>
      <c r="S1717" s="35" t="str">
        <f>MID(Tabla1[[#This Row],[Aplicación]],6,2)</f>
        <v>11</v>
      </c>
      <c r="T1717" s="35" t="str">
        <f>VLOOKUP(Tabla1[[#This Row],[AREA]],Hoja1!A:B,2,FALSE)</f>
        <v>11. Salud pública y seguridad ciudadana</v>
      </c>
      <c r="U1717" s="35" t="str">
        <f>MID(Tabla1[[#This Row],[Aplicación]],9,4)</f>
        <v>1621</v>
      </c>
      <c r="V1717" s="35" t="str">
        <f>VLOOKUP(Tabla1[[#This Row],[PROGRAMA]],Hoja1!A:B,2,FALSE)</f>
        <v>1621. Servicio de limpieza</v>
      </c>
      <c r="W1717" s="35" t="str">
        <f>MID(Tabla1[[#This Row],[Aplicación]],14,2)</f>
        <v>22</v>
      </c>
      <c r="X1717" s="35" t="str">
        <f>MID(Tabla1[[#This Row],[Aplicación]],14,6)</f>
        <v>22110</v>
      </c>
    </row>
    <row r="1718" spans="1:24" x14ac:dyDescent="0.25">
      <c r="A1718" s="49">
        <v>220220012685</v>
      </c>
      <c r="B1718" s="50" t="s">
        <v>172</v>
      </c>
      <c r="C1718" s="57">
        <v>44644</v>
      </c>
      <c r="D1718" s="49">
        <v>22022001595</v>
      </c>
      <c r="E1718" s="50" t="s">
        <v>1922</v>
      </c>
      <c r="F1718" s="58">
        <v>151.19</v>
      </c>
      <c r="G1718" s="50" t="s">
        <v>220</v>
      </c>
      <c r="H1718" s="50" t="s">
        <v>3124</v>
      </c>
      <c r="I1718" s="49" t="s">
        <v>173</v>
      </c>
      <c r="J1718" s="50" t="s">
        <v>109</v>
      </c>
      <c r="K1718" s="50" t="s">
        <v>109</v>
      </c>
      <c r="L1718" s="50" t="s">
        <v>15</v>
      </c>
      <c r="M1718" s="50" t="s">
        <v>13</v>
      </c>
      <c r="N1718" s="50" t="s">
        <v>14</v>
      </c>
      <c r="O1718" s="48" t="s">
        <v>631</v>
      </c>
      <c r="P1718" s="45" t="s">
        <v>453</v>
      </c>
      <c r="Q1718" s="35" t="str">
        <f>MID(Tabla1[[#This Row],[Aplicación]],14,1)</f>
        <v>2</v>
      </c>
      <c r="R1718" s="35" t="s">
        <v>441</v>
      </c>
      <c r="S1718" s="35" t="str">
        <f>MID(Tabla1[[#This Row],[Aplicación]],6,2)</f>
        <v>07</v>
      </c>
      <c r="T1718" s="35" t="str">
        <f>VLOOKUP(Tabla1[[#This Row],[AREA]],Hoja1!A:B,2,FALSE)</f>
        <v>07. Medio ambiente y desarrollo sostenible</v>
      </c>
      <c r="U1718" s="35" t="str">
        <f>MID(Tabla1[[#This Row],[Aplicación]],9,4)</f>
        <v>1711</v>
      </c>
      <c r="V1718" s="35" t="str">
        <f>VLOOKUP(Tabla1[[#This Row],[PROGRAMA]],Hoja1!A:B,2,FALSE)</f>
        <v>1711. Parques y jardines</v>
      </c>
      <c r="W1718" s="35" t="str">
        <f>MID(Tabla1[[#This Row],[Aplicación]],14,2)</f>
        <v>21</v>
      </c>
      <c r="X1718" s="35" t="str">
        <f>MID(Tabla1[[#This Row],[Aplicación]],14,6)</f>
        <v>214</v>
      </c>
    </row>
    <row r="1719" spans="1:24" x14ac:dyDescent="0.25">
      <c r="A1719" s="49">
        <v>220220003813</v>
      </c>
      <c r="B1719" s="50" t="s">
        <v>172</v>
      </c>
      <c r="C1719" s="57">
        <v>44608</v>
      </c>
      <c r="D1719" s="49">
        <v>22022001595</v>
      </c>
      <c r="E1719" s="50" t="s">
        <v>1922</v>
      </c>
      <c r="F1719" s="58">
        <v>146.93</v>
      </c>
      <c r="G1719" s="50" t="s">
        <v>220</v>
      </c>
      <c r="H1719" s="50" t="s">
        <v>912</v>
      </c>
      <c r="I1719" s="49" t="s">
        <v>173</v>
      </c>
      <c r="J1719" s="50" t="s">
        <v>109</v>
      </c>
      <c r="K1719" s="50" t="s">
        <v>109</v>
      </c>
      <c r="L1719" s="50" t="s">
        <v>15</v>
      </c>
      <c r="M1719" s="50" t="s">
        <v>13</v>
      </c>
      <c r="N1719" s="50" t="s">
        <v>14</v>
      </c>
      <c r="O1719" s="48" t="s">
        <v>631</v>
      </c>
      <c r="P1719" s="45" t="s">
        <v>453</v>
      </c>
      <c r="Q1719" s="35" t="str">
        <f>MID(Tabla1[[#This Row],[Aplicación]],14,1)</f>
        <v>2</v>
      </c>
      <c r="R1719" s="35" t="s">
        <v>441</v>
      </c>
      <c r="S1719" s="35" t="str">
        <f>MID(Tabla1[[#This Row],[Aplicación]],6,2)</f>
        <v>07</v>
      </c>
      <c r="T1719" s="35" t="str">
        <f>VLOOKUP(Tabla1[[#This Row],[AREA]],Hoja1!A:B,2,FALSE)</f>
        <v>07. Medio ambiente y desarrollo sostenible</v>
      </c>
      <c r="U1719" s="35" t="str">
        <f>MID(Tabla1[[#This Row],[Aplicación]],9,4)</f>
        <v>1711</v>
      </c>
      <c r="V1719" s="35" t="str">
        <f>VLOOKUP(Tabla1[[#This Row],[PROGRAMA]],Hoja1!A:B,2,FALSE)</f>
        <v>1711. Parques y jardines</v>
      </c>
      <c r="W1719" s="35" t="str">
        <f>MID(Tabla1[[#This Row],[Aplicación]],14,2)</f>
        <v>21</v>
      </c>
      <c r="X1719" s="35" t="str">
        <f>MID(Tabla1[[#This Row],[Aplicación]],14,6)</f>
        <v>214</v>
      </c>
    </row>
    <row r="1720" spans="1:24" x14ac:dyDescent="0.25">
      <c r="A1720" s="49">
        <v>220220004127</v>
      </c>
      <c r="B1720" s="50" t="s">
        <v>172</v>
      </c>
      <c r="C1720" s="57">
        <v>44610</v>
      </c>
      <c r="D1720" s="49">
        <v>22022001454</v>
      </c>
      <c r="E1720" s="50" t="s">
        <v>1608</v>
      </c>
      <c r="F1720" s="58">
        <v>97.5</v>
      </c>
      <c r="G1720" s="50" t="s">
        <v>220</v>
      </c>
      <c r="H1720" s="50" t="s">
        <v>1142</v>
      </c>
      <c r="I1720" s="49" t="s">
        <v>173</v>
      </c>
      <c r="J1720" s="50" t="s">
        <v>109</v>
      </c>
      <c r="K1720" s="50" t="s">
        <v>109</v>
      </c>
      <c r="L1720" s="50" t="s">
        <v>12</v>
      </c>
      <c r="M1720" s="50" t="s">
        <v>13</v>
      </c>
      <c r="N1720" s="50" t="s">
        <v>14</v>
      </c>
      <c r="O1720" s="48" t="s">
        <v>631</v>
      </c>
      <c r="P1720" s="45" t="s">
        <v>453</v>
      </c>
      <c r="Q1720" s="35" t="str">
        <f>MID(Tabla1[[#This Row],[Aplicación]],14,1)</f>
        <v>2</v>
      </c>
      <c r="R1720" s="35" t="s">
        <v>441</v>
      </c>
      <c r="S1720" s="35" t="str">
        <f>MID(Tabla1[[#This Row],[Aplicación]],6,2)</f>
        <v>11</v>
      </c>
      <c r="T1720" s="35" t="str">
        <f>VLOOKUP(Tabla1[[#This Row],[AREA]],Hoja1!A:B,2,FALSE)</f>
        <v>11. Salud pública y seguridad ciudadana</v>
      </c>
      <c r="U1720" s="35" t="str">
        <f>MID(Tabla1[[#This Row],[Aplicación]],9,4)</f>
        <v>1321</v>
      </c>
      <c r="V1720" s="35" t="str">
        <f>VLOOKUP(Tabla1[[#This Row],[PROGRAMA]],Hoja1!A:B,2,FALSE)</f>
        <v>1321. Policía municipal</v>
      </c>
      <c r="W1720" s="35" t="str">
        <f>MID(Tabla1[[#This Row],[Aplicación]],14,2)</f>
        <v>21</v>
      </c>
      <c r="X1720" s="35" t="str">
        <f>MID(Tabla1[[#This Row],[Aplicación]],14,6)</f>
        <v>214</v>
      </c>
    </row>
    <row r="1721" spans="1:24" x14ac:dyDescent="0.25">
      <c r="A1721" s="49">
        <v>220220001747</v>
      </c>
      <c r="B1721" s="50" t="s">
        <v>172</v>
      </c>
      <c r="C1721" s="57">
        <v>44588</v>
      </c>
      <c r="D1721" s="49">
        <v>22022001595</v>
      </c>
      <c r="E1721" s="50" t="s">
        <v>1922</v>
      </c>
      <c r="F1721" s="58">
        <v>34.17</v>
      </c>
      <c r="G1721" s="50" t="s">
        <v>220</v>
      </c>
      <c r="H1721" s="50" t="s">
        <v>912</v>
      </c>
      <c r="I1721" s="49" t="s">
        <v>173</v>
      </c>
      <c r="J1721" s="50" t="s">
        <v>109</v>
      </c>
      <c r="K1721" s="50" t="s">
        <v>109</v>
      </c>
      <c r="L1721" s="50" t="s">
        <v>15</v>
      </c>
      <c r="M1721" s="50" t="s">
        <v>13</v>
      </c>
      <c r="N1721" s="50" t="s">
        <v>14</v>
      </c>
      <c r="O1721" s="48" t="s">
        <v>631</v>
      </c>
      <c r="P1721" s="45" t="s">
        <v>453</v>
      </c>
      <c r="Q1721" s="35" t="str">
        <f>MID(Tabla1[[#This Row],[Aplicación]],14,1)</f>
        <v>2</v>
      </c>
      <c r="R1721" s="35" t="s">
        <v>441</v>
      </c>
      <c r="S1721" s="35" t="str">
        <f>MID(Tabla1[[#This Row],[Aplicación]],6,2)</f>
        <v>07</v>
      </c>
      <c r="T1721" s="35" t="str">
        <f>VLOOKUP(Tabla1[[#This Row],[AREA]],Hoja1!A:B,2,FALSE)</f>
        <v>07. Medio ambiente y desarrollo sostenible</v>
      </c>
      <c r="U1721" s="35" t="str">
        <f>MID(Tabla1[[#This Row],[Aplicación]],9,4)</f>
        <v>1711</v>
      </c>
      <c r="V1721" s="35" t="str">
        <f>VLOOKUP(Tabla1[[#This Row],[PROGRAMA]],Hoja1!A:B,2,FALSE)</f>
        <v>1711. Parques y jardines</v>
      </c>
      <c r="W1721" s="35" t="str">
        <f>MID(Tabla1[[#This Row],[Aplicación]],14,2)</f>
        <v>21</v>
      </c>
      <c r="X1721" s="35" t="str">
        <f>MID(Tabla1[[#This Row],[Aplicación]],14,6)</f>
        <v>214</v>
      </c>
    </row>
    <row r="1722" spans="1:24" x14ac:dyDescent="0.25">
      <c r="A1722" s="49">
        <v>220220013203</v>
      </c>
      <c r="B1722" s="50" t="s">
        <v>172</v>
      </c>
      <c r="C1722" s="57">
        <v>44650</v>
      </c>
      <c r="D1722" s="49">
        <v>22022001623</v>
      </c>
      <c r="E1722" s="50" t="s">
        <v>1606</v>
      </c>
      <c r="F1722" s="58">
        <v>26.49</v>
      </c>
      <c r="G1722" s="50" t="s">
        <v>220</v>
      </c>
      <c r="H1722" s="50" t="s">
        <v>3125</v>
      </c>
      <c r="I1722" s="49" t="s">
        <v>173</v>
      </c>
      <c r="J1722" s="50" t="s">
        <v>109</v>
      </c>
      <c r="K1722" s="50" t="s">
        <v>109</v>
      </c>
      <c r="L1722" s="50" t="s">
        <v>15</v>
      </c>
      <c r="M1722" s="50" t="s">
        <v>13</v>
      </c>
      <c r="N1722" s="50" t="s">
        <v>14</v>
      </c>
      <c r="O1722" s="48" t="s">
        <v>631</v>
      </c>
      <c r="P1722" s="45" t="s">
        <v>453</v>
      </c>
      <c r="Q1722" s="35" t="str">
        <f>MID(Tabla1[[#This Row],[Aplicación]],14,1)</f>
        <v>2</v>
      </c>
      <c r="R1722" s="35" t="s">
        <v>441</v>
      </c>
      <c r="S1722" s="35" t="str">
        <f>MID(Tabla1[[#This Row],[Aplicación]],6,2)</f>
        <v>11</v>
      </c>
      <c r="T1722" s="35" t="str">
        <f>VLOOKUP(Tabla1[[#This Row],[AREA]],Hoja1!A:B,2,FALSE)</f>
        <v>11. Salud pública y seguridad ciudadana</v>
      </c>
      <c r="U1722" s="35" t="str">
        <f>MID(Tabla1[[#This Row],[Aplicación]],9,4)</f>
        <v>1361</v>
      </c>
      <c r="V1722" s="35" t="str">
        <f>VLOOKUP(Tabla1[[#This Row],[PROGRAMA]],Hoja1!A:B,2,FALSE)</f>
        <v>1361. Prevención y extinción de incencios</v>
      </c>
      <c r="W1722" s="35" t="str">
        <f>MID(Tabla1[[#This Row],[Aplicación]],14,2)</f>
        <v>22</v>
      </c>
      <c r="X1722" s="35" t="str">
        <f>MID(Tabla1[[#This Row],[Aplicación]],14,6)</f>
        <v>22199</v>
      </c>
    </row>
    <row r="1723" spans="1:24" x14ac:dyDescent="0.25">
      <c r="A1723" s="49">
        <v>220220012553</v>
      </c>
      <c r="B1723" s="50" t="s">
        <v>172</v>
      </c>
      <c r="C1723" s="57">
        <v>44644</v>
      </c>
      <c r="D1723" s="49">
        <v>22022000026</v>
      </c>
      <c r="E1723" s="50" t="s">
        <v>1644</v>
      </c>
      <c r="F1723" s="58">
        <v>302.69</v>
      </c>
      <c r="G1723" s="50" t="s">
        <v>229</v>
      </c>
      <c r="H1723" s="50" t="s">
        <v>3126</v>
      </c>
      <c r="I1723" s="49" t="s">
        <v>173</v>
      </c>
      <c r="J1723" s="50" t="s">
        <v>109</v>
      </c>
      <c r="K1723" s="50" t="s">
        <v>109</v>
      </c>
      <c r="L1723" s="50" t="s">
        <v>15</v>
      </c>
      <c r="M1723" s="50" t="s">
        <v>13</v>
      </c>
      <c r="N1723" s="50" t="s">
        <v>14</v>
      </c>
      <c r="O1723" s="48" t="s">
        <v>631</v>
      </c>
      <c r="P1723" s="45" t="s">
        <v>453</v>
      </c>
      <c r="Q1723" s="35" t="str">
        <f>MID(Tabla1[[#This Row],[Aplicación]],14,1)</f>
        <v>2</v>
      </c>
      <c r="R1723" s="35" t="s">
        <v>441</v>
      </c>
      <c r="S1723" s="35" t="str">
        <f>MID(Tabla1[[#This Row],[Aplicación]],6,2)</f>
        <v>11</v>
      </c>
      <c r="T1723" s="35" t="str">
        <f>VLOOKUP(Tabla1[[#This Row],[AREA]],Hoja1!A:B,2,FALSE)</f>
        <v>11. Salud pública y seguridad ciudadana</v>
      </c>
      <c r="U1723" s="35" t="str">
        <f>MID(Tabla1[[#This Row],[Aplicación]],9,4)</f>
        <v>1621</v>
      </c>
      <c r="V1723" s="35" t="str">
        <f>VLOOKUP(Tabla1[[#This Row],[PROGRAMA]],Hoja1!A:B,2,FALSE)</f>
        <v>1621. Servicio de limpieza</v>
      </c>
      <c r="W1723" s="35" t="str">
        <f>MID(Tabla1[[#This Row],[Aplicación]],14,2)</f>
        <v>21</v>
      </c>
      <c r="X1723" s="35" t="str">
        <f>MID(Tabla1[[#This Row],[Aplicación]],14,6)</f>
        <v>214</v>
      </c>
    </row>
    <row r="1724" spans="1:24" x14ac:dyDescent="0.25">
      <c r="A1724" s="49">
        <v>220210050903</v>
      </c>
      <c r="B1724" s="50" t="s">
        <v>9</v>
      </c>
      <c r="C1724" s="57">
        <v>44620</v>
      </c>
      <c r="D1724" s="49">
        <v>22021006388</v>
      </c>
      <c r="E1724" s="50" t="s">
        <v>2663</v>
      </c>
      <c r="F1724" s="58">
        <v>943.8</v>
      </c>
      <c r="G1724" s="50" t="s">
        <v>1102</v>
      </c>
      <c r="H1724" s="50" t="s">
        <v>1103</v>
      </c>
      <c r="I1724" s="49" t="s">
        <v>107</v>
      </c>
      <c r="J1724" s="50" t="s">
        <v>1104</v>
      </c>
      <c r="K1724" s="50" t="s">
        <v>1104</v>
      </c>
      <c r="L1724" s="50" t="s">
        <v>12</v>
      </c>
      <c r="M1724" s="50" t="s">
        <v>10</v>
      </c>
      <c r="N1724" s="50" t="s">
        <v>11</v>
      </c>
      <c r="O1724" s="48" t="s">
        <v>632</v>
      </c>
      <c r="P1724" s="45" t="s">
        <v>453</v>
      </c>
      <c r="Q1724" s="35" t="str">
        <f>MID(Tabla1[[#This Row],[Aplicación]],14,1)</f>
        <v>6</v>
      </c>
      <c r="R1724" s="35" t="s">
        <v>442</v>
      </c>
      <c r="S1724" s="35" t="str">
        <f>MID(Tabla1[[#This Row],[Aplicación]],6,2)</f>
        <v>02</v>
      </c>
      <c r="T1724" s="35" t="str">
        <f>VLOOKUP(Tabla1[[#This Row],[AREA]],Hoja1!A:B,2,FALSE)</f>
        <v>02. Planeamiento urbanístico y vivienda</v>
      </c>
      <c r="U1724" s="35" t="str">
        <f>MID(Tabla1[[#This Row],[Aplicación]],9,4)</f>
        <v>1511</v>
      </c>
      <c r="V1724" s="35" t="str">
        <f>VLOOKUP(Tabla1[[#This Row],[PROGRAMA]],Hoja1!A:B,2,FALSE)</f>
        <v>1511. Planficación y gestión del urbanismo</v>
      </c>
      <c r="W1724" s="35" t="str">
        <f>MID(Tabla1[[#This Row],[Aplicación]],14,2)</f>
        <v>64</v>
      </c>
      <c r="X1724" s="35" t="str">
        <f>MID(Tabla1[[#This Row],[Aplicación]],14,6)</f>
        <v>641</v>
      </c>
    </row>
    <row r="1725" spans="1:24" x14ac:dyDescent="0.25">
      <c r="A1725" s="49">
        <v>220220005815</v>
      </c>
      <c r="B1725" s="50" t="s">
        <v>9</v>
      </c>
      <c r="C1725" s="57">
        <v>44615</v>
      </c>
      <c r="D1725" s="49">
        <v>22022002441</v>
      </c>
      <c r="E1725" s="50" t="s">
        <v>1742</v>
      </c>
      <c r="F1725" s="58">
        <v>931.22</v>
      </c>
      <c r="G1725" s="50" t="s">
        <v>139</v>
      </c>
      <c r="H1725" s="50" t="s">
        <v>3127</v>
      </c>
      <c r="I1725" s="49" t="s">
        <v>107</v>
      </c>
      <c r="J1725" s="50" t="s">
        <v>109</v>
      </c>
      <c r="K1725" s="50" t="s">
        <v>108</v>
      </c>
      <c r="L1725" s="50" t="s">
        <v>15</v>
      </c>
      <c r="M1725" s="50" t="s">
        <v>10</v>
      </c>
      <c r="N1725" s="50" t="s">
        <v>11</v>
      </c>
      <c r="O1725" s="48" t="s">
        <v>632</v>
      </c>
      <c r="P1725" s="45" t="s">
        <v>453</v>
      </c>
      <c r="Q1725" s="35" t="str">
        <f>MID(Tabla1[[#This Row],[Aplicación]],14,1)</f>
        <v>2</v>
      </c>
      <c r="R1725" s="35" t="s">
        <v>441</v>
      </c>
      <c r="S1725" s="35" t="str">
        <f>MID(Tabla1[[#This Row],[Aplicación]],6,2)</f>
        <v>03</v>
      </c>
      <c r="T1725" s="35" t="str">
        <f>VLOOKUP(Tabla1[[#This Row],[AREA]],Hoja1!A:B,2,FALSE)</f>
        <v>03. Participación ciudadana y deportes</v>
      </c>
      <c r="U1725" s="35" t="str">
        <f>MID(Tabla1[[#This Row],[Aplicación]],9,4)</f>
        <v>9241</v>
      </c>
      <c r="V1725" s="35" t="str">
        <f>VLOOKUP(Tabla1[[#This Row],[PROGRAMA]],Hoja1!A:B,2,FALSE)</f>
        <v>9241. Participación ciudadana</v>
      </c>
      <c r="W1725" s="35" t="str">
        <f>MID(Tabla1[[#This Row],[Aplicación]],14,2)</f>
        <v>21</v>
      </c>
      <c r="X1725" s="35" t="str">
        <f>MID(Tabla1[[#This Row],[Aplicación]],14,6)</f>
        <v>213</v>
      </c>
    </row>
    <row r="1726" spans="1:24" x14ac:dyDescent="0.25">
      <c r="A1726" s="49">
        <v>220220007069</v>
      </c>
      <c r="B1726" s="50" t="s">
        <v>172</v>
      </c>
      <c r="C1726" s="57">
        <v>44623</v>
      </c>
      <c r="D1726" s="49">
        <v>22022001552</v>
      </c>
      <c r="E1726" s="50" t="s">
        <v>1975</v>
      </c>
      <c r="F1726" s="58">
        <v>661.62</v>
      </c>
      <c r="G1726" s="50" t="s">
        <v>1030</v>
      </c>
      <c r="H1726" s="50" t="s">
        <v>3128</v>
      </c>
      <c r="I1726" s="49" t="s">
        <v>173</v>
      </c>
      <c r="J1726" s="50" t="s">
        <v>109</v>
      </c>
      <c r="K1726" s="50" t="s">
        <v>109</v>
      </c>
      <c r="L1726" s="50" t="s">
        <v>15</v>
      </c>
      <c r="M1726" s="50" t="s">
        <v>13</v>
      </c>
      <c r="N1726" s="50" t="s">
        <v>14</v>
      </c>
      <c r="O1726" s="48" t="s">
        <v>631</v>
      </c>
      <c r="P1726" s="45" t="s">
        <v>453</v>
      </c>
      <c r="Q1726" s="35" t="str">
        <f>MID(Tabla1[[#This Row],[Aplicación]],14,1)</f>
        <v>2</v>
      </c>
      <c r="R1726" s="35" t="s">
        <v>441</v>
      </c>
      <c r="S1726" s="35" t="str">
        <f>MID(Tabla1[[#This Row],[Aplicación]],6,2)</f>
        <v>08</v>
      </c>
      <c r="T1726" s="35" t="str">
        <f>VLOOKUP(Tabla1[[#This Row],[AREA]],Hoja1!A:B,2,FALSE)</f>
        <v>08. Movilidad y espacio urbano</v>
      </c>
      <c r="U1726" s="35" t="str">
        <f>MID(Tabla1[[#This Row],[Aplicación]],9,4)</f>
        <v>1532</v>
      </c>
      <c r="V1726" s="35" t="str">
        <f>VLOOKUP(Tabla1[[#This Row],[PROGRAMA]],Hoja1!A:B,2,FALSE)</f>
        <v>1532. Pavimentación vias públicas y otros servicios urbanísticos</v>
      </c>
      <c r="W1726" s="35" t="str">
        <f>MID(Tabla1[[#This Row],[Aplicación]],14,2)</f>
        <v>21</v>
      </c>
      <c r="X1726" s="35" t="str">
        <f>MID(Tabla1[[#This Row],[Aplicación]],14,6)</f>
        <v>210</v>
      </c>
    </row>
    <row r="1727" spans="1:24" x14ac:dyDescent="0.25">
      <c r="A1727" s="49">
        <v>220220013187</v>
      </c>
      <c r="B1727" s="50" t="s">
        <v>9</v>
      </c>
      <c r="C1727" s="57">
        <v>44650</v>
      </c>
      <c r="D1727" s="49">
        <v>22022003055</v>
      </c>
      <c r="E1727" s="50" t="s">
        <v>2763</v>
      </c>
      <c r="F1727" s="58">
        <v>815.65</v>
      </c>
      <c r="G1727" s="50" t="s">
        <v>178</v>
      </c>
      <c r="H1727" s="50" t="s">
        <v>3129</v>
      </c>
      <c r="I1727" s="49" t="s">
        <v>107</v>
      </c>
      <c r="J1727" s="50" t="s">
        <v>545</v>
      </c>
      <c r="K1727" s="50" t="s">
        <v>141</v>
      </c>
      <c r="L1727" s="50" t="s">
        <v>12</v>
      </c>
      <c r="M1727" s="50" t="s">
        <v>10</v>
      </c>
      <c r="N1727" s="50" t="s">
        <v>11</v>
      </c>
      <c r="O1727" s="48" t="s">
        <v>632</v>
      </c>
      <c r="P1727" s="45" t="s">
        <v>453</v>
      </c>
      <c r="Q1727" s="35" t="str">
        <f>MID(Tabla1[[#This Row],[Aplicación]],14,1)</f>
        <v>2</v>
      </c>
      <c r="R1727" s="35" t="s">
        <v>441</v>
      </c>
      <c r="S1727" s="35" t="str">
        <f>MID(Tabla1[[#This Row],[Aplicación]],6,2)</f>
        <v>11</v>
      </c>
      <c r="T1727" s="35" t="str">
        <f>VLOOKUP(Tabla1[[#This Row],[AREA]],Hoja1!A:B,2,FALSE)</f>
        <v>11. Salud pública y seguridad ciudadana</v>
      </c>
      <c r="U1727" s="35" t="str">
        <f>MID(Tabla1[[#This Row],[Aplicación]],9,4)</f>
        <v>3111</v>
      </c>
      <c r="V1727" s="35" t="str">
        <f>VLOOKUP(Tabla1[[#This Row],[PROGRAMA]],Hoja1!A:B,2,FALSE)</f>
        <v>3111. Protección de la salubridad pública</v>
      </c>
      <c r="W1727" s="35" t="str">
        <f>MID(Tabla1[[#This Row],[Aplicación]],14,2)</f>
        <v>22</v>
      </c>
      <c r="X1727" s="35" t="str">
        <f>MID(Tabla1[[#This Row],[Aplicación]],14,6)</f>
        <v>22706</v>
      </c>
    </row>
    <row r="1728" spans="1:24" x14ac:dyDescent="0.25">
      <c r="A1728" s="49">
        <v>220220013426</v>
      </c>
      <c r="B1728" s="50" t="s">
        <v>9</v>
      </c>
      <c r="C1728" s="57">
        <v>44651</v>
      </c>
      <c r="D1728" s="49">
        <v>22022003057</v>
      </c>
      <c r="E1728" s="50" t="s">
        <v>2020</v>
      </c>
      <c r="F1728" s="58">
        <v>930.49</v>
      </c>
      <c r="G1728" s="50" t="s">
        <v>968</v>
      </c>
      <c r="H1728" s="50" t="s">
        <v>3130</v>
      </c>
      <c r="I1728" s="49" t="s">
        <v>107</v>
      </c>
      <c r="J1728" s="50" t="s">
        <v>134</v>
      </c>
      <c r="K1728" s="50" t="s">
        <v>134</v>
      </c>
      <c r="L1728" s="50" t="s">
        <v>15</v>
      </c>
      <c r="M1728" s="50" t="s">
        <v>10</v>
      </c>
      <c r="N1728" s="50" t="s">
        <v>11</v>
      </c>
      <c r="O1728" s="48" t="s">
        <v>632</v>
      </c>
      <c r="P1728" s="45" t="s">
        <v>453</v>
      </c>
      <c r="Q1728" s="35" t="str">
        <f>MID(Tabla1[[#This Row],[Aplicación]],14,1)</f>
        <v>2</v>
      </c>
      <c r="R1728" s="35" t="s">
        <v>441</v>
      </c>
      <c r="S1728" s="35" t="str">
        <f>MID(Tabla1[[#This Row],[Aplicación]],6,2)</f>
        <v>10</v>
      </c>
      <c r="T1728" s="35" t="str">
        <f>VLOOKUP(Tabla1[[#This Row],[AREA]],Hoja1!A:B,2,FALSE)</f>
        <v>10. Servicios sociales y mediación comunitaria</v>
      </c>
      <c r="U1728" s="35" t="str">
        <f>MID(Tabla1[[#This Row],[Aplicación]],9,4)</f>
        <v>2312</v>
      </c>
      <c r="V1728" s="35" t="str">
        <f>VLOOKUP(Tabla1[[#This Row],[PROGRAMA]],Hoja1!A:B,2,FALSE)</f>
        <v>2312. Iniciativas sociales</v>
      </c>
      <c r="W1728" s="35" t="str">
        <f>MID(Tabla1[[#This Row],[Aplicación]],14,2)</f>
        <v>21</v>
      </c>
      <c r="X1728" s="35" t="str">
        <f>MID(Tabla1[[#This Row],[Aplicación]],14,6)</f>
        <v>212</v>
      </c>
    </row>
    <row r="1729" spans="1:24" x14ac:dyDescent="0.25">
      <c r="A1729" s="49">
        <v>220219001099</v>
      </c>
      <c r="B1729" s="50" t="s">
        <v>9</v>
      </c>
      <c r="C1729" s="57">
        <v>44562</v>
      </c>
      <c r="D1729" s="49">
        <v>22022000493</v>
      </c>
      <c r="E1729" s="50" t="s">
        <v>1425</v>
      </c>
      <c r="F1729" s="58">
        <v>16843.2</v>
      </c>
      <c r="G1729" s="50" t="s">
        <v>488</v>
      </c>
      <c r="H1729" s="50" t="s">
        <v>3131</v>
      </c>
      <c r="I1729" s="49" t="s">
        <v>107</v>
      </c>
      <c r="J1729" s="50" t="s">
        <v>580</v>
      </c>
      <c r="K1729" s="50" t="s">
        <v>108</v>
      </c>
      <c r="L1729" s="50" t="s">
        <v>12</v>
      </c>
      <c r="M1729" s="50" t="s">
        <v>13</v>
      </c>
      <c r="N1729" s="50" t="s">
        <v>14</v>
      </c>
      <c r="O1729" s="48" t="s">
        <v>620</v>
      </c>
      <c r="P1729" s="45" t="s">
        <v>453</v>
      </c>
      <c r="Q1729" s="35" t="str">
        <f>MID(Tabla1[[#This Row],[Aplicación]],14,1)</f>
        <v>2</v>
      </c>
      <c r="R1729" s="35" t="s">
        <v>441</v>
      </c>
      <c r="S1729" s="35" t="str">
        <f>MID(Tabla1[[#This Row],[Aplicación]],6,2)</f>
        <v>04</v>
      </c>
      <c r="T1729" s="35" t="str">
        <f>VLOOKUP(Tabla1[[#This Row],[AREA]],Hoja1!A:B,2,FALSE)</f>
        <v>04. Planificación y recursos</v>
      </c>
      <c r="U1729" s="35" t="str">
        <f>MID(Tabla1[[#This Row],[Aplicación]],9,4)</f>
        <v>9204</v>
      </c>
      <c r="V1729" s="35" t="str">
        <f>VLOOKUP(Tabla1[[#This Row],[PROGRAMA]],Hoja1!A:B,2,FALSE)</f>
        <v>9204. Tecnologías de la información y comunicación</v>
      </c>
      <c r="W1729" s="35" t="str">
        <f>MID(Tabla1[[#This Row],[Aplicación]],14,2)</f>
        <v>22</v>
      </c>
      <c r="X1729" s="35" t="str">
        <f>MID(Tabla1[[#This Row],[Aplicación]],14,6)</f>
        <v>22200</v>
      </c>
    </row>
    <row r="1730" spans="1:24" x14ac:dyDescent="0.25">
      <c r="A1730" s="49">
        <v>220220003443</v>
      </c>
      <c r="B1730" s="50" t="s">
        <v>9</v>
      </c>
      <c r="C1730" s="57">
        <v>44603</v>
      </c>
      <c r="D1730" s="49">
        <v>22022002065</v>
      </c>
      <c r="E1730" s="50" t="s">
        <v>1639</v>
      </c>
      <c r="F1730" s="58">
        <v>800</v>
      </c>
      <c r="G1730" s="50" t="s">
        <v>962</v>
      </c>
      <c r="H1730" s="50" t="s">
        <v>3132</v>
      </c>
      <c r="I1730" s="49" t="s">
        <v>107</v>
      </c>
      <c r="J1730" s="50" t="s">
        <v>711</v>
      </c>
      <c r="K1730" s="50" t="s">
        <v>109</v>
      </c>
      <c r="L1730" s="50" t="s">
        <v>12</v>
      </c>
      <c r="M1730" s="50" t="s">
        <v>10</v>
      </c>
      <c r="N1730" s="50" t="s">
        <v>11</v>
      </c>
      <c r="O1730" s="48" t="s">
        <v>632</v>
      </c>
      <c r="P1730" s="45" t="s">
        <v>453</v>
      </c>
      <c r="Q1730" s="35" t="str">
        <f>MID(Tabla1[[#This Row],[Aplicación]],14,1)</f>
        <v>2</v>
      </c>
      <c r="R1730" s="35" t="s">
        <v>441</v>
      </c>
      <c r="S1730" s="35" t="str">
        <f>MID(Tabla1[[#This Row],[Aplicación]],6,2)</f>
        <v>03</v>
      </c>
      <c r="T1730" s="35" t="str">
        <f>VLOOKUP(Tabla1[[#This Row],[AREA]],Hoja1!A:B,2,FALSE)</f>
        <v>03. Participación ciudadana y deportes</v>
      </c>
      <c r="U1730" s="35" t="str">
        <f>MID(Tabla1[[#This Row],[Aplicación]],9,4)</f>
        <v>9241</v>
      </c>
      <c r="V1730" s="35" t="str">
        <f>VLOOKUP(Tabla1[[#This Row],[PROGRAMA]],Hoja1!A:B,2,FALSE)</f>
        <v>9241. Participación ciudadana</v>
      </c>
      <c r="W1730" s="35" t="str">
        <f>MID(Tabla1[[#This Row],[Aplicación]],14,2)</f>
        <v>22</v>
      </c>
      <c r="X1730" s="35" t="str">
        <f>MID(Tabla1[[#This Row],[Aplicación]],14,6)</f>
        <v>22799</v>
      </c>
    </row>
    <row r="1731" spans="1:24" x14ac:dyDescent="0.25">
      <c r="A1731" s="49">
        <v>220209000746</v>
      </c>
      <c r="B1731" s="50" t="s">
        <v>9</v>
      </c>
      <c r="C1731" s="57">
        <v>44562</v>
      </c>
      <c r="D1731" s="49">
        <v>22022000267</v>
      </c>
      <c r="E1731" s="50" t="s">
        <v>1475</v>
      </c>
      <c r="F1731" s="58">
        <v>5964.36</v>
      </c>
      <c r="G1731" s="50" t="s">
        <v>60</v>
      </c>
      <c r="H1731" s="50" t="s">
        <v>791</v>
      </c>
      <c r="I1731" s="49" t="s">
        <v>107</v>
      </c>
      <c r="J1731" s="50" t="s">
        <v>109</v>
      </c>
      <c r="K1731" s="50" t="s">
        <v>109</v>
      </c>
      <c r="L1731" s="50" t="s">
        <v>12</v>
      </c>
      <c r="M1731" s="50" t="s">
        <v>13</v>
      </c>
      <c r="N1731" s="50" t="s">
        <v>16</v>
      </c>
      <c r="O1731" s="48" t="s">
        <v>620</v>
      </c>
      <c r="P1731" s="45" t="s">
        <v>453</v>
      </c>
      <c r="Q1731" s="35" t="str">
        <f>MID(Tabla1[[#This Row],[Aplicación]],14,1)</f>
        <v>2</v>
      </c>
      <c r="R1731" s="35" t="s">
        <v>441</v>
      </c>
      <c r="S1731" s="35" t="str">
        <f>MID(Tabla1[[#This Row],[Aplicación]],6,2)</f>
        <v>06</v>
      </c>
      <c r="T1731" s="35" t="str">
        <f>VLOOKUP(Tabla1[[#This Row],[AREA]],Hoja1!A:B,2,FALSE)</f>
        <v>06. Educación, infancia, juventud e igualdad</v>
      </c>
      <c r="U1731" s="35" t="str">
        <f>MID(Tabla1[[#This Row],[Aplicación]],9,4)</f>
        <v>3232</v>
      </c>
      <c r="V1731" s="35" t="str">
        <f>VLOOKUP(Tabla1[[#This Row],[PROGRAMA]],Hoja1!A:B,2,FALSE)</f>
        <v>3232. Conservación y mantenimiento centros educación infantil y primaria</v>
      </c>
      <c r="W1731" s="35" t="str">
        <f>MID(Tabla1[[#This Row],[Aplicación]],14,2)</f>
        <v>21</v>
      </c>
      <c r="X1731" s="35" t="str">
        <f>MID(Tabla1[[#This Row],[Aplicación]],14,6)</f>
        <v>213</v>
      </c>
    </row>
    <row r="1732" spans="1:24" x14ac:dyDescent="0.25">
      <c r="A1732" s="49">
        <v>220220005937</v>
      </c>
      <c r="B1732" s="50" t="s">
        <v>9</v>
      </c>
      <c r="C1732" s="57">
        <v>44616</v>
      </c>
      <c r="D1732" s="49">
        <v>22022002439</v>
      </c>
      <c r="E1732" s="50" t="s">
        <v>1955</v>
      </c>
      <c r="F1732" s="58">
        <v>901.45</v>
      </c>
      <c r="G1732" s="50" t="s">
        <v>3020</v>
      </c>
      <c r="H1732" s="50" t="s">
        <v>3133</v>
      </c>
      <c r="I1732" s="49" t="s">
        <v>107</v>
      </c>
      <c r="J1732" s="50" t="s">
        <v>109</v>
      </c>
      <c r="K1732" s="50" t="s">
        <v>109</v>
      </c>
      <c r="L1732" s="50" t="s">
        <v>15</v>
      </c>
      <c r="M1732" s="50" t="s">
        <v>10</v>
      </c>
      <c r="N1732" s="50" t="s">
        <v>11</v>
      </c>
      <c r="O1732" s="48" t="s">
        <v>632</v>
      </c>
      <c r="P1732" s="45" t="s">
        <v>453</v>
      </c>
      <c r="Q1732" s="35" t="str">
        <f>MID(Tabla1[[#This Row],[Aplicación]],14,1)</f>
        <v>2</v>
      </c>
      <c r="R1732" s="35" t="s">
        <v>441</v>
      </c>
      <c r="S1732" s="35" t="str">
        <f>MID(Tabla1[[#This Row],[Aplicación]],6,2)</f>
        <v>07</v>
      </c>
      <c r="T1732" s="35" t="str">
        <f>VLOOKUP(Tabla1[[#This Row],[AREA]],Hoja1!A:B,2,FALSE)</f>
        <v>07. Medio ambiente y desarrollo sostenible</v>
      </c>
      <c r="U1732" s="35" t="str">
        <f>MID(Tabla1[[#This Row],[Aplicación]],9,4)</f>
        <v>1721</v>
      </c>
      <c r="V1732" s="35" t="str">
        <f>VLOOKUP(Tabla1[[#This Row],[PROGRAMA]],Hoja1!A:B,2,FALSE)</f>
        <v>1721. Protección del medio ambiente</v>
      </c>
      <c r="W1732" s="35" t="str">
        <f>MID(Tabla1[[#This Row],[Aplicación]],14,2)</f>
        <v>22</v>
      </c>
      <c r="X1732" s="35" t="str">
        <f>MID(Tabla1[[#This Row],[Aplicación]],14,6)</f>
        <v>22112</v>
      </c>
    </row>
    <row r="1733" spans="1:24" x14ac:dyDescent="0.25">
      <c r="A1733" s="49">
        <v>220220000065</v>
      </c>
      <c r="B1733" s="50" t="s">
        <v>9</v>
      </c>
      <c r="C1733" s="57">
        <v>44580</v>
      </c>
      <c r="D1733" s="49">
        <v>22022000718</v>
      </c>
      <c r="E1733" s="50" t="s">
        <v>1436</v>
      </c>
      <c r="F1733" s="58">
        <v>800</v>
      </c>
      <c r="G1733" s="50" t="s">
        <v>1016</v>
      </c>
      <c r="H1733" s="50" t="s">
        <v>3134</v>
      </c>
      <c r="I1733" s="49" t="s">
        <v>107</v>
      </c>
      <c r="J1733" s="50" t="s">
        <v>109</v>
      </c>
      <c r="K1733" s="50" t="s">
        <v>109</v>
      </c>
      <c r="L1733" s="50" t="s">
        <v>12</v>
      </c>
      <c r="M1733" s="50" t="s">
        <v>10</v>
      </c>
      <c r="N1733" s="50" t="s">
        <v>11</v>
      </c>
      <c r="O1733" s="48" t="s">
        <v>632</v>
      </c>
      <c r="P1733" s="45" t="s">
        <v>453</v>
      </c>
      <c r="Q1733" s="35" t="str">
        <f>MID(Tabla1[[#This Row],[Aplicación]],14,1)</f>
        <v>2</v>
      </c>
      <c r="R1733" s="35" t="s">
        <v>441</v>
      </c>
      <c r="S1733" s="35" t="str">
        <f>MID(Tabla1[[#This Row],[Aplicación]],6,2)</f>
        <v>03</v>
      </c>
      <c r="T1733" s="35" t="str">
        <f>VLOOKUP(Tabla1[[#This Row],[AREA]],Hoja1!A:B,2,FALSE)</f>
        <v>03. Participación ciudadana y deportes</v>
      </c>
      <c r="U1733" s="35" t="str">
        <f>MID(Tabla1[[#This Row],[Aplicación]],9,4)</f>
        <v>9241</v>
      </c>
      <c r="V1733" s="35" t="str">
        <f>VLOOKUP(Tabla1[[#This Row],[PROGRAMA]],Hoja1!A:B,2,FALSE)</f>
        <v>9241. Participación ciudadana</v>
      </c>
      <c r="W1733" s="35" t="str">
        <f>MID(Tabla1[[#This Row],[Aplicación]],14,2)</f>
        <v>22</v>
      </c>
      <c r="X1733" s="35" t="str">
        <f>MID(Tabla1[[#This Row],[Aplicación]],14,6)</f>
        <v>22609</v>
      </c>
    </row>
    <row r="1734" spans="1:24" x14ac:dyDescent="0.25">
      <c r="A1734" s="49">
        <v>220220000326</v>
      </c>
      <c r="B1734" s="50" t="s">
        <v>26</v>
      </c>
      <c r="C1734" s="57">
        <v>44582</v>
      </c>
      <c r="D1734" s="49">
        <v>22022001434</v>
      </c>
      <c r="E1734" s="50" t="s">
        <v>1475</v>
      </c>
      <c r="F1734" s="58">
        <v>497.06</v>
      </c>
      <c r="G1734" s="50" t="s">
        <v>60</v>
      </c>
      <c r="H1734" s="50" t="s">
        <v>3135</v>
      </c>
      <c r="I1734" s="49" t="s">
        <v>197</v>
      </c>
      <c r="J1734" s="50" t="s">
        <v>109</v>
      </c>
      <c r="K1734" s="50" t="s">
        <v>109</v>
      </c>
      <c r="L1734" s="50" t="s">
        <v>12</v>
      </c>
      <c r="M1734" s="50" t="s">
        <v>13</v>
      </c>
      <c r="N1734" s="50" t="s">
        <v>16</v>
      </c>
      <c r="O1734" s="48" t="s">
        <v>620</v>
      </c>
      <c r="P1734" s="45" t="s">
        <v>453</v>
      </c>
      <c r="Q1734" s="35" t="str">
        <f>MID(Tabla1[[#This Row],[Aplicación]],14,1)</f>
        <v>2</v>
      </c>
      <c r="R1734" s="35" t="s">
        <v>441</v>
      </c>
      <c r="S1734" s="35" t="str">
        <f>MID(Tabla1[[#This Row],[Aplicación]],6,2)</f>
        <v>06</v>
      </c>
      <c r="T1734" s="35" t="str">
        <f>VLOOKUP(Tabla1[[#This Row],[AREA]],Hoja1!A:B,2,FALSE)</f>
        <v>06. Educación, infancia, juventud e igualdad</v>
      </c>
      <c r="U1734" s="35" t="str">
        <f>MID(Tabla1[[#This Row],[Aplicación]],9,4)</f>
        <v>3232</v>
      </c>
      <c r="V1734" s="35" t="str">
        <f>VLOOKUP(Tabla1[[#This Row],[PROGRAMA]],Hoja1!A:B,2,FALSE)</f>
        <v>3232. Conservación y mantenimiento centros educación infantil y primaria</v>
      </c>
      <c r="W1734" s="35" t="str">
        <f>MID(Tabla1[[#This Row],[Aplicación]],14,2)</f>
        <v>21</v>
      </c>
      <c r="X1734" s="35" t="str">
        <f>MID(Tabla1[[#This Row],[Aplicación]],14,6)</f>
        <v>213</v>
      </c>
    </row>
    <row r="1735" spans="1:24" x14ac:dyDescent="0.25">
      <c r="A1735" s="49">
        <v>220209000750</v>
      </c>
      <c r="B1735" s="50" t="s">
        <v>9</v>
      </c>
      <c r="C1735" s="57">
        <v>44562</v>
      </c>
      <c r="D1735" s="49">
        <v>22022000271</v>
      </c>
      <c r="E1735" s="50" t="s">
        <v>1714</v>
      </c>
      <c r="F1735" s="58">
        <v>497.03</v>
      </c>
      <c r="G1735" s="50" t="s">
        <v>60</v>
      </c>
      <c r="H1735" s="50" t="s">
        <v>792</v>
      </c>
      <c r="I1735" s="49" t="s">
        <v>107</v>
      </c>
      <c r="J1735" s="50" t="s">
        <v>109</v>
      </c>
      <c r="K1735" s="50" t="s">
        <v>109</v>
      </c>
      <c r="L1735" s="50" t="s">
        <v>12</v>
      </c>
      <c r="M1735" s="50" t="s">
        <v>13</v>
      </c>
      <c r="N1735" s="50" t="s">
        <v>16</v>
      </c>
      <c r="O1735" s="48" t="s">
        <v>620</v>
      </c>
      <c r="P1735" s="45" t="s">
        <v>453</v>
      </c>
      <c r="Q1735" s="35" t="str">
        <f>MID(Tabla1[[#This Row],[Aplicación]],14,1)</f>
        <v>2</v>
      </c>
      <c r="R1735" s="35" t="s">
        <v>441</v>
      </c>
      <c r="S1735" s="35" t="str">
        <f>MID(Tabla1[[#This Row],[Aplicación]],6,2)</f>
        <v>06</v>
      </c>
      <c r="T1735" s="35" t="str">
        <f>VLOOKUP(Tabla1[[#This Row],[AREA]],Hoja1!A:B,2,FALSE)</f>
        <v>06. Educación, infancia, juventud e igualdad</v>
      </c>
      <c r="U1735" s="35" t="str">
        <f>MID(Tabla1[[#This Row],[Aplicación]],9,4)</f>
        <v>3231</v>
      </c>
      <c r="V1735" s="35" t="str">
        <f>VLOOKUP(Tabla1[[#This Row],[PROGRAMA]],Hoja1!A:B,2,FALSE)</f>
        <v>3231. Escuelas infantiles</v>
      </c>
      <c r="W1735" s="35" t="str">
        <f>MID(Tabla1[[#This Row],[Aplicación]],14,2)</f>
        <v>21</v>
      </c>
      <c r="X1735" s="35" t="str">
        <f>MID(Tabla1[[#This Row],[Aplicación]],14,6)</f>
        <v>213</v>
      </c>
    </row>
    <row r="1736" spans="1:24" x14ac:dyDescent="0.25">
      <c r="A1736" s="49">
        <v>220209000753</v>
      </c>
      <c r="B1736" s="50" t="s">
        <v>9</v>
      </c>
      <c r="C1736" s="57">
        <v>44562</v>
      </c>
      <c r="D1736" s="49">
        <v>22022000274</v>
      </c>
      <c r="E1736" s="50" t="s">
        <v>1911</v>
      </c>
      <c r="F1736" s="58">
        <v>497.03</v>
      </c>
      <c r="G1736" s="50" t="s">
        <v>60</v>
      </c>
      <c r="H1736" s="50" t="s">
        <v>793</v>
      </c>
      <c r="I1736" s="49" t="s">
        <v>107</v>
      </c>
      <c r="J1736" s="50" t="s">
        <v>109</v>
      </c>
      <c r="K1736" s="50" t="s">
        <v>109</v>
      </c>
      <c r="L1736" s="50" t="s">
        <v>12</v>
      </c>
      <c r="M1736" s="50" t="s">
        <v>13</v>
      </c>
      <c r="N1736" s="50" t="s">
        <v>16</v>
      </c>
      <c r="O1736" s="48" t="s">
        <v>620</v>
      </c>
      <c r="P1736" s="45" t="s">
        <v>453</v>
      </c>
      <c r="Q1736" s="35" t="str">
        <f>MID(Tabla1[[#This Row],[Aplicación]],14,1)</f>
        <v>2</v>
      </c>
      <c r="R1736" s="35" t="s">
        <v>441</v>
      </c>
      <c r="S1736" s="35" t="str">
        <f>MID(Tabla1[[#This Row],[Aplicación]],6,2)</f>
        <v>06</v>
      </c>
      <c r="T1736" s="35" t="str">
        <f>VLOOKUP(Tabla1[[#This Row],[AREA]],Hoja1!A:B,2,FALSE)</f>
        <v>06. Educación, infancia, juventud e igualdad</v>
      </c>
      <c r="U1736" s="35" t="str">
        <f>MID(Tabla1[[#This Row],[Aplicación]],9,4)</f>
        <v>2314</v>
      </c>
      <c r="V1736" s="35" t="str">
        <f>VLOOKUP(Tabla1[[#This Row],[PROGRAMA]],Hoja1!A:B,2,FALSE)</f>
        <v>2314. Centro de programas juveniles</v>
      </c>
      <c r="W1736" s="35" t="str">
        <f>MID(Tabla1[[#This Row],[Aplicación]],14,2)</f>
        <v>21</v>
      </c>
      <c r="X1736" s="35" t="str">
        <f>MID(Tabla1[[#This Row],[Aplicación]],14,6)</f>
        <v>213</v>
      </c>
    </row>
    <row r="1737" spans="1:24" x14ac:dyDescent="0.25">
      <c r="A1737" s="49">
        <v>220220008265</v>
      </c>
      <c r="B1737" s="50" t="s">
        <v>9</v>
      </c>
      <c r="C1737" s="57">
        <v>44629</v>
      </c>
      <c r="D1737" s="49">
        <v>22022001543</v>
      </c>
      <c r="E1737" s="50" t="s">
        <v>2309</v>
      </c>
      <c r="F1737" s="58">
        <v>900</v>
      </c>
      <c r="G1737" s="50" t="s">
        <v>44</v>
      </c>
      <c r="H1737" s="50" t="s">
        <v>3136</v>
      </c>
      <c r="I1737" s="49" t="s">
        <v>107</v>
      </c>
      <c r="J1737" s="50" t="s">
        <v>109</v>
      </c>
      <c r="K1737" s="50" t="s">
        <v>109</v>
      </c>
      <c r="L1737" s="50" t="s">
        <v>12</v>
      </c>
      <c r="M1737" s="50" t="s">
        <v>10</v>
      </c>
      <c r="N1737" s="50" t="s">
        <v>11</v>
      </c>
      <c r="O1737" s="48" t="s">
        <v>632</v>
      </c>
      <c r="P1737" s="45" t="s">
        <v>453</v>
      </c>
      <c r="Q1737" s="35" t="str">
        <f>MID(Tabla1[[#This Row],[Aplicación]],14,1)</f>
        <v>2</v>
      </c>
      <c r="R1737" s="35" t="s">
        <v>441</v>
      </c>
      <c r="S1737" s="35" t="str">
        <f>MID(Tabla1[[#This Row],[Aplicación]],6,2)</f>
        <v>07</v>
      </c>
      <c r="T1737" s="35" t="str">
        <f>VLOOKUP(Tabla1[[#This Row],[AREA]],Hoja1!A:B,2,FALSE)</f>
        <v>07. Medio ambiente y desarrollo sostenible</v>
      </c>
      <c r="U1737" s="35" t="str">
        <f>MID(Tabla1[[#This Row],[Aplicación]],9,4)</f>
        <v>1721</v>
      </c>
      <c r="V1737" s="35" t="str">
        <f>VLOOKUP(Tabla1[[#This Row],[PROGRAMA]],Hoja1!A:B,2,FALSE)</f>
        <v>1721. Protección del medio ambiente</v>
      </c>
      <c r="W1737" s="35" t="str">
        <f>MID(Tabla1[[#This Row],[Aplicación]],14,2)</f>
        <v>21</v>
      </c>
      <c r="X1737" s="35" t="str">
        <f>MID(Tabla1[[#This Row],[Aplicación]],14,6)</f>
        <v>213</v>
      </c>
    </row>
    <row r="1738" spans="1:24" x14ac:dyDescent="0.25">
      <c r="A1738" s="49">
        <v>220220000114</v>
      </c>
      <c r="B1738" s="50" t="s">
        <v>9</v>
      </c>
      <c r="C1738" s="57">
        <v>44581</v>
      </c>
      <c r="D1738" s="49">
        <v>22022001448</v>
      </c>
      <c r="E1738" s="50" t="s">
        <v>1551</v>
      </c>
      <c r="F1738" s="58">
        <v>882.82</v>
      </c>
      <c r="G1738" s="50" t="s">
        <v>44</v>
      </c>
      <c r="H1738" s="50" t="s">
        <v>3137</v>
      </c>
      <c r="I1738" s="49" t="s">
        <v>107</v>
      </c>
      <c r="J1738" s="50" t="s">
        <v>109</v>
      </c>
      <c r="K1738" s="50" t="s">
        <v>109</v>
      </c>
      <c r="L1738" s="50" t="s">
        <v>12</v>
      </c>
      <c r="M1738" s="50" t="s">
        <v>10</v>
      </c>
      <c r="N1738" s="50" t="s">
        <v>11</v>
      </c>
      <c r="O1738" s="48" t="s">
        <v>632</v>
      </c>
      <c r="P1738" s="45" t="s">
        <v>453</v>
      </c>
      <c r="Q1738" s="35" t="str">
        <f>MID(Tabla1[[#This Row],[Aplicación]],14,1)</f>
        <v>2</v>
      </c>
      <c r="R1738" s="35" t="s">
        <v>441</v>
      </c>
      <c r="S1738" s="35" t="str">
        <f>MID(Tabla1[[#This Row],[Aplicación]],6,2)</f>
        <v>08</v>
      </c>
      <c r="T1738" s="35" t="str">
        <f>VLOOKUP(Tabla1[[#This Row],[AREA]],Hoja1!A:B,2,FALSE)</f>
        <v>08. Movilidad y espacio urbano</v>
      </c>
      <c r="U1738" s="35" t="str">
        <f>MID(Tabla1[[#This Row],[Aplicación]],9,4)</f>
        <v>1532</v>
      </c>
      <c r="V1738" s="35" t="str">
        <f>VLOOKUP(Tabla1[[#This Row],[PROGRAMA]],Hoja1!A:B,2,FALSE)</f>
        <v>1532. Pavimentación vias públicas y otros servicios urbanísticos</v>
      </c>
      <c r="W1738" s="35" t="str">
        <f>MID(Tabla1[[#This Row],[Aplicación]],14,2)</f>
        <v>21</v>
      </c>
      <c r="X1738" s="35" t="str">
        <f>MID(Tabla1[[#This Row],[Aplicación]],14,6)</f>
        <v>213</v>
      </c>
    </row>
    <row r="1739" spans="1:24" x14ac:dyDescent="0.25">
      <c r="A1739" s="49">
        <v>220220009343</v>
      </c>
      <c r="B1739" s="50" t="s">
        <v>9</v>
      </c>
      <c r="C1739" s="57">
        <v>44636</v>
      </c>
      <c r="D1739" s="49">
        <v>22022002648</v>
      </c>
      <c r="E1739" s="50" t="s">
        <v>1629</v>
      </c>
      <c r="F1739" s="58">
        <v>871.2</v>
      </c>
      <c r="G1739" s="50" t="s">
        <v>131</v>
      </c>
      <c r="H1739" s="50" t="s">
        <v>3138</v>
      </c>
      <c r="I1739" s="49" t="s">
        <v>107</v>
      </c>
      <c r="J1739" s="50" t="s">
        <v>109</v>
      </c>
      <c r="K1739" s="50" t="s">
        <v>109</v>
      </c>
      <c r="L1739" s="50" t="s">
        <v>12</v>
      </c>
      <c r="M1739" s="50" t="s">
        <v>10</v>
      </c>
      <c r="N1739" s="50" t="s">
        <v>11</v>
      </c>
      <c r="O1739" s="48" t="s">
        <v>632</v>
      </c>
      <c r="P1739" s="45" t="s">
        <v>453</v>
      </c>
      <c r="Q1739" s="35" t="str">
        <f>MID(Tabla1[[#This Row],[Aplicación]],14,1)</f>
        <v>2</v>
      </c>
      <c r="R1739" s="35" t="s">
        <v>441</v>
      </c>
      <c r="S1739" s="35" t="str">
        <f>MID(Tabla1[[#This Row],[Aplicación]],6,2)</f>
        <v>06</v>
      </c>
      <c r="T1739" s="35" t="str">
        <f>VLOOKUP(Tabla1[[#This Row],[AREA]],Hoja1!A:B,2,FALSE)</f>
        <v>06. Educación, infancia, juventud e igualdad</v>
      </c>
      <c r="U1739" s="35" t="str">
        <f>MID(Tabla1[[#This Row],[Aplicación]],9,4)</f>
        <v>2315</v>
      </c>
      <c r="V1739" s="35" t="str">
        <f>VLOOKUP(Tabla1[[#This Row],[PROGRAMA]],Hoja1!A:B,2,FALSE)</f>
        <v>2315. Políticas de Igualdad e infancia</v>
      </c>
      <c r="W1739" s="35" t="str">
        <f>MID(Tabla1[[#This Row],[Aplicación]],14,2)</f>
        <v>22</v>
      </c>
      <c r="X1739" s="35" t="str">
        <f>MID(Tabla1[[#This Row],[Aplicación]],14,6)</f>
        <v>22611</v>
      </c>
    </row>
    <row r="1740" spans="1:24" x14ac:dyDescent="0.25">
      <c r="A1740" s="49">
        <v>220219000250</v>
      </c>
      <c r="B1740" s="50" t="s">
        <v>9</v>
      </c>
      <c r="C1740" s="57">
        <v>44562</v>
      </c>
      <c r="D1740" s="49">
        <v>22022002188</v>
      </c>
      <c r="E1740" s="50" t="s">
        <v>1390</v>
      </c>
      <c r="F1740" s="58">
        <v>739.59</v>
      </c>
      <c r="G1740" s="50" t="s">
        <v>102</v>
      </c>
      <c r="H1740" s="50" t="s">
        <v>3139</v>
      </c>
      <c r="I1740" s="49" t="s">
        <v>107</v>
      </c>
      <c r="J1740" s="50" t="s">
        <v>108</v>
      </c>
      <c r="K1740" s="50" t="s">
        <v>108</v>
      </c>
      <c r="L1740" s="50" t="s">
        <v>25</v>
      </c>
      <c r="M1740" s="50" t="s">
        <v>13</v>
      </c>
      <c r="N1740" s="50" t="s">
        <v>14</v>
      </c>
      <c r="O1740" s="48" t="s">
        <v>620</v>
      </c>
      <c r="P1740" s="45" t="s">
        <v>453</v>
      </c>
      <c r="Q1740" s="35" t="str">
        <f>MID(Tabla1[[#This Row],[Aplicación]],14,1)</f>
        <v>6</v>
      </c>
      <c r="R1740" s="35" t="s">
        <v>442</v>
      </c>
      <c r="S1740" s="35" t="str">
        <f>MID(Tabla1[[#This Row],[Aplicación]],6,2)</f>
        <v>10</v>
      </c>
      <c r="T1740" s="35" t="str">
        <f>VLOOKUP(Tabla1[[#This Row],[AREA]],Hoja1!A:B,2,FALSE)</f>
        <v>10. Servicios sociales y mediación comunitaria</v>
      </c>
      <c r="U1740" s="35" t="str">
        <f>MID(Tabla1[[#This Row],[Aplicación]],9,4)</f>
        <v>2312</v>
      </c>
      <c r="V1740" s="35" t="str">
        <f>VLOOKUP(Tabla1[[#This Row],[PROGRAMA]],Hoja1!A:B,2,FALSE)</f>
        <v>2312. Iniciativas sociales</v>
      </c>
      <c r="W1740" s="35" t="str">
        <f>MID(Tabla1[[#This Row],[Aplicación]],14,2)</f>
        <v>62</v>
      </c>
      <c r="X1740" s="35" t="str">
        <f>MID(Tabla1[[#This Row],[Aplicación]],14,6)</f>
        <v>622</v>
      </c>
    </row>
    <row r="1741" spans="1:24" x14ac:dyDescent="0.25">
      <c r="A1741" s="49">
        <v>220220000120</v>
      </c>
      <c r="B1741" s="50" t="s">
        <v>9</v>
      </c>
      <c r="C1741" s="57">
        <v>44582</v>
      </c>
      <c r="D1741" s="49">
        <v>22022001206</v>
      </c>
      <c r="E1741" s="50" t="s">
        <v>3022</v>
      </c>
      <c r="F1741" s="58">
        <v>863.94</v>
      </c>
      <c r="G1741" s="50" t="s">
        <v>1236</v>
      </c>
      <c r="H1741" s="50" t="s">
        <v>3140</v>
      </c>
      <c r="I1741" s="49" t="s">
        <v>107</v>
      </c>
      <c r="J1741" s="50" t="s">
        <v>1237</v>
      </c>
      <c r="K1741" s="50" t="s">
        <v>108</v>
      </c>
      <c r="L1741" s="50" t="s">
        <v>12</v>
      </c>
      <c r="M1741" s="50" t="s">
        <v>10</v>
      </c>
      <c r="N1741" s="50" t="s">
        <v>11</v>
      </c>
      <c r="O1741" s="48" t="s">
        <v>632</v>
      </c>
      <c r="P1741" s="45" t="s">
        <v>453</v>
      </c>
      <c r="Q1741" s="35" t="str">
        <f>MID(Tabla1[[#This Row],[Aplicación]],14,1)</f>
        <v>2</v>
      </c>
      <c r="R1741" s="35" t="s">
        <v>441</v>
      </c>
      <c r="S1741" s="35" t="str">
        <f>MID(Tabla1[[#This Row],[Aplicación]],6,2)</f>
        <v>11</v>
      </c>
      <c r="T1741" s="35" t="str">
        <f>VLOOKUP(Tabla1[[#This Row],[AREA]],Hoja1!A:B,2,FALSE)</f>
        <v>11. Salud pública y seguridad ciudadana</v>
      </c>
      <c r="U1741" s="35" t="str">
        <f>MID(Tabla1[[#This Row],[Aplicación]],9,4)</f>
        <v>1631</v>
      </c>
      <c r="V1741" s="35" t="str">
        <f>VLOOKUP(Tabla1[[#This Row],[PROGRAMA]],Hoja1!A:B,2,FALSE)</f>
        <v>1631. Limpieza viaria</v>
      </c>
      <c r="W1741" s="35" t="str">
        <f>MID(Tabla1[[#This Row],[Aplicación]],14,2)</f>
        <v>21</v>
      </c>
      <c r="X1741" s="35" t="str">
        <f>MID(Tabla1[[#This Row],[Aplicación]],14,6)</f>
        <v>212</v>
      </c>
    </row>
    <row r="1742" spans="1:24" x14ac:dyDescent="0.25">
      <c r="A1742" s="49">
        <v>220220007102</v>
      </c>
      <c r="B1742" s="50" t="s">
        <v>9</v>
      </c>
      <c r="C1742" s="57">
        <v>44623</v>
      </c>
      <c r="D1742" s="49">
        <v>22022002424</v>
      </c>
      <c r="E1742" s="50" t="s">
        <v>1579</v>
      </c>
      <c r="F1742" s="58">
        <v>202.07</v>
      </c>
      <c r="G1742" s="50" t="s">
        <v>757</v>
      </c>
      <c r="H1742" s="50" t="s">
        <v>3141</v>
      </c>
      <c r="I1742" s="49" t="s">
        <v>107</v>
      </c>
      <c r="J1742" s="50" t="s">
        <v>539</v>
      </c>
      <c r="K1742" s="50" t="s">
        <v>109</v>
      </c>
      <c r="L1742" s="50" t="s">
        <v>15</v>
      </c>
      <c r="M1742" s="50" t="s">
        <v>10</v>
      </c>
      <c r="N1742" s="50" t="s">
        <v>11</v>
      </c>
      <c r="O1742" s="48" t="s">
        <v>632</v>
      </c>
      <c r="P1742" s="45" t="s">
        <v>453</v>
      </c>
      <c r="Q1742" s="35" t="str">
        <f>MID(Tabla1[[#This Row],[Aplicación]],14,1)</f>
        <v>2</v>
      </c>
      <c r="R1742" s="35" t="s">
        <v>441</v>
      </c>
      <c r="S1742" s="35" t="str">
        <f>MID(Tabla1[[#This Row],[Aplicación]],6,2)</f>
        <v>10</v>
      </c>
      <c r="T1742" s="35" t="str">
        <f>VLOOKUP(Tabla1[[#This Row],[AREA]],Hoja1!A:B,2,FALSE)</f>
        <v>10. Servicios sociales y mediación comunitaria</v>
      </c>
      <c r="U1742" s="35" t="str">
        <f>MID(Tabla1[[#This Row],[Aplicación]],9,4)</f>
        <v>2412</v>
      </c>
      <c r="V1742" s="35" t="str">
        <f>VLOOKUP(Tabla1[[#This Row],[PROGRAMA]],Hoja1!A:B,2,FALSE)</f>
        <v>2412. Formación para el empleo</v>
      </c>
      <c r="W1742" s="35" t="str">
        <f>MID(Tabla1[[#This Row],[Aplicación]],14,2)</f>
        <v>22</v>
      </c>
      <c r="X1742" s="35" t="str">
        <f>MID(Tabla1[[#This Row],[Aplicación]],14,6)</f>
        <v>22199</v>
      </c>
    </row>
    <row r="1743" spans="1:24" x14ac:dyDescent="0.25">
      <c r="A1743" s="49">
        <v>220220012896</v>
      </c>
      <c r="B1743" s="50" t="s">
        <v>9</v>
      </c>
      <c r="C1743" s="57">
        <v>44648</v>
      </c>
      <c r="D1743" s="49">
        <v>22022002978</v>
      </c>
      <c r="E1743" s="50" t="s">
        <v>1579</v>
      </c>
      <c r="F1743" s="58">
        <v>114.95</v>
      </c>
      <c r="G1743" s="50" t="s">
        <v>757</v>
      </c>
      <c r="H1743" s="50" t="s">
        <v>3142</v>
      </c>
      <c r="I1743" s="49" t="s">
        <v>107</v>
      </c>
      <c r="J1743" s="50" t="s">
        <v>539</v>
      </c>
      <c r="K1743" s="50" t="s">
        <v>109</v>
      </c>
      <c r="L1743" s="50" t="s">
        <v>15</v>
      </c>
      <c r="M1743" s="50" t="s">
        <v>10</v>
      </c>
      <c r="N1743" s="50" t="s">
        <v>11</v>
      </c>
      <c r="O1743" s="48" t="s">
        <v>632</v>
      </c>
      <c r="P1743" s="45" t="s">
        <v>453</v>
      </c>
      <c r="Q1743" s="35" t="str">
        <f>MID(Tabla1[[#This Row],[Aplicación]],14,1)</f>
        <v>2</v>
      </c>
      <c r="R1743" s="35" t="s">
        <v>441</v>
      </c>
      <c r="S1743" s="35" t="str">
        <f>MID(Tabla1[[#This Row],[Aplicación]],6,2)</f>
        <v>10</v>
      </c>
      <c r="T1743" s="35" t="str">
        <f>VLOOKUP(Tabla1[[#This Row],[AREA]],Hoja1!A:B,2,FALSE)</f>
        <v>10. Servicios sociales y mediación comunitaria</v>
      </c>
      <c r="U1743" s="35" t="str">
        <f>MID(Tabla1[[#This Row],[Aplicación]],9,4)</f>
        <v>2412</v>
      </c>
      <c r="V1743" s="35" t="str">
        <f>VLOOKUP(Tabla1[[#This Row],[PROGRAMA]],Hoja1!A:B,2,FALSE)</f>
        <v>2412. Formación para el empleo</v>
      </c>
      <c r="W1743" s="35" t="str">
        <f>MID(Tabla1[[#This Row],[Aplicación]],14,2)</f>
        <v>22</v>
      </c>
      <c r="X1743" s="35" t="str">
        <f>MID(Tabla1[[#This Row],[Aplicación]],14,6)</f>
        <v>22199</v>
      </c>
    </row>
    <row r="1744" spans="1:24" x14ac:dyDescent="0.25">
      <c r="A1744" s="49">
        <v>220220002306</v>
      </c>
      <c r="B1744" s="50" t="s">
        <v>9</v>
      </c>
      <c r="C1744" s="57">
        <v>44594</v>
      </c>
      <c r="D1744" s="49">
        <v>22022001789</v>
      </c>
      <c r="E1744" s="50" t="s">
        <v>1579</v>
      </c>
      <c r="F1744" s="58">
        <v>111.32</v>
      </c>
      <c r="G1744" s="50" t="s">
        <v>757</v>
      </c>
      <c r="H1744" s="50" t="s">
        <v>3143</v>
      </c>
      <c r="I1744" s="49" t="s">
        <v>107</v>
      </c>
      <c r="J1744" s="50" t="s">
        <v>539</v>
      </c>
      <c r="K1744" s="50" t="s">
        <v>109</v>
      </c>
      <c r="L1744" s="50" t="s">
        <v>15</v>
      </c>
      <c r="M1744" s="50" t="s">
        <v>10</v>
      </c>
      <c r="N1744" s="50" t="s">
        <v>11</v>
      </c>
      <c r="O1744" s="48" t="s">
        <v>632</v>
      </c>
      <c r="P1744" s="45" t="s">
        <v>453</v>
      </c>
      <c r="Q1744" s="35" t="str">
        <f>MID(Tabla1[[#This Row],[Aplicación]],14,1)</f>
        <v>2</v>
      </c>
      <c r="R1744" s="35" t="s">
        <v>441</v>
      </c>
      <c r="S1744" s="35" t="str">
        <f>MID(Tabla1[[#This Row],[Aplicación]],6,2)</f>
        <v>10</v>
      </c>
      <c r="T1744" s="35" t="str">
        <f>VLOOKUP(Tabla1[[#This Row],[AREA]],Hoja1!A:B,2,FALSE)</f>
        <v>10. Servicios sociales y mediación comunitaria</v>
      </c>
      <c r="U1744" s="35" t="str">
        <f>MID(Tabla1[[#This Row],[Aplicación]],9,4)</f>
        <v>2412</v>
      </c>
      <c r="V1744" s="35" t="str">
        <f>VLOOKUP(Tabla1[[#This Row],[PROGRAMA]],Hoja1!A:B,2,FALSE)</f>
        <v>2412. Formación para el empleo</v>
      </c>
      <c r="W1744" s="35" t="str">
        <f>MID(Tabla1[[#This Row],[Aplicación]],14,2)</f>
        <v>22</v>
      </c>
      <c r="X1744" s="35" t="str">
        <f>MID(Tabla1[[#This Row],[Aplicación]],14,6)</f>
        <v>22199</v>
      </c>
    </row>
    <row r="1745" spans="1:24" x14ac:dyDescent="0.25">
      <c r="A1745" s="49">
        <v>220220005779</v>
      </c>
      <c r="B1745" s="50" t="s">
        <v>9</v>
      </c>
      <c r="C1745" s="57">
        <v>44615</v>
      </c>
      <c r="D1745" s="49">
        <v>22022002343</v>
      </c>
      <c r="E1745" s="50" t="s">
        <v>1946</v>
      </c>
      <c r="F1745" s="58">
        <v>863.94</v>
      </c>
      <c r="G1745" s="50" t="s">
        <v>968</v>
      </c>
      <c r="H1745" s="50" t="s">
        <v>3144</v>
      </c>
      <c r="I1745" s="49" t="s">
        <v>107</v>
      </c>
      <c r="J1745" s="50" t="s">
        <v>134</v>
      </c>
      <c r="K1745" s="50" t="s">
        <v>134</v>
      </c>
      <c r="L1745" s="50" t="s">
        <v>12</v>
      </c>
      <c r="M1745" s="50" t="s">
        <v>10</v>
      </c>
      <c r="N1745" s="50" t="s">
        <v>11</v>
      </c>
      <c r="O1745" s="48" t="s">
        <v>632</v>
      </c>
      <c r="P1745" s="45" t="s">
        <v>453</v>
      </c>
      <c r="Q1745" s="35" t="str">
        <f>MID(Tabla1[[#This Row],[Aplicación]],14,1)</f>
        <v>6</v>
      </c>
      <c r="R1745" s="35" t="s">
        <v>442</v>
      </c>
      <c r="S1745" s="35" t="str">
        <f>MID(Tabla1[[#This Row],[Aplicación]],6,2)</f>
        <v>06</v>
      </c>
      <c r="T1745" s="35" t="str">
        <f>VLOOKUP(Tabla1[[#This Row],[AREA]],Hoja1!A:B,2,FALSE)</f>
        <v>06. Educación, infancia, juventud e igualdad</v>
      </c>
      <c r="U1745" s="35" t="str">
        <f>MID(Tabla1[[#This Row],[Aplicación]],9,4)</f>
        <v>3232</v>
      </c>
      <c r="V1745" s="35" t="str">
        <f>VLOOKUP(Tabla1[[#This Row],[PROGRAMA]],Hoja1!A:B,2,FALSE)</f>
        <v>3232. Conservación y mantenimiento centros educación infantil y primaria</v>
      </c>
      <c r="W1745" s="35" t="str">
        <f>MID(Tabla1[[#This Row],[Aplicación]],14,2)</f>
        <v>63</v>
      </c>
      <c r="X1745" s="35" t="str">
        <f>MID(Tabla1[[#This Row],[Aplicación]],14,6)</f>
        <v>632</v>
      </c>
    </row>
    <row r="1746" spans="1:24" x14ac:dyDescent="0.25">
      <c r="A1746" s="49">
        <v>220219000883</v>
      </c>
      <c r="B1746" s="50" t="s">
        <v>9</v>
      </c>
      <c r="C1746" s="57">
        <v>44562</v>
      </c>
      <c r="D1746" s="49">
        <v>22022000101</v>
      </c>
      <c r="E1746" s="50" t="s">
        <v>1903</v>
      </c>
      <c r="F1746" s="58">
        <v>30976</v>
      </c>
      <c r="G1746" s="50" t="s">
        <v>959</v>
      </c>
      <c r="H1746" s="50" t="s">
        <v>3145</v>
      </c>
      <c r="I1746" s="49" t="s">
        <v>107</v>
      </c>
      <c r="J1746" s="50" t="s">
        <v>960</v>
      </c>
      <c r="K1746" s="50" t="s">
        <v>150</v>
      </c>
      <c r="L1746" s="50" t="s">
        <v>15</v>
      </c>
      <c r="M1746" s="50" t="s">
        <v>13</v>
      </c>
      <c r="N1746" s="50" t="s">
        <v>14</v>
      </c>
      <c r="O1746" s="48" t="s">
        <v>620</v>
      </c>
      <c r="P1746" s="45" t="s">
        <v>453</v>
      </c>
      <c r="Q1746" s="35" t="str">
        <f>MID(Tabla1[[#This Row],[Aplicación]],14,1)</f>
        <v>2</v>
      </c>
      <c r="R1746" s="35" t="s">
        <v>441</v>
      </c>
      <c r="S1746" s="35" t="str">
        <f>MID(Tabla1[[#This Row],[Aplicación]],6,2)</f>
        <v>11</v>
      </c>
      <c r="T1746" s="35" t="str">
        <f>VLOOKUP(Tabla1[[#This Row],[AREA]],Hoja1!A:B,2,FALSE)</f>
        <v>11. Salud pública y seguridad ciudadana</v>
      </c>
      <c r="U1746" s="35" t="str">
        <f>MID(Tabla1[[#This Row],[Aplicación]],9,4)</f>
        <v>1361</v>
      </c>
      <c r="V1746" s="35" t="str">
        <f>VLOOKUP(Tabla1[[#This Row],[PROGRAMA]],Hoja1!A:B,2,FALSE)</f>
        <v>1361. Prevención y extinción de incencios</v>
      </c>
      <c r="W1746" s="35" t="str">
        <f>MID(Tabla1[[#This Row],[Aplicación]],14,2)</f>
        <v>22</v>
      </c>
      <c r="X1746" s="35" t="str">
        <f>MID(Tabla1[[#This Row],[Aplicación]],14,6)</f>
        <v>22104</v>
      </c>
    </row>
    <row r="1747" spans="1:24" x14ac:dyDescent="0.25">
      <c r="A1747" s="49">
        <v>220219000950</v>
      </c>
      <c r="B1747" s="50" t="s">
        <v>9</v>
      </c>
      <c r="C1747" s="57">
        <v>44562</v>
      </c>
      <c r="D1747" s="49">
        <v>22022002012</v>
      </c>
      <c r="E1747" s="50" t="s">
        <v>2238</v>
      </c>
      <c r="F1747" s="58">
        <v>30000.14</v>
      </c>
      <c r="G1747" s="50" t="s">
        <v>959</v>
      </c>
      <c r="H1747" s="50" t="s">
        <v>3146</v>
      </c>
      <c r="I1747" s="49" t="s">
        <v>107</v>
      </c>
      <c r="J1747" s="50" t="s">
        <v>960</v>
      </c>
      <c r="K1747" s="50" t="s">
        <v>150</v>
      </c>
      <c r="L1747" s="50" t="s">
        <v>15</v>
      </c>
      <c r="M1747" s="50" t="s">
        <v>13</v>
      </c>
      <c r="N1747" s="50" t="s">
        <v>14</v>
      </c>
      <c r="O1747" s="48" t="s">
        <v>620</v>
      </c>
      <c r="P1747" s="45" t="s">
        <v>453</v>
      </c>
      <c r="Q1747" s="35" t="str">
        <f>MID(Tabla1[[#This Row],[Aplicación]],14,1)</f>
        <v>6</v>
      </c>
      <c r="R1747" s="35" t="s">
        <v>442</v>
      </c>
      <c r="S1747" s="35" t="str">
        <f>MID(Tabla1[[#This Row],[Aplicación]],6,2)</f>
        <v>11</v>
      </c>
      <c r="T1747" s="35" t="str">
        <f>VLOOKUP(Tabla1[[#This Row],[AREA]],Hoja1!A:B,2,FALSE)</f>
        <v>11. Salud pública y seguridad ciudadana</v>
      </c>
      <c r="U1747" s="35" t="str">
        <f>MID(Tabla1[[#This Row],[Aplicación]],9,4)</f>
        <v>1361</v>
      </c>
      <c r="V1747" s="35" t="str">
        <f>VLOOKUP(Tabla1[[#This Row],[PROGRAMA]],Hoja1!A:B,2,FALSE)</f>
        <v>1361. Prevención y extinción de incencios</v>
      </c>
      <c r="W1747" s="35" t="str">
        <f>MID(Tabla1[[#This Row],[Aplicación]],14,2)</f>
        <v>62</v>
      </c>
      <c r="X1747" s="35" t="str">
        <f>MID(Tabla1[[#This Row],[Aplicación]],14,6)</f>
        <v>623</v>
      </c>
    </row>
    <row r="1748" spans="1:24" x14ac:dyDescent="0.25">
      <c r="A1748" s="49">
        <v>220210057024</v>
      </c>
      <c r="B1748" s="50" t="s">
        <v>9</v>
      </c>
      <c r="C1748" s="57">
        <v>44620</v>
      </c>
      <c r="D1748" s="49">
        <v>22021006505</v>
      </c>
      <c r="E1748" s="50" t="s">
        <v>1665</v>
      </c>
      <c r="F1748" s="58">
        <v>847</v>
      </c>
      <c r="G1748" s="50" t="s">
        <v>863</v>
      </c>
      <c r="H1748" s="50" t="s">
        <v>1168</v>
      </c>
      <c r="I1748" s="49" t="s">
        <v>107</v>
      </c>
      <c r="J1748" s="50" t="s">
        <v>109</v>
      </c>
      <c r="K1748" s="50" t="s">
        <v>109</v>
      </c>
      <c r="L1748" s="50" t="s">
        <v>25</v>
      </c>
      <c r="M1748" s="50" t="s">
        <v>10</v>
      </c>
      <c r="N1748" s="50" t="s">
        <v>11</v>
      </c>
      <c r="O1748" s="48" t="s">
        <v>632</v>
      </c>
      <c r="P1748" s="45" t="s">
        <v>453</v>
      </c>
      <c r="Q1748" s="35" t="str">
        <f>MID(Tabla1[[#This Row],[Aplicación]],14,1)</f>
        <v>6</v>
      </c>
      <c r="R1748" s="35" t="s">
        <v>442</v>
      </c>
      <c r="S1748" s="35" t="str">
        <f>MID(Tabla1[[#This Row],[Aplicación]],6,2)</f>
        <v>02</v>
      </c>
      <c r="T1748" s="35" t="str">
        <f>VLOOKUP(Tabla1[[#This Row],[AREA]],Hoja1!A:B,2,FALSE)</f>
        <v>02. Planeamiento urbanístico y vivienda</v>
      </c>
      <c r="U1748" s="35" t="str">
        <f>MID(Tabla1[[#This Row],[Aplicación]],9,4)</f>
        <v>9332</v>
      </c>
      <c r="V1748" s="35" t="str">
        <f>VLOOKUP(Tabla1[[#This Row],[PROGRAMA]],Hoja1!A:B,2,FALSE)</f>
        <v>9332. Mantenimiento de edificios e instalaciones municipales</v>
      </c>
      <c r="W1748" s="35" t="str">
        <f>MID(Tabla1[[#This Row],[Aplicación]],14,2)</f>
        <v>63</v>
      </c>
      <c r="X1748" s="35" t="str">
        <f>MID(Tabla1[[#This Row],[Aplicación]],14,6)</f>
        <v>632</v>
      </c>
    </row>
    <row r="1749" spans="1:24" x14ac:dyDescent="0.25">
      <c r="A1749" s="49">
        <v>220219001130</v>
      </c>
      <c r="B1749" s="50" t="s">
        <v>9</v>
      </c>
      <c r="C1749" s="57">
        <v>44562</v>
      </c>
      <c r="D1749" s="49">
        <v>22022000293</v>
      </c>
      <c r="E1749" s="50" t="s">
        <v>1587</v>
      </c>
      <c r="F1749" s="58">
        <v>688.35</v>
      </c>
      <c r="G1749" s="50" t="s">
        <v>2947</v>
      </c>
      <c r="H1749" s="50" t="s">
        <v>3147</v>
      </c>
      <c r="I1749" s="49" t="s">
        <v>107</v>
      </c>
      <c r="J1749" s="50" t="s">
        <v>2949</v>
      </c>
      <c r="K1749" s="50" t="s">
        <v>2950</v>
      </c>
      <c r="L1749" s="50" t="s">
        <v>12</v>
      </c>
      <c r="M1749" s="50" t="s">
        <v>13</v>
      </c>
      <c r="N1749" s="50" t="s">
        <v>14</v>
      </c>
      <c r="O1749" s="48" t="s">
        <v>620</v>
      </c>
      <c r="P1749" s="45" t="s">
        <v>453</v>
      </c>
      <c r="Q1749" s="35" t="str">
        <f>MID(Tabla1[[#This Row],[Aplicación]],14,1)</f>
        <v>2</v>
      </c>
      <c r="R1749" s="35" t="s">
        <v>441</v>
      </c>
      <c r="S1749" s="35" t="str">
        <f>MID(Tabla1[[#This Row],[Aplicación]],6,2)</f>
        <v>07</v>
      </c>
      <c r="T1749" s="35" t="str">
        <f>VLOOKUP(Tabla1[[#This Row],[AREA]],Hoja1!A:B,2,FALSE)</f>
        <v>07. Medio ambiente y desarrollo sostenible</v>
      </c>
      <c r="U1749" s="35" t="str">
        <f>MID(Tabla1[[#This Row],[Aplicación]],9,4)</f>
        <v>1711</v>
      </c>
      <c r="V1749" s="35" t="str">
        <f>VLOOKUP(Tabla1[[#This Row],[PROGRAMA]],Hoja1!A:B,2,FALSE)</f>
        <v>1711. Parques y jardines</v>
      </c>
      <c r="W1749" s="35" t="str">
        <f>MID(Tabla1[[#This Row],[Aplicación]],14,2)</f>
        <v>22</v>
      </c>
      <c r="X1749" s="35" t="str">
        <f>MID(Tabla1[[#This Row],[Aplicación]],14,6)</f>
        <v>22799</v>
      </c>
    </row>
    <row r="1750" spans="1:24" x14ac:dyDescent="0.25">
      <c r="A1750" s="49">
        <v>220210072248</v>
      </c>
      <c r="B1750" s="50" t="s">
        <v>9</v>
      </c>
      <c r="C1750" s="57">
        <v>44631</v>
      </c>
      <c r="D1750" s="49">
        <v>22021003513</v>
      </c>
      <c r="E1750" s="50" t="s">
        <v>2238</v>
      </c>
      <c r="F1750" s="58">
        <v>30000.13</v>
      </c>
      <c r="G1750" s="50" t="s">
        <v>959</v>
      </c>
      <c r="H1750" s="50" t="s">
        <v>1197</v>
      </c>
      <c r="I1750" s="49" t="s">
        <v>107</v>
      </c>
      <c r="J1750" s="50" t="s">
        <v>960</v>
      </c>
      <c r="K1750" s="50" t="s">
        <v>150</v>
      </c>
      <c r="L1750" s="50" t="s">
        <v>15</v>
      </c>
      <c r="M1750" s="50" t="s">
        <v>13</v>
      </c>
      <c r="N1750" s="50" t="s">
        <v>14</v>
      </c>
      <c r="O1750" s="48" t="s">
        <v>620</v>
      </c>
      <c r="P1750" s="45" t="s">
        <v>453</v>
      </c>
      <c r="Q1750" s="35" t="str">
        <f>MID(Tabla1[[#This Row],[Aplicación]],14,1)</f>
        <v>6</v>
      </c>
      <c r="R1750" s="35" t="s">
        <v>442</v>
      </c>
      <c r="S1750" s="35" t="str">
        <f>MID(Tabla1[[#This Row],[Aplicación]],6,2)</f>
        <v>11</v>
      </c>
      <c r="T1750" s="35" t="str">
        <f>VLOOKUP(Tabla1[[#This Row],[AREA]],Hoja1!A:B,2,FALSE)</f>
        <v>11. Salud pública y seguridad ciudadana</v>
      </c>
      <c r="U1750" s="35" t="str">
        <f>MID(Tabla1[[#This Row],[Aplicación]],9,4)</f>
        <v>1361</v>
      </c>
      <c r="V1750" s="35" t="str">
        <f>VLOOKUP(Tabla1[[#This Row],[PROGRAMA]],Hoja1!A:B,2,FALSE)</f>
        <v>1361. Prevención y extinción de incencios</v>
      </c>
      <c r="W1750" s="35" t="str">
        <f>MID(Tabla1[[#This Row],[Aplicación]],14,2)</f>
        <v>62</v>
      </c>
      <c r="X1750" s="35" t="str">
        <f>MID(Tabla1[[#This Row],[Aplicación]],14,6)</f>
        <v>623</v>
      </c>
    </row>
    <row r="1751" spans="1:24" x14ac:dyDescent="0.25">
      <c r="A1751" s="49">
        <v>220220007075</v>
      </c>
      <c r="B1751" s="50" t="s">
        <v>172</v>
      </c>
      <c r="C1751" s="57">
        <v>44623</v>
      </c>
      <c r="D1751" s="49">
        <v>22022000030</v>
      </c>
      <c r="E1751" s="50" t="s">
        <v>2007</v>
      </c>
      <c r="F1751" s="58">
        <v>1423.04</v>
      </c>
      <c r="G1751" s="50" t="s">
        <v>226</v>
      </c>
      <c r="H1751" s="50" t="s">
        <v>3148</v>
      </c>
      <c r="I1751" s="49" t="s">
        <v>173</v>
      </c>
      <c r="J1751" s="50" t="s">
        <v>109</v>
      </c>
      <c r="K1751" s="50" t="s">
        <v>109</v>
      </c>
      <c r="L1751" s="50" t="s">
        <v>15</v>
      </c>
      <c r="M1751" s="50" t="s">
        <v>13</v>
      </c>
      <c r="N1751" s="50" t="s">
        <v>14</v>
      </c>
      <c r="O1751" s="48" t="s">
        <v>631</v>
      </c>
      <c r="P1751" s="45" t="s">
        <v>453</v>
      </c>
      <c r="Q1751" s="35" t="str">
        <f>MID(Tabla1[[#This Row],[Aplicación]],14,1)</f>
        <v>2</v>
      </c>
      <c r="R1751" s="35" t="s">
        <v>441</v>
      </c>
      <c r="S1751" s="35" t="str">
        <f>MID(Tabla1[[#This Row],[Aplicación]],6,2)</f>
        <v>11</v>
      </c>
      <c r="T1751" s="35" t="str">
        <f>VLOOKUP(Tabla1[[#This Row],[AREA]],Hoja1!A:B,2,FALSE)</f>
        <v>11. Salud pública y seguridad ciudadana</v>
      </c>
      <c r="U1751" s="35" t="str">
        <f>MID(Tabla1[[#This Row],[Aplicación]],9,4)</f>
        <v>1621</v>
      </c>
      <c r="V1751" s="35" t="str">
        <f>VLOOKUP(Tabla1[[#This Row],[PROGRAMA]],Hoja1!A:B,2,FALSE)</f>
        <v>1621. Servicio de limpieza</v>
      </c>
      <c r="W1751" s="35" t="str">
        <f>MID(Tabla1[[#This Row],[Aplicación]],14,2)</f>
        <v>22</v>
      </c>
      <c r="X1751" s="35" t="str">
        <f>MID(Tabla1[[#This Row],[Aplicación]],14,6)</f>
        <v>22199</v>
      </c>
    </row>
    <row r="1752" spans="1:24" x14ac:dyDescent="0.25">
      <c r="A1752" s="49">
        <v>220220008567</v>
      </c>
      <c r="B1752" s="50" t="s">
        <v>172</v>
      </c>
      <c r="C1752" s="57">
        <v>44631</v>
      </c>
      <c r="D1752" s="49">
        <v>22022000030</v>
      </c>
      <c r="E1752" s="50" t="s">
        <v>2007</v>
      </c>
      <c r="F1752" s="58">
        <v>979.12</v>
      </c>
      <c r="G1752" s="50" t="s">
        <v>226</v>
      </c>
      <c r="H1752" s="50" t="s">
        <v>3149</v>
      </c>
      <c r="I1752" s="49" t="s">
        <v>173</v>
      </c>
      <c r="J1752" s="50" t="s">
        <v>109</v>
      </c>
      <c r="K1752" s="50" t="s">
        <v>109</v>
      </c>
      <c r="L1752" s="50" t="s">
        <v>15</v>
      </c>
      <c r="M1752" s="50" t="s">
        <v>13</v>
      </c>
      <c r="N1752" s="50" t="s">
        <v>14</v>
      </c>
      <c r="O1752" s="48" t="s">
        <v>631</v>
      </c>
      <c r="P1752" s="45" t="s">
        <v>453</v>
      </c>
      <c r="Q1752" s="35" t="str">
        <f>MID(Tabla1[[#This Row],[Aplicación]],14,1)</f>
        <v>2</v>
      </c>
      <c r="R1752" s="35" t="s">
        <v>441</v>
      </c>
      <c r="S1752" s="35" t="str">
        <f>MID(Tabla1[[#This Row],[Aplicación]],6,2)</f>
        <v>11</v>
      </c>
      <c r="T1752" s="35" t="str">
        <f>VLOOKUP(Tabla1[[#This Row],[AREA]],Hoja1!A:B,2,FALSE)</f>
        <v>11. Salud pública y seguridad ciudadana</v>
      </c>
      <c r="U1752" s="35" t="str">
        <f>MID(Tabla1[[#This Row],[Aplicación]],9,4)</f>
        <v>1621</v>
      </c>
      <c r="V1752" s="35" t="str">
        <f>VLOOKUP(Tabla1[[#This Row],[PROGRAMA]],Hoja1!A:B,2,FALSE)</f>
        <v>1621. Servicio de limpieza</v>
      </c>
      <c r="W1752" s="35" t="str">
        <f>MID(Tabla1[[#This Row],[Aplicación]],14,2)</f>
        <v>22</v>
      </c>
      <c r="X1752" s="35" t="str">
        <f>MID(Tabla1[[#This Row],[Aplicación]],14,6)</f>
        <v>22199</v>
      </c>
    </row>
    <row r="1753" spans="1:24" x14ac:dyDescent="0.25">
      <c r="A1753" s="49">
        <v>220220004239</v>
      </c>
      <c r="B1753" s="50" t="s">
        <v>172</v>
      </c>
      <c r="C1753" s="57">
        <v>44610</v>
      </c>
      <c r="D1753" s="49">
        <v>22022000045</v>
      </c>
      <c r="E1753" s="50" t="s">
        <v>2018</v>
      </c>
      <c r="F1753" s="58">
        <v>647.71</v>
      </c>
      <c r="G1753" s="50" t="s">
        <v>226</v>
      </c>
      <c r="H1753" s="50" t="s">
        <v>3150</v>
      </c>
      <c r="I1753" s="49" t="s">
        <v>173</v>
      </c>
      <c r="J1753" s="50" t="s">
        <v>109</v>
      </c>
      <c r="K1753" s="50" t="s">
        <v>109</v>
      </c>
      <c r="L1753" s="50" t="s">
        <v>15</v>
      </c>
      <c r="M1753" s="50" t="s">
        <v>13</v>
      </c>
      <c r="N1753" s="50" t="s">
        <v>14</v>
      </c>
      <c r="O1753" s="48" t="s">
        <v>631</v>
      </c>
      <c r="P1753" s="45" t="s">
        <v>453</v>
      </c>
      <c r="Q1753" s="35" t="str">
        <f>MID(Tabla1[[#This Row],[Aplicación]],14,1)</f>
        <v>2</v>
      </c>
      <c r="R1753" s="35" t="s">
        <v>441</v>
      </c>
      <c r="S1753" s="35" t="str">
        <f>MID(Tabla1[[#This Row],[Aplicación]],6,2)</f>
        <v>11</v>
      </c>
      <c r="T1753" s="35" t="str">
        <f>VLOOKUP(Tabla1[[#This Row],[AREA]],Hoja1!A:B,2,FALSE)</f>
        <v>11. Salud pública y seguridad ciudadana</v>
      </c>
      <c r="U1753" s="35" t="str">
        <f>MID(Tabla1[[#This Row],[Aplicación]],9,4)</f>
        <v>1631</v>
      </c>
      <c r="V1753" s="35" t="str">
        <f>VLOOKUP(Tabla1[[#This Row],[PROGRAMA]],Hoja1!A:B,2,FALSE)</f>
        <v>1631. Limpieza viaria</v>
      </c>
      <c r="W1753" s="35" t="str">
        <f>MID(Tabla1[[#This Row],[Aplicación]],14,2)</f>
        <v>22</v>
      </c>
      <c r="X1753" s="35" t="str">
        <f>MID(Tabla1[[#This Row],[Aplicación]],14,6)</f>
        <v>22199</v>
      </c>
    </row>
    <row r="1754" spans="1:24" x14ac:dyDescent="0.25">
      <c r="A1754" s="49">
        <v>220220004067</v>
      </c>
      <c r="B1754" s="50" t="s">
        <v>172</v>
      </c>
      <c r="C1754" s="57">
        <v>44610</v>
      </c>
      <c r="D1754" s="49">
        <v>22022000030</v>
      </c>
      <c r="E1754" s="50" t="s">
        <v>2007</v>
      </c>
      <c r="F1754" s="58">
        <v>549.88</v>
      </c>
      <c r="G1754" s="50" t="s">
        <v>226</v>
      </c>
      <c r="H1754" s="50" t="s">
        <v>3151</v>
      </c>
      <c r="I1754" s="49" t="s">
        <v>173</v>
      </c>
      <c r="J1754" s="50" t="s">
        <v>109</v>
      </c>
      <c r="K1754" s="50" t="s">
        <v>109</v>
      </c>
      <c r="L1754" s="50" t="s">
        <v>15</v>
      </c>
      <c r="M1754" s="50" t="s">
        <v>13</v>
      </c>
      <c r="N1754" s="50" t="s">
        <v>14</v>
      </c>
      <c r="O1754" s="48" t="s">
        <v>631</v>
      </c>
      <c r="P1754" s="45" t="s">
        <v>453</v>
      </c>
      <c r="Q1754" s="35" t="str">
        <f>MID(Tabla1[[#This Row],[Aplicación]],14,1)</f>
        <v>2</v>
      </c>
      <c r="R1754" s="35" t="s">
        <v>441</v>
      </c>
      <c r="S1754" s="35" t="str">
        <f>MID(Tabla1[[#This Row],[Aplicación]],6,2)</f>
        <v>11</v>
      </c>
      <c r="T1754" s="35" t="str">
        <f>VLOOKUP(Tabla1[[#This Row],[AREA]],Hoja1!A:B,2,FALSE)</f>
        <v>11. Salud pública y seguridad ciudadana</v>
      </c>
      <c r="U1754" s="35" t="str">
        <f>MID(Tabla1[[#This Row],[Aplicación]],9,4)</f>
        <v>1621</v>
      </c>
      <c r="V1754" s="35" t="str">
        <f>VLOOKUP(Tabla1[[#This Row],[PROGRAMA]],Hoja1!A:B,2,FALSE)</f>
        <v>1621. Servicio de limpieza</v>
      </c>
      <c r="W1754" s="35" t="str">
        <f>MID(Tabla1[[#This Row],[Aplicación]],14,2)</f>
        <v>22</v>
      </c>
      <c r="X1754" s="35" t="str">
        <f>MID(Tabla1[[#This Row],[Aplicación]],14,6)</f>
        <v>22199</v>
      </c>
    </row>
    <row r="1755" spans="1:24" x14ac:dyDescent="0.25">
      <c r="A1755" s="49">
        <v>220220008557</v>
      </c>
      <c r="B1755" s="50" t="s">
        <v>172</v>
      </c>
      <c r="C1755" s="57">
        <v>44631</v>
      </c>
      <c r="D1755" s="49">
        <v>22022000045</v>
      </c>
      <c r="E1755" s="50" t="s">
        <v>2018</v>
      </c>
      <c r="F1755" s="58">
        <v>369.27</v>
      </c>
      <c r="G1755" s="50" t="s">
        <v>226</v>
      </c>
      <c r="H1755" s="50" t="s">
        <v>3152</v>
      </c>
      <c r="I1755" s="49" t="s">
        <v>173</v>
      </c>
      <c r="J1755" s="50" t="s">
        <v>109</v>
      </c>
      <c r="K1755" s="50" t="s">
        <v>109</v>
      </c>
      <c r="L1755" s="50" t="s">
        <v>15</v>
      </c>
      <c r="M1755" s="50" t="s">
        <v>13</v>
      </c>
      <c r="N1755" s="50" t="s">
        <v>14</v>
      </c>
      <c r="O1755" s="48" t="s">
        <v>631</v>
      </c>
      <c r="P1755" s="45" t="s">
        <v>453</v>
      </c>
      <c r="Q1755" s="35" t="str">
        <f>MID(Tabla1[[#This Row],[Aplicación]],14,1)</f>
        <v>2</v>
      </c>
      <c r="R1755" s="35" t="s">
        <v>441</v>
      </c>
      <c r="S1755" s="35" t="str">
        <f>MID(Tabla1[[#This Row],[Aplicación]],6,2)</f>
        <v>11</v>
      </c>
      <c r="T1755" s="35" t="str">
        <f>VLOOKUP(Tabla1[[#This Row],[AREA]],Hoja1!A:B,2,FALSE)</f>
        <v>11. Salud pública y seguridad ciudadana</v>
      </c>
      <c r="U1755" s="35" t="str">
        <f>MID(Tabla1[[#This Row],[Aplicación]],9,4)</f>
        <v>1631</v>
      </c>
      <c r="V1755" s="35" t="str">
        <f>VLOOKUP(Tabla1[[#This Row],[PROGRAMA]],Hoja1!A:B,2,FALSE)</f>
        <v>1631. Limpieza viaria</v>
      </c>
      <c r="W1755" s="35" t="str">
        <f>MID(Tabla1[[#This Row],[Aplicación]],14,2)</f>
        <v>22</v>
      </c>
      <c r="X1755" s="35" t="str">
        <f>MID(Tabla1[[#This Row],[Aplicación]],14,6)</f>
        <v>22199</v>
      </c>
    </row>
    <row r="1756" spans="1:24" x14ac:dyDescent="0.25">
      <c r="A1756" s="49">
        <v>220220004196</v>
      </c>
      <c r="B1756" s="50" t="s">
        <v>172</v>
      </c>
      <c r="C1756" s="57">
        <v>44610</v>
      </c>
      <c r="D1756" s="49">
        <v>22022000030</v>
      </c>
      <c r="E1756" s="50" t="s">
        <v>2007</v>
      </c>
      <c r="F1756" s="58">
        <v>92.18</v>
      </c>
      <c r="G1756" s="50" t="s">
        <v>226</v>
      </c>
      <c r="H1756" s="50" t="s">
        <v>3153</v>
      </c>
      <c r="I1756" s="49" t="s">
        <v>173</v>
      </c>
      <c r="J1756" s="50" t="s">
        <v>109</v>
      </c>
      <c r="K1756" s="50" t="s">
        <v>109</v>
      </c>
      <c r="L1756" s="50" t="s">
        <v>15</v>
      </c>
      <c r="M1756" s="50" t="s">
        <v>13</v>
      </c>
      <c r="N1756" s="50" t="s">
        <v>14</v>
      </c>
      <c r="O1756" s="48" t="s">
        <v>631</v>
      </c>
      <c r="P1756" s="45" t="s">
        <v>453</v>
      </c>
      <c r="Q1756" s="35" t="str">
        <f>MID(Tabla1[[#This Row],[Aplicación]],14,1)</f>
        <v>2</v>
      </c>
      <c r="R1756" s="35" t="s">
        <v>441</v>
      </c>
      <c r="S1756" s="35" t="str">
        <f>MID(Tabla1[[#This Row],[Aplicación]],6,2)</f>
        <v>11</v>
      </c>
      <c r="T1756" s="35" t="str">
        <f>VLOOKUP(Tabla1[[#This Row],[AREA]],Hoja1!A:B,2,FALSE)</f>
        <v>11. Salud pública y seguridad ciudadana</v>
      </c>
      <c r="U1756" s="35" t="str">
        <f>MID(Tabla1[[#This Row],[Aplicación]],9,4)</f>
        <v>1621</v>
      </c>
      <c r="V1756" s="35" t="str">
        <f>VLOOKUP(Tabla1[[#This Row],[PROGRAMA]],Hoja1!A:B,2,FALSE)</f>
        <v>1621. Servicio de limpieza</v>
      </c>
      <c r="W1756" s="35" t="str">
        <f>MID(Tabla1[[#This Row],[Aplicación]],14,2)</f>
        <v>22</v>
      </c>
      <c r="X1756" s="35" t="str">
        <f>MID(Tabla1[[#This Row],[Aplicación]],14,6)</f>
        <v>22199</v>
      </c>
    </row>
    <row r="1757" spans="1:24" x14ac:dyDescent="0.25">
      <c r="A1757" s="49">
        <v>220220009453</v>
      </c>
      <c r="B1757" s="50" t="s">
        <v>172</v>
      </c>
      <c r="C1757" s="57">
        <v>44636</v>
      </c>
      <c r="D1757" s="49">
        <v>22022001593</v>
      </c>
      <c r="E1757" s="50" t="s">
        <v>1581</v>
      </c>
      <c r="F1757" s="58">
        <v>40.869999999999997</v>
      </c>
      <c r="G1757" s="50" t="s">
        <v>226</v>
      </c>
      <c r="H1757" s="50" t="s">
        <v>1036</v>
      </c>
      <c r="I1757" s="49" t="s">
        <v>173</v>
      </c>
      <c r="J1757" s="50" t="s">
        <v>109</v>
      </c>
      <c r="K1757" s="50" t="s">
        <v>109</v>
      </c>
      <c r="L1757" s="50" t="s">
        <v>15</v>
      </c>
      <c r="M1757" s="50" t="s">
        <v>13</v>
      </c>
      <c r="N1757" s="50" t="s">
        <v>14</v>
      </c>
      <c r="O1757" s="48" t="s">
        <v>631</v>
      </c>
      <c r="P1757" s="45" t="s">
        <v>453</v>
      </c>
      <c r="Q1757" s="35" t="str">
        <f>MID(Tabla1[[#This Row],[Aplicación]],14,1)</f>
        <v>2</v>
      </c>
      <c r="R1757" s="35" t="s">
        <v>441</v>
      </c>
      <c r="S1757" s="35" t="str">
        <f>MID(Tabla1[[#This Row],[Aplicación]],6,2)</f>
        <v>07</v>
      </c>
      <c r="T1757" s="35" t="str">
        <f>VLOOKUP(Tabla1[[#This Row],[AREA]],Hoja1!A:B,2,FALSE)</f>
        <v>07. Medio ambiente y desarrollo sostenible</v>
      </c>
      <c r="U1757" s="35" t="str">
        <f>MID(Tabla1[[#This Row],[Aplicación]],9,4)</f>
        <v>1711</v>
      </c>
      <c r="V1757" s="35" t="str">
        <f>VLOOKUP(Tabla1[[#This Row],[PROGRAMA]],Hoja1!A:B,2,FALSE)</f>
        <v>1711. Parques y jardines</v>
      </c>
      <c r="W1757" s="35" t="str">
        <f>MID(Tabla1[[#This Row],[Aplicación]],14,2)</f>
        <v>22</v>
      </c>
      <c r="X1757" s="35" t="str">
        <f>MID(Tabla1[[#This Row],[Aplicación]],14,6)</f>
        <v>22199</v>
      </c>
    </row>
    <row r="1758" spans="1:24" x14ac:dyDescent="0.25">
      <c r="A1758" s="49">
        <v>220220005603</v>
      </c>
      <c r="B1758" s="50" t="s">
        <v>172</v>
      </c>
      <c r="C1758" s="57">
        <v>44614</v>
      </c>
      <c r="D1758" s="49">
        <v>22022001593</v>
      </c>
      <c r="E1758" s="50" t="s">
        <v>1581</v>
      </c>
      <c r="F1758" s="58">
        <v>39.69</v>
      </c>
      <c r="G1758" s="50" t="s">
        <v>226</v>
      </c>
      <c r="H1758" s="50" t="s">
        <v>688</v>
      </c>
      <c r="I1758" s="49" t="s">
        <v>173</v>
      </c>
      <c r="J1758" s="50" t="s">
        <v>109</v>
      </c>
      <c r="K1758" s="50" t="s">
        <v>109</v>
      </c>
      <c r="L1758" s="50" t="s">
        <v>15</v>
      </c>
      <c r="M1758" s="50" t="s">
        <v>13</v>
      </c>
      <c r="N1758" s="50" t="s">
        <v>14</v>
      </c>
      <c r="O1758" s="48" t="s">
        <v>631</v>
      </c>
      <c r="P1758" s="45" t="s">
        <v>453</v>
      </c>
      <c r="Q1758" s="35" t="str">
        <f>MID(Tabla1[[#This Row],[Aplicación]],14,1)</f>
        <v>2</v>
      </c>
      <c r="R1758" s="35" t="s">
        <v>441</v>
      </c>
      <c r="S1758" s="35" t="str">
        <f>MID(Tabla1[[#This Row],[Aplicación]],6,2)</f>
        <v>07</v>
      </c>
      <c r="T1758" s="35" t="str">
        <f>VLOOKUP(Tabla1[[#This Row],[AREA]],Hoja1!A:B,2,FALSE)</f>
        <v>07. Medio ambiente y desarrollo sostenible</v>
      </c>
      <c r="U1758" s="35" t="str">
        <f>MID(Tabla1[[#This Row],[Aplicación]],9,4)</f>
        <v>1711</v>
      </c>
      <c r="V1758" s="35" t="str">
        <f>VLOOKUP(Tabla1[[#This Row],[PROGRAMA]],Hoja1!A:B,2,FALSE)</f>
        <v>1711. Parques y jardines</v>
      </c>
      <c r="W1758" s="35" t="str">
        <f>MID(Tabla1[[#This Row],[Aplicación]],14,2)</f>
        <v>22</v>
      </c>
      <c r="X1758" s="35" t="str">
        <f>MID(Tabla1[[#This Row],[Aplicación]],14,6)</f>
        <v>22199</v>
      </c>
    </row>
    <row r="1759" spans="1:24" x14ac:dyDescent="0.25">
      <c r="A1759" s="49">
        <v>220219000881</v>
      </c>
      <c r="B1759" s="50" t="s">
        <v>9</v>
      </c>
      <c r="C1759" s="57">
        <v>44562</v>
      </c>
      <c r="D1759" s="49">
        <v>22022000099</v>
      </c>
      <c r="E1759" s="50" t="s">
        <v>1903</v>
      </c>
      <c r="F1759" s="58">
        <v>24805</v>
      </c>
      <c r="G1759" s="50" t="s">
        <v>959</v>
      </c>
      <c r="H1759" s="50" t="s">
        <v>3154</v>
      </c>
      <c r="I1759" s="49" t="s">
        <v>107</v>
      </c>
      <c r="J1759" s="50" t="s">
        <v>960</v>
      </c>
      <c r="K1759" s="50" t="s">
        <v>150</v>
      </c>
      <c r="L1759" s="50" t="s">
        <v>15</v>
      </c>
      <c r="M1759" s="50" t="s">
        <v>13</v>
      </c>
      <c r="N1759" s="50" t="s">
        <v>14</v>
      </c>
      <c r="O1759" s="48" t="s">
        <v>620</v>
      </c>
      <c r="P1759" s="45" t="s">
        <v>453</v>
      </c>
      <c r="Q1759" s="35" t="str">
        <f>MID(Tabla1[[#This Row],[Aplicación]],14,1)</f>
        <v>2</v>
      </c>
      <c r="R1759" s="35" t="s">
        <v>441</v>
      </c>
      <c r="S1759" s="35" t="str">
        <f>MID(Tabla1[[#This Row],[Aplicación]],6,2)</f>
        <v>11</v>
      </c>
      <c r="T1759" s="35" t="str">
        <f>VLOOKUP(Tabla1[[#This Row],[AREA]],Hoja1!A:B,2,FALSE)</f>
        <v>11. Salud pública y seguridad ciudadana</v>
      </c>
      <c r="U1759" s="35" t="str">
        <f>MID(Tabla1[[#This Row],[Aplicación]],9,4)</f>
        <v>1361</v>
      </c>
      <c r="V1759" s="35" t="str">
        <f>VLOOKUP(Tabla1[[#This Row],[PROGRAMA]],Hoja1!A:B,2,FALSE)</f>
        <v>1361. Prevención y extinción de incencios</v>
      </c>
      <c r="W1759" s="35" t="str">
        <f>MID(Tabla1[[#This Row],[Aplicación]],14,2)</f>
        <v>22</v>
      </c>
      <c r="X1759" s="35" t="str">
        <f>MID(Tabla1[[#This Row],[Aplicación]],14,6)</f>
        <v>22104</v>
      </c>
    </row>
    <row r="1760" spans="1:24" x14ac:dyDescent="0.25">
      <c r="A1760" s="49">
        <v>220219001260</v>
      </c>
      <c r="B1760" s="50" t="s">
        <v>9</v>
      </c>
      <c r="C1760" s="57">
        <v>44562</v>
      </c>
      <c r="D1760" s="49">
        <v>22022001809</v>
      </c>
      <c r="E1760" s="50" t="s">
        <v>1436</v>
      </c>
      <c r="F1760" s="58">
        <v>5000</v>
      </c>
      <c r="G1760" s="50" t="s">
        <v>1165</v>
      </c>
      <c r="H1760" s="50" t="s">
        <v>3155</v>
      </c>
      <c r="I1760" s="49" t="s">
        <v>107</v>
      </c>
      <c r="J1760" s="50" t="s">
        <v>109</v>
      </c>
      <c r="K1760" s="50" t="s">
        <v>109</v>
      </c>
      <c r="L1760" s="50" t="s">
        <v>12</v>
      </c>
      <c r="M1760" s="50" t="s">
        <v>10</v>
      </c>
      <c r="N1760" s="50" t="s">
        <v>11</v>
      </c>
      <c r="O1760" s="48" t="s">
        <v>632</v>
      </c>
      <c r="P1760" s="45" t="s">
        <v>453</v>
      </c>
      <c r="Q1760" s="35" t="str">
        <f>MID(Tabla1[[#This Row],[Aplicación]],14,1)</f>
        <v>2</v>
      </c>
      <c r="R1760" s="35" t="s">
        <v>441</v>
      </c>
      <c r="S1760" s="35" t="str">
        <f>MID(Tabla1[[#This Row],[Aplicación]],6,2)</f>
        <v>03</v>
      </c>
      <c r="T1760" s="35" t="str">
        <f>VLOOKUP(Tabla1[[#This Row],[AREA]],Hoja1!A:B,2,FALSE)</f>
        <v>03. Participación ciudadana y deportes</v>
      </c>
      <c r="U1760" s="35" t="str">
        <f>MID(Tabla1[[#This Row],[Aplicación]],9,4)</f>
        <v>9241</v>
      </c>
      <c r="V1760" s="35" t="str">
        <f>VLOOKUP(Tabla1[[#This Row],[PROGRAMA]],Hoja1!A:B,2,FALSE)</f>
        <v>9241. Participación ciudadana</v>
      </c>
      <c r="W1760" s="35" t="str">
        <f>MID(Tabla1[[#This Row],[Aplicación]],14,2)</f>
        <v>22</v>
      </c>
      <c r="X1760" s="35" t="str">
        <f>MID(Tabla1[[#This Row],[Aplicación]],14,6)</f>
        <v>22609</v>
      </c>
    </row>
    <row r="1761" spans="1:24" x14ac:dyDescent="0.25">
      <c r="A1761" s="49">
        <v>220220002258</v>
      </c>
      <c r="B1761" s="50" t="s">
        <v>9</v>
      </c>
      <c r="C1761" s="57">
        <v>44592</v>
      </c>
      <c r="D1761" s="49">
        <v>22022001694</v>
      </c>
      <c r="E1761" s="50" t="s">
        <v>1762</v>
      </c>
      <c r="F1761" s="58">
        <v>96.01</v>
      </c>
      <c r="G1761" s="50" t="s">
        <v>244</v>
      </c>
      <c r="H1761" s="50" t="s">
        <v>3156</v>
      </c>
      <c r="I1761" s="49" t="s">
        <v>107</v>
      </c>
      <c r="J1761" s="50" t="s">
        <v>108</v>
      </c>
      <c r="K1761" s="50" t="s">
        <v>108</v>
      </c>
      <c r="L1761" s="50" t="s">
        <v>15</v>
      </c>
      <c r="M1761" s="50" t="s">
        <v>10</v>
      </c>
      <c r="N1761" s="50" t="s">
        <v>11</v>
      </c>
      <c r="O1761" s="48" t="s">
        <v>632</v>
      </c>
      <c r="P1761" s="45" t="s">
        <v>453</v>
      </c>
      <c r="Q1761" s="35" t="str">
        <f>MID(Tabla1[[#This Row],[Aplicación]],14,1)</f>
        <v>2</v>
      </c>
      <c r="R1761" s="35" t="s">
        <v>441</v>
      </c>
      <c r="S1761" s="35" t="str">
        <f>MID(Tabla1[[#This Row],[Aplicación]],6,2)</f>
        <v>06</v>
      </c>
      <c r="T1761" s="35" t="str">
        <f>VLOOKUP(Tabla1[[#This Row],[AREA]],Hoja1!A:B,2,FALSE)</f>
        <v>06. Educación, infancia, juventud e igualdad</v>
      </c>
      <c r="U1761" s="35" t="str">
        <f>MID(Tabla1[[#This Row],[Aplicación]],9,4)</f>
        <v>3321</v>
      </c>
      <c r="V1761" s="35" t="str">
        <f>VLOOKUP(Tabla1[[#This Row],[PROGRAMA]],Hoja1!A:B,2,FALSE)</f>
        <v>3321. Bibliotecas públicas</v>
      </c>
      <c r="W1761" s="35" t="str">
        <f>MID(Tabla1[[#This Row],[Aplicación]],14,2)</f>
        <v>22</v>
      </c>
      <c r="X1761" s="35" t="str">
        <f>MID(Tabla1[[#This Row],[Aplicación]],14,6)</f>
        <v>22001</v>
      </c>
    </row>
    <row r="1762" spans="1:24" x14ac:dyDescent="0.25">
      <c r="A1762" s="49">
        <v>220220003115</v>
      </c>
      <c r="B1762" s="50" t="s">
        <v>26</v>
      </c>
      <c r="C1762" s="57">
        <v>44601</v>
      </c>
      <c r="D1762" s="49">
        <v>22022001811</v>
      </c>
      <c r="E1762" s="50" t="s">
        <v>2738</v>
      </c>
      <c r="F1762" s="58">
        <v>631.9</v>
      </c>
      <c r="G1762" s="50" t="s">
        <v>46</v>
      </c>
      <c r="H1762" s="50" t="s">
        <v>3157</v>
      </c>
      <c r="I1762" s="49" t="s">
        <v>197</v>
      </c>
      <c r="J1762" s="50" t="s">
        <v>109</v>
      </c>
      <c r="K1762" s="50" t="s">
        <v>109</v>
      </c>
      <c r="L1762" s="50" t="s">
        <v>12</v>
      </c>
      <c r="M1762" s="50" t="s">
        <v>13</v>
      </c>
      <c r="N1762" s="50" t="s">
        <v>14</v>
      </c>
      <c r="O1762" s="48" t="s">
        <v>620</v>
      </c>
      <c r="P1762" s="45" t="s">
        <v>453</v>
      </c>
      <c r="Q1762" s="35" t="str">
        <f>MID(Tabla1[[#This Row],[Aplicación]],14,1)</f>
        <v>2</v>
      </c>
      <c r="R1762" s="35" t="s">
        <v>441</v>
      </c>
      <c r="S1762" s="35" t="str">
        <f>MID(Tabla1[[#This Row],[Aplicación]],6,2)</f>
        <v>10</v>
      </c>
      <c r="T1762" s="35" t="str">
        <f>VLOOKUP(Tabla1[[#This Row],[AREA]],Hoja1!A:B,2,FALSE)</f>
        <v>10. Servicios sociales y mediación comunitaria</v>
      </c>
      <c r="U1762" s="35" t="str">
        <f>MID(Tabla1[[#This Row],[Aplicación]],9,4)</f>
        <v>2412</v>
      </c>
      <c r="V1762" s="35" t="str">
        <f>VLOOKUP(Tabla1[[#This Row],[PROGRAMA]],Hoja1!A:B,2,FALSE)</f>
        <v>2412. Formación para el empleo</v>
      </c>
      <c r="W1762" s="35" t="str">
        <f>MID(Tabla1[[#This Row],[Aplicación]],14,2)</f>
        <v>22</v>
      </c>
      <c r="X1762" s="35" t="str">
        <f>MID(Tabla1[[#This Row],[Aplicación]],14,6)</f>
        <v>22799</v>
      </c>
    </row>
    <row r="1763" spans="1:24" x14ac:dyDescent="0.25">
      <c r="A1763" s="49">
        <v>220220003115</v>
      </c>
      <c r="B1763" s="50" t="s">
        <v>26</v>
      </c>
      <c r="C1763" s="57">
        <v>44601</v>
      </c>
      <c r="D1763" s="49">
        <v>22022001812</v>
      </c>
      <c r="E1763" s="50" t="s">
        <v>2738</v>
      </c>
      <c r="F1763" s="58">
        <v>631.9</v>
      </c>
      <c r="G1763" s="50" t="s">
        <v>46</v>
      </c>
      <c r="H1763" s="50" t="s">
        <v>3157</v>
      </c>
      <c r="I1763" s="49" t="s">
        <v>197</v>
      </c>
      <c r="J1763" s="50" t="s">
        <v>109</v>
      </c>
      <c r="K1763" s="50" t="s">
        <v>109</v>
      </c>
      <c r="L1763" s="50" t="s">
        <v>12</v>
      </c>
      <c r="M1763" s="50" t="s">
        <v>13</v>
      </c>
      <c r="N1763" s="50" t="s">
        <v>14</v>
      </c>
      <c r="O1763" s="48" t="s">
        <v>620</v>
      </c>
      <c r="P1763" s="45" t="s">
        <v>453</v>
      </c>
      <c r="Q1763" s="35" t="str">
        <f>MID(Tabla1[[#This Row],[Aplicación]],14,1)</f>
        <v>2</v>
      </c>
      <c r="R1763" s="35" t="s">
        <v>441</v>
      </c>
      <c r="S1763" s="35" t="str">
        <f>MID(Tabla1[[#This Row],[Aplicación]],6,2)</f>
        <v>10</v>
      </c>
      <c r="T1763" s="35" t="str">
        <f>VLOOKUP(Tabla1[[#This Row],[AREA]],Hoja1!A:B,2,FALSE)</f>
        <v>10. Servicios sociales y mediación comunitaria</v>
      </c>
      <c r="U1763" s="35" t="str">
        <f>MID(Tabla1[[#This Row],[Aplicación]],9,4)</f>
        <v>2412</v>
      </c>
      <c r="V1763" s="35" t="str">
        <f>VLOOKUP(Tabla1[[#This Row],[PROGRAMA]],Hoja1!A:B,2,FALSE)</f>
        <v>2412. Formación para el empleo</v>
      </c>
      <c r="W1763" s="35" t="str">
        <f>MID(Tabla1[[#This Row],[Aplicación]],14,2)</f>
        <v>22</v>
      </c>
      <c r="X1763" s="35" t="str">
        <f>MID(Tabla1[[#This Row],[Aplicación]],14,6)</f>
        <v>22799</v>
      </c>
    </row>
    <row r="1764" spans="1:24" x14ac:dyDescent="0.25">
      <c r="A1764" s="49">
        <v>220220005929</v>
      </c>
      <c r="B1764" s="50" t="s">
        <v>9</v>
      </c>
      <c r="C1764" s="57">
        <v>44616</v>
      </c>
      <c r="D1764" s="49">
        <v>22022002366</v>
      </c>
      <c r="E1764" s="50" t="s">
        <v>3158</v>
      </c>
      <c r="F1764" s="58">
        <v>2000</v>
      </c>
      <c r="G1764" s="50" t="s">
        <v>1336</v>
      </c>
      <c r="H1764" s="50" t="s">
        <v>3159</v>
      </c>
      <c r="I1764" s="49" t="s">
        <v>107</v>
      </c>
      <c r="J1764" s="50" t="s">
        <v>1337</v>
      </c>
      <c r="K1764" s="50" t="s">
        <v>108</v>
      </c>
      <c r="L1764" s="50" t="s">
        <v>15</v>
      </c>
      <c r="M1764" s="50" t="s">
        <v>10</v>
      </c>
      <c r="N1764" s="50" t="s">
        <v>11</v>
      </c>
      <c r="O1764" s="48" t="s">
        <v>632</v>
      </c>
      <c r="P1764" s="45" t="s">
        <v>453</v>
      </c>
      <c r="Q1764" s="35" t="str">
        <f>MID(Tabla1[[#This Row],[Aplicación]],14,1)</f>
        <v>2</v>
      </c>
      <c r="R1764" s="35" t="s">
        <v>441</v>
      </c>
      <c r="S1764" s="35" t="str">
        <f>MID(Tabla1[[#This Row],[Aplicación]],6,2)</f>
        <v>06</v>
      </c>
      <c r="T1764" s="35" t="str">
        <f>VLOOKUP(Tabla1[[#This Row],[AREA]],Hoja1!A:B,2,FALSE)</f>
        <v>06. Educación, infancia, juventud e igualdad</v>
      </c>
      <c r="U1764" s="35" t="str">
        <f>MID(Tabla1[[#This Row],[Aplicación]],9,4)</f>
        <v>3321</v>
      </c>
      <c r="V1764" s="35" t="str">
        <f>VLOOKUP(Tabla1[[#This Row],[PROGRAMA]],Hoja1!A:B,2,FALSE)</f>
        <v>3321. Bibliotecas públicas</v>
      </c>
      <c r="W1764" s="35" t="str">
        <f>MID(Tabla1[[#This Row],[Aplicación]],14,2)</f>
        <v>22</v>
      </c>
      <c r="X1764" s="35" t="str">
        <f>MID(Tabla1[[#This Row],[Aplicación]],14,6)</f>
        <v>22199</v>
      </c>
    </row>
    <row r="1765" spans="1:24" x14ac:dyDescent="0.25">
      <c r="A1765" s="49">
        <v>220210078794</v>
      </c>
      <c r="B1765" s="50" t="s">
        <v>9</v>
      </c>
      <c r="C1765" s="57">
        <v>44620</v>
      </c>
      <c r="D1765" s="49">
        <v>22021007316</v>
      </c>
      <c r="E1765" s="50" t="s">
        <v>1410</v>
      </c>
      <c r="F1765" s="58">
        <v>838.84</v>
      </c>
      <c r="G1765" s="50" t="s">
        <v>932</v>
      </c>
      <c r="H1765" s="50" t="s">
        <v>1246</v>
      </c>
      <c r="I1765" s="49" t="s">
        <v>107</v>
      </c>
      <c r="J1765" s="50" t="s">
        <v>109</v>
      </c>
      <c r="K1765" s="50" t="s">
        <v>109</v>
      </c>
      <c r="L1765" s="50" t="s">
        <v>12</v>
      </c>
      <c r="M1765" s="50" t="s">
        <v>10</v>
      </c>
      <c r="N1765" s="50" t="s">
        <v>11</v>
      </c>
      <c r="O1765" s="48" t="s">
        <v>632</v>
      </c>
      <c r="P1765" s="45" t="s">
        <v>453</v>
      </c>
      <c r="Q1765" s="35" t="str">
        <f>MID(Tabla1[[#This Row],[Aplicación]],14,1)</f>
        <v>6</v>
      </c>
      <c r="R1765" s="35" t="s">
        <v>442</v>
      </c>
      <c r="S1765" s="35" t="str">
        <f>MID(Tabla1[[#This Row],[Aplicación]],6,2)</f>
        <v>03</v>
      </c>
      <c r="T1765" s="35" t="str">
        <f>VLOOKUP(Tabla1[[#This Row],[AREA]],Hoja1!A:B,2,FALSE)</f>
        <v>03. Participación ciudadana y deportes</v>
      </c>
      <c r="U1765" s="35" t="str">
        <f>MID(Tabla1[[#This Row],[Aplicación]],9,4)</f>
        <v>9241</v>
      </c>
      <c r="V1765" s="35" t="str">
        <f>VLOOKUP(Tabla1[[#This Row],[PROGRAMA]],Hoja1!A:B,2,FALSE)</f>
        <v>9241. Participación ciudadana</v>
      </c>
      <c r="W1765" s="35" t="str">
        <f>MID(Tabla1[[#This Row],[Aplicación]],14,2)</f>
        <v>63</v>
      </c>
      <c r="X1765" s="35" t="str">
        <f>MID(Tabla1[[#This Row],[Aplicación]],14,6)</f>
        <v>632</v>
      </c>
    </row>
    <row r="1766" spans="1:24" x14ac:dyDescent="0.25">
      <c r="A1766" s="49">
        <v>220220008275</v>
      </c>
      <c r="B1766" s="50" t="s">
        <v>9</v>
      </c>
      <c r="C1766" s="57">
        <v>44630</v>
      </c>
      <c r="D1766" s="49">
        <v>22022002684</v>
      </c>
      <c r="E1766" s="50" t="s">
        <v>1827</v>
      </c>
      <c r="F1766" s="58">
        <v>833.42</v>
      </c>
      <c r="G1766" s="50" t="s">
        <v>984</v>
      </c>
      <c r="H1766" s="50" t="s">
        <v>3160</v>
      </c>
      <c r="I1766" s="49" t="s">
        <v>107</v>
      </c>
      <c r="J1766" s="50" t="s">
        <v>108</v>
      </c>
      <c r="K1766" s="50" t="s">
        <v>108</v>
      </c>
      <c r="L1766" s="50" t="s">
        <v>12</v>
      </c>
      <c r="M1766" s="50" t="s">
        <v>10</v>
      </c>
      <c r="N1766" s="50" t="s">
        <v>11</v>
      </c>
      <c r="O1766" s="48" t="s">
        <v>632</v>
      </c>
      <c r="P1766" s="45" t="s">
        <v>453</v>
      </c>
      <c r="Q1766" s="35" t="str">
        <f>MID(Tabla1[[#This Row],[Aplicación]],14,1)</f>
        <v>2</v>
      </c>
      <c r="R1766" s="35" t="s">
        <v>441</v>
      </c>
      <c r="S1766" s="35" t="str">
        <f>MID(Tabla1[[#This Row],[Aplicación]],6,2)</f>
        <v>11</v>
      </c>
      <c r="T1766" s="35" t="str">
        <f>VLOOKUP(Tabla1[[#This Row],[AREA]],Hoja1!A:B,2,FALSE)</f>
        <v>11. Salud pública y seguridad ciudadana</v>
      </c>
      <c r="U1766" s="35" t="str">
        <f>MID(Tabla1[[#This Row],[Aplicación]],9,4)</f>
        <v>1361</v>
      </c>
      <c r="V1766" s="35" t="str">
        <f>VLOOKUP(Tabla1[[#This Row],[PROGRAMA]],Hoja1!A:B,2,FALSE)</f>
        <v>1361. Prevención y extinción de incencios</v>
      </c>
      <c r="W1766" s="35" t="str">
        <f>MID(Tabla1[[#This Row],[Aplicación]],14,2)</f>
        <v>21</v>
      </c>
      <c r="X1766" s="35" t="str">
        <f>MID(Tabla1[[#This Row],[Aplicación]],14,6)</f>
        <v>214</v>
      </c>
    </row>
    <row r="1767" spans="1:24" x14ac:dyDescent="0.25">
      <c r="A1767" s="49">
        <v>220220007103</v>
      </c>
      <c r="B1767" s="50" t="s">
        <v>9</v>
      </c>
      <c r="C1767" s="57">
        <v>44623</v>
      </c>
      <c r="D1767" s="49">
        <v>22022002502</v>
      </c>
      <c r="E1767" s="50" t="s">
        <v>1707</v>
      </c>
      <c r="F1767" s="58">
        <v>822.8</v>
      </c>
      <c r="G1767" s="50" t="s">
        <v>3161</v>
      </c>
      <c r="H1767" s="50" t="s">
        <v>3162</v>
      </c>
      <c r="I1767" s="49" t="s">
        <v>107</v>
      </c>
      <c r="J1767" s="50" t="s">
        <v>109</v>
      </c>
      <c r="K1767" s="50" t="s">
        <v>109</v>
      </c>
      <c r="L1767" s="50" t="s">
        <v>12</v>
      </c>
      <c r="M1767" s="50" t="s">
        <v>10</v>
      </c>
      <c r="N1767" s="50" t="s">
        <v>11</v>
      </c>
      <c r="O1767" s="48" t="s">
        <v>632</v>
      </c>
      <c r="P1767" s="45" t="s">
        <v>453</v>
      </c>
      <c r="Q1767" s="35" t="str">
        <f>MID(Tabla1[[#This Row],[Aplicación]],14,1)</f>
        <v>2</v>
      </c>
      <c r="R1767" s="35" t="s">
        <v>441</v>
      </c>
      <c r="S1767" s="35" t="str">
        <f>MID(Tabla1[[#This Row],[Aplicación]],6,2)</f>
        <v>10</v>
      </c>
      <c r="T1767" s="35" t="str">
        <f>VLOOKUP(Tabla1[[#This Row],[AREA]],Hoja1!A:B,2,FALSE)</f>
        <v>10. Servicios sociales y mediación comunitaria</v>
      </c>
      <c r="U1767" s="35" t="str">
        <f>MID(Tabla1[[#This Row],[Aplicación]],9,4)</f>
        <v>2312</v>
      </c>
      <c r="V1767" s="35" t="str">
        <f>VLOOKUP(Tabla1[[#This Row],[PROGRAMA]],Hoja1!A:B,2,FALSE)</f>
        <v>2312. Iniciativas sociales</v>
      </c>
      <c r="W1767" s="35" t="str">
        <f>MID(Tabla1[[#This Row],[Aplicación]],14,2)</f>
        <v>22</v>
      </c>
      <c r="X1767" s="35" t="str">
        <f>MID(Tabla1[[#This Row],[Aplicación]],14,6)</f>
        <v>22700</v>
      </c>
    </row>
    <row r="1768" spans="1:24" x14ac:dyDescent="0.25">
      <c r="A1768" s="49">
        <v>220220010323</v>
      </c>
      <c r="B1768" s="50" t="s">
        <v>9</v>
      </c>
      <c r="C1768" s="57">
        <v>44641</v>
      </c>
      <c r="D1768" s="49">
        <v>22022002898</v>
      </c>
      <c r="E1768" s="50" t="s">
        <v>1436</v>
      </c>
      <c r="F1768" s="58">
        <v>440</v>
      </c>
      <c r="G1768" s="50" t="s">
        <v>823</v>
      </c>
      <c r="H1768" s="50" t="s">
        <v>3163</v>
      </c>
      <c r="I1768" s="49" t="s">
        <v>107</v>
      </c>
      <c r="J1768" s="50" t="s">
        <v>806</v>
      </c>
      <c r="K1768" s="50" t="s">
        <v>109</v>
      </c>
      <c r="L1768" s="50" t="s">
        <v>12</v>
      </c>
      <c r="M1768" s="50" t="s">
        <v>10</v>
      </c>
      <c r="N1768" s="50" t="s">
        <v>11</v>
      </c>
      <c r="O1768" s="48" t="s">
        <v>632</v>
      </c>
      <c r="P1768" s="45" t="s">
        <v>453</v>
      </c>
      <c r="Q1768" s="35" t="str">
        <f>MID(Tabla1[[#This Row],[Aplicación]],14,1)</f>
        <v>2</v>
      </c>
      <c r="R1768" s="35" t="s">
        <v>441</v>
      </c>
      <c r="S1768" s="35" t="str">
        <f>MID(Tabla1[[#This Row],[Aplicación]],6,2)</f>
        <v>03</v>
      </c>
      <c r="T1768" s="35" t="str">
        <f>VLOOKUP(Tabla1[[#This Row],[AREA]],Hoja1!A:B,2,FALSE)</f>
        <v>03. Participación ciudadana y deportes</v>
      </c>
      <c r="U1768" s="35" t="str">
        <f>MID(Tabla1[[#This Row],[Aplicación]],9,4)</f>
        <v>9241</v>
      </c>
      <c r="V1768" s="35" t="str">
        <f>VLOOKUP(Tabla1[[#This Row],[PROGRAMA]],Hoja1!A:B,2,FALSE)</f>
        <v>9241. Participación ciudadana</v>
      </c>
      <c r="W1768" s="35" t="str">
        <f>MID(Tabla1[[#This Row],[Aplicación]],14,2)</f>
        <v>22</v>
      </c>
      <c r="X1768" s="35" t="str">
        <f>MID(Tabla1[[#This Row],[Aplicación]],14,6)</f>
        <v>22609</v>
      </c>
    </row>
    <row r="1769" spans="1:24" x14ac:dyDescent="0.25">
      <c r="A1769" s="49">
        <v>220220010304</v>
      </c>
      <c r="B1769" s="50" t="s">
        <v>9</v>
      </c>
      <c r="C1769" s="57">
        <v>44641</v>
      </c>
      <c r="D1769" s="49">
        <v>22022002723</v>
      </c>
      <c r="E1769" s="50" t="s">
        <v>2299</v>
      </c>
      <c r="F1769" s="58">
        <v>363</v>
      </c>
      <c r="G1769" s="50" t="s">
        <v>1114</v>
      </c>
      <c r="H1769" s="50" t="s">
        <v>3164</v>
      </c>
      <c r="I1769" s="49" t="s">
        <v>107</v>
      </c>
      <c r="J1769" s="50" t="s">
        <v>544</v>
      </c>
      <c r="K1769" s="50" t="s">
        <v>109</v>
      </c>
      <c r="L1769" s="50" t="s">
        <v>12</v>
      </c>
      <c r="M1769" s="50" t="s">
        <v>13</v>
      </c>
      <c r="N1769" s="50" t="s">
        <v>14</v>
      </c>
      <c r="O1769" s="48" t="s">
        <v>631</v>
      </c>
      <c r="P1769" s="45" t="s">
        <v>453</v>
      </c>
      <c r="Q1769" s="35" t="str">
        <f>MID(Tabla1[[#This Row],[Aplicación]],14,1)</f>
        <v>2</v>
      </c>
      <c r="R1769" s="35" t="s">
        <v>441</v>
      </c>
      <c r="S1769" s="35" t="str">
        <f>MID(Tabla1[[#This Row],[Aplicación]],6,2)</f>
        <v>01</v>
      </c>
      <c r="T1769" s="35" t="str">
        <f>VLOOKUP(Tabla1[[#This Row],[AREA]],Hoja1!A:B,2,FALSE)</f>
        <v>01. Alcaldía</v>
      </c>
      <c r="U1769" s="35" t="str">
        <f>MID(Tabla1[[#This Row],[Aplicación]],9,4)</f>
        <v>9207</v>
      </c>
      <c r="V1769" s="35" t="str">
        <f>VLOOKUP(Tabla1[[#This Row],[PROGRAMA]],Hoja1!A:B,2,FALSE)</f>
        <v>9207. Gobierno y relaciones</v>
      </c>
      <c r="W1769" s="35" t="str">
        <f>MID(Tabla1[[#This Row],[Aplicación]],14,2)</f>
        <v>22</v>
      </c>
      <c r="X1769" s="35" t="str">
        <f>MID(Tabla1[[#This Row],[Aplicación]],14,6)</f>
        <v>22602</v>
      </c>
    </row>
    <row r="1770" spans="1:24" x14ac:dyDescent="0.25">
      <c r="A1770" s="49">
        <v>220220006382</v>
      </c>
      <c r="B1770" s="50" t="s">
        <v>9</v>
      </c>
      <c r="C1770" s="57">
        <v>44617</v>
      </c>
      <c r="D1770" s="49">
        <v>22022002500</v>
      </c>
      <c r="E1770" s="50" t="s">
        <v>1736</v>
      </c>
      <c r="F1770" s="58">
        <v>813.12</v>
      </c>
      <c r="G1770" s="50" t="s">
        <v>3069</v>
      </c>
      <c r="H1770" s="50" t="s">
        <v>3165</v>
      </c>
      <c r="I1770" s="49" t="s">
        <v>107</v>
      </c>
      <c r="J1770" s="50" t="s">
        <v>109</v>
      </c>
      <c r="K1770" s="50" t="s">
        <v>109</v>
      </c>
      <c r="L1770" s="50" t="s">
        <v>12</v>
      </c>
      <c r="M1770" s="50" t="s">
        <v>10</v>
      </c>
      <c r="N1770" s="50" t="s">
        <v>11</v>
      </c>
      <c r="O1770" s="48" t="s">
        <v>632</v>
      </c>
      <c r="P1770" s="45" t="s">
        <v>453</v>
      </c>
      <c r="Q1770" s="35" t="str">
        <f>MID(Tabla1[[#This Row],[Aplicación]],14,1)</f>
        <v>2</v>
      </c>
      <c r="R1770" s="35" t="s">
        <v>441</v>
      </c>
      <c r="S1770" s="35" t="str">
        <f>MID(Tabla1[[#This Row],[Aplicación]],6,2)</f>
        <v>07</v>
      </c>
      <c r="T1770" s="35" t="str">
        <f>VLOOKUP(Tabla1[[#This Row],[AREA]],Hoja1!A:B,2,FALSE)</f>
        <v>07. Medio ambiente y desarrollo sostenible</v>
      </c>
      <c r="U1770" s="35" t="str">
        <f>MID(Tabla1[[#This Row],[Aplicación]],9,4)</f>
        <v>1701</v>
      </c>
      <c r="V1770" s="35" t="str">
        <f>VLOOKUP(Tabla1[[#This Row],[PROGRAMA]],Hoja1!A:B,2,FALSE)</f>
        <v>1701. Dirección del área de medio ambiente</v>
      </c>
      <c r="W1770" s="35" t="str">
        <f>MID(Tabla1[[#This Row],[Aplicación]],14,2)</f>
        <v>21</v>
      </c>
      <c r="X1770" s="35" t="str">
        <f>MID(Tabla1[[#This Row],[Aplicación]],14,6)</f>
        <v>213</v>
      </c>
    </row>
    <row r="1771" spans="1:24" x14ac:dyDescent="0.25">
      <c r="A1771" s="49">
        <v>220220000074</v>
      </c>
      <c r="B1771" s="50" t="s">
        <v>9</v>
      </c>
      <c r="C1771" s="57">
        <v>44580</v>
      </c>
      <c r="D1771" s="49">
        <v>22022000897</v>
      </c>
      <c r="E1771" s="50" t="s">
        <v>1701</v>
      </c>
      <c r="F1771" s="58">
        <v>800</v>
      </c>
      <c r="G1771" s="50" t="s">
        <v>255</v>
      </c>
      <c r="H1771" s="50" t="s">
        <v>3166</v>
      </c>
      <c r="I1771" s="49" t="s">
        <v>107</v>
      </c>
      <c r="J1771" s="50" t="s">
        <v>552</v>
      </c>
      <c r="K1771" s="50" t="s">
        <v>109</v>
      </c>
      <c r="L1771" s="50" t="s">
        <v>12</v>
      </c>
      <c r="M1771" s="50" t="s">
        <v>10</v>
      </c>
      <c r="N1771" s="50" t="s">
        <v>11</v>
      </c>
      <c r="O1771" s="48" t="s">
        <v>632</v>
      </c>
      <c r="P1771" s="45" t="s">
        <v>453</v>
      </c>
      <c r="Q1771" s="35" t="str">
        <f>MID(Tabla1[[#This Row],[Aplicación]],14,1)</f>
        <v>2</v>
      </c>
      <c r="R1771" s="35" t="s">
        <v>441</v>
      </c>
      <c r="S1771" s="35" t="str">
        <f>MID(Tabla1[[#This Row],[Aplicación]],6,2)</f>
        <v>11</v>
      </c>
      <c r="T1771" s="35" t="str">
        <f>VLOOKUP(Tabla1[[#This Row],[AREA]],Hoja1!A:B,2,FALSE)</f>
        <v>11. Salud pública y seguridad ciudadana</v>
      </c>
      <c r="U1771" s="35" t="str">
        <f>MID(Tabla1[[#This Row],[Aplicación]],9,4)</f>
        <v>1621</v>
      </c>
      <c r="V1771" s="35" t="str">
        <f>VLOOKUP(Tabla1[[#This Row],[PROGRAMA]],Hoja1!A:B,2,FALSE)</f>
        <v>1621. Servicio de limpieza</v>
      </c>
      <c r="W1771" s="35" t="str">
        <f>MID(Tabla1[[#This Row],[Aplicación]],14,2)</f>
        <v>21</v>
      </c>
      <c r="X1771" s="35" t="str">
        <f>MID(Tabla1[[#This Row],[Aplicación]],14,6)</f>
        <v>212</v>
      </c>
    </row>
    <row r="1772" spans="1:24" x14ac:dyDescent="0.25">
      <c r="A1772" s="49">
        <v>220220002308</v>
      </c>
      <c r="B1772" s="50" t="s">
        <v>9</v>
      </c>
      <c r="C1772" s="57">
        <v>44594</v>
      </c>
      <c r="D1772" s="49">
        <v>22022001792</v>
      </c>
      <c r="E1772" s="50" t="s">
        <v>1579</v>
      </c>
      <c r="F1772" s="58">
        <v>754.62</v>
      </c>
      <c r="G1772" s="50" t="s">
        <v>211</v>
      </c>
      <c r="H1772" s="50" t="s">
        <v>3167</v>
      </c>
      <c r="I1772" s="49" t="s">
        <v>107</v>
      </c>
      <c r="J1772" s="50" t="s">
        <v>109</v>
      </c>
      <c r="K1772" s="50" t="s">
        <v>109</v>
      </c>
      <c r="L1772" s="50" t="s">
        <v>15</v>
      </c>
      <c r="M1772" s="50" t="s">
        <v>10</v>
      </c>
      <c r="N1772" s="50" t="s">
        <v>11</v>
      </c>
      <c r="O1772" s="48" t="s">
        <v>632</v>
      </c>
      <c r="P1772" s="45" t="s">
        <v>453</v>
      </c>
      <c r="Q1772" s="35" t="str">
        <f>MID(Tabla1[[#This Row],[Aplicación]],14,1)</f>
        <v>2</v>
      </c>
      <c r="R1772" s="35" t="s">
        <v>441</v>
      </c>
      <c r="S1772" s="35" t="str">
        <f>MID(Tabla1[[#This Row],[Aplicación]],6,2)</f>
        <v>10</v>
      </c>
      <c r="T1772" s="35" t="str">
        <f>VLOOKUP(Tabla1[[#This Row],[AREA]],Hoja1!A:B,2,FALSE)</f>
        <v>10. Servicios sociales y mediación comunitaria</v>
      </c>
      <c r="U1772" s="35" t="str">
        <f>MID(Tabla1[[#This Row],[Aplicación]],9,4)</f>
        <v>2412</v>
      </c>
      <c r="V1772" s="35" t="str">
        <f>VLOOKUP(Tabla1[[#This Row],[PROGRAMA]],Hoja1!A:B,2,FALSE)</f>
        <v>2412. Formación para el empleo</v>
      </c>
      <c r="W1772" s="35" t="str">
        <f>MID(Tabla1[[#This Row],[Aplicación]],14,2)</f>
        <v>22</v>
      </c>
      <c r="X1772" s="35" t="str">
        <f>MID(Tabla1[[#This Row],[Aplicación]],14,6)</f>
        <v>22199</v>
      </c>
    </row>
    <row r="1773" spans="1:24" x14ac:dyDescent="0.25">
      <c r="A1773" s="49">
        <v>220209000857</v>
      </c>
      <c r="B1773" s="50" t="s">
        <v>9</v>
      </c>
      <c r="C1773" s="57">
        <v>44562</v>
      </c>
      <c r="D1773" s="49">
        <v>22022000318</v>
      </c>
      <c r="E1773" s="50" t="s">
        <v>2603</v>
      </c>
      <c r="F1773" s="58">
        <v>743.59</v>
      </c>
      <c r="G1773" s="50" t="s">
        <v>480</v>
      </c>
      <c r="H1773" s="50" t="s">
        <v>776</v>
      </c>
      <c r="I1773" s="49" t="s">
        <v>107</v>
      </c>
      <c r="J1773" s="50" t="s">
        <v>109</v>
      </c>
      <c r="K1773" s="50" t="s">
        <v>109</v>
      </c>
      <c r="L1773" s="50" t="s">
        <v>12</v>
      </c>
      <c r="M1773" s="50" t="s">
        <v>13</v>
      </c>
      <c r="N1773" s="50" t="s">
        <v>14</v>
      </c>
      <c r="O1773" s="48" t="s">
        <v>620</v>
      </c>
      <c r="P1773" s="45" t="s">
        <v>453</v>
      </c>
      <c r="Q1773" s="35" t="str">
        <f>MID(Tabla1[[#This Row],[Aplicación]],14,1)</f>
        <v>2</v>
      </c>
      <c r="R1773" s="35" t="s">
        <v>441</v>
      </c>
      <c r="S1773" s="35" t="str">
        <f>MID(Tabla1[[#This Row],[Aplicación]],6,2)</f>
        <v>04</v>
      </c>
      <c r="T1773" s="35" t="str">
        <f>VLOOKUP(Tabla1[[#This Row],[AREA]],Hoja1!A:B,2,FALSE)</f>
        <v>04. Planificación y recursos</v>
      </c>
      <c r="U1773" s="35" t="str">
        <f>MID(Tabla1[[#This Row],[Aplicación]],9,4)</f>
        <v>3121</v>
      </c>
      <c r="V1773" s="35" t="str">
        <f>VLOOKUP(Tabla1[[#This Row],[PROGRAMA]],Hoja1!A:B,2,FALSE)</f>
        <v>3121. Prevención y salud laboral</v>
      </c>
      <c r="W1773" s="35" t="str">
        <f>MID(Tabla1[[#This Row],[Aplicación]],14,2)</f>
        <v>22</v>
      </c>
      <c r="X1773" s="35" t="str">
        <f>MID(Tabla1[[#This Row],[Aplicación]],14,6)</f>
        <v>22706</v>
      </c>
    </row>
    <row r="1774" spans="1:24" x14ac:dyDescent="0.25">
      <c r="A1774" s="49">
        <v>220219000523</v>
      </c>
      <c r="B1774" s="50" t="s">
        <v>9</v>
      </c>
      <c r="C1774" s="57">
        <v>44562</v>
      </c>
      <c r="D1774" s="49">
        <v>22022000073</v>
      </c>
      <c r="E1774" s="50" t="s">
        <v>2818</v>
      </c>
      <c r="F1774" s="58">
        <v>49603.53</v>
      </c>
      <c r="G1774" s="50" t="s">
        <v>467</v>
      </c>
      <c r="H1774" s="50" t="s">
        <v>540</v>
      </c>
      <c r="I1774" s="49" t="s">
        <v>107</v>
      </c>
      <c r="J1774" s="50" t="s">
        <v>541</v>
      </c>
      <c r="K1774" s="50" t="s">
        <v>1039</v>
      </c>
      <c r="L1774" s="50" t="s">
        <v>15</v>
      </c>
      <c r="M1774" s="50" t="s">
        <v>13</v>
      </c>
      <c r="N1774" s="50" t="s">
        <v>16</v>
      </c>
      <c r="O1774" s="48" t="s">
        <v>620</v>
      </c>
      <c r="P1774" s="45" t="s">
        <v>453</v>
      </c>
      <c r="Q1774" s="35" t="str">
        <f>MID(Tabla1[[#This Row],[Aplicación]],14,1)</f>
        <v>2</v>
      </c>
      <c r="R1774" s="35" t="s">
        <v>441</v>
      </c>
      <c r="S1774" s="35" t="str">
        <f>MID(Tabla1[[#This Row],[Aplicación]],6,2)</f>
        <v>04</v>
      </c>
      <c r="T1774" s="35" t="str">
        <f>VLOOKUP(Tabla1[[#This Row],[AREA]],Hoja1!A:B,2,FALSE)</f>
        <v>04. Planificación y recursos</v>
      </c>
      <c r="U1774" s="35" t="str">
        <f>MID(Tabla1[[#This Row],[Aplicación]],9,4)</f>
        <v>9204</v>
      </c>
      <c r="V1774" s="35" t="str">
        <f>VLOOKUP(Tabla1[[#This Row],[PROGRAMA]],Hoja1!A:B,2,FALSE)</f>
        <v>9204. Tecnologías de la información y comunicación</v>
      </c>
      <c r="W1774" s="35" t="str">
        <f>MID(Tabla1[[#This Row],[Aplicación]],14,2)</f>
        <v>22</v>
      </c>
      <c r="X1774" s="35" t="str">
        <f>MID(Tabla1[[#This Row],[Aplicación]],14,6)</f>
        <v>22002</v>
      </c>
    </row>
    <row r="1775" spans="1:24" x14ac:dyDescent="0.25">
      <c r="A1775" s="49">
        <v>220220001714</v>
      </c>
      <c r="B1775" s="50" t="s">
        <v>9</v>
      </c>
      <c r="C1775" s="57">
        <v>44588</v>
      </c>
      <c r="D1775" s="49">
        <v>22022001662</v>
      </c>
      <c r="E1775" s="50" t="s">
        <v>2993</v>
      </c>
      <c r="F1775" s="58">
        <v>738.1</v>
      </c>
      <c r="G1775" s="50" t="s">
        <v>1004</v>
      </c>
      <c r="H1775" s="50" t="s">
        <v>3168</v>
      </c>
      <c r="I1775" s="49" t="s">
        <v>107</v>
      </c>
      <c r="J1775" s="50" t="s">
        <v>109</v>
      </c>
      <c r="K1775" s="50" t="s">
        <v>109</v>
      </c>
      <c r="L1775" s="50" t="s">
        <v>12</v>
      </c>
      <c r="M1775" s="50" t="s">
        <v>10</v>
      </c>
      <c r="N1775" s="50" t="s">
        <v>11</v>
      </c>
      <c r="O1775" s="48" t="s">
        <v>632</v>
      </c>
      <c r="P1775" s="45" t="s">
        <v>453</v>
      </c>
      <c r="Q1775" s="35" t="str">
        <f>MID(Tabla1[[#This Row],[Aplicación]],14,1)</f>
        <v>2</v>
      </c>
      <c r="R1775" s="35" t="s">
        <v>441</v>
      </c>
      <c r="S1775" s="35" t="str">
        <f>MID(Tabla1[[#This Row],[Aplicación]],6,2)</f>
        <v>10</v>
      </c>
      <c r="T1775" s="35" t="str">
        <f>VLOOKUP(Tabla1[[#This Row],[AREA]],Hoja1!A:B,2,FALSE)</f>
        <v>10. Servicios sociales y mediación comunitaria</v>
      </c>
      <c r="U1775" s="35" t="str">
        <f>MID(Tabla1[[#This Row],[Aplicación]],9,4)</f>
        <v>2316</v>
      </c>
      <c r="V1775" s="35" t="str">
        <f>VLOOKUP(Tabla1[[#This Row],[PROGRAMA]],Hoja1!A:B,2,FALSE)</f>
        <v>2316. Mediación comunitaria</v>
      </c>
      <c r="W1775" s="35" t="str">
        <f>MID(Tabla1[[#This Row],[Aplicación]],14,2)</f>
        <v>22</v>
      </c>
      <c r="X1775" s="35" t="str">
        <f>MID(Tabla1[[#This Row],[Aplicación]],14,6)</f>
        <v>22699</v>
      </c>
    </row>
    <row r="1776" spans="1:24" x14ac:dyDescent="0.25">
      <c r="A1776" s="49">
        <v>220220003129</v>
      </c>
      <c r="B1776" s="50" t="s">
        <v>26</v>
      </c>
      <c r="C1776" s="57">
        <v>44601</v>
      </c>
      <c r="D1776" s="49">
        <v>22022001848</v>
      </c>
      <c r="E1776" s="50" t="s">
        <v>1361</v>
      </c>
      <c r="F1776" s="58">
        <v>720</v>
      </c>
      <c r="G1776" s="50" t="s">
        <v>462</v>
      </c>
      <c r="H1776" s="50" t="s">
        <v>3169</v>
      </c>
      <c r="I1776" s="49" t="s">
        <v>197</v>
      </c>
      <c r="J1776" s="50" t="s">
        <v>109</v>
      </c>
      <c r="K1776" s="50" t="s">
        <v>109</v>
      </c>
      <c r="L1776" s="50" t="s">
        <v>12</v>
      </c>
      <c r="M1776" s="50" t="s">
        <v>10</v>
      </c>
      <c r="N1776" s="50" t="s">
        <v>11</v>
      </c>
      <c r="O1776" s="48" t="s">
        <v>632</v>
      </c>
      <c r="P1776" s="45" t="s">
        <v>453</v>
      </c>
      <c r="Q1776" s="35" t="str">
        <f>MID(Tabla1[[#This Row],[Aplicación]],14,1)</f>
        <v>2</v>
      </c>
      <c r="R1776" s="35" t="s">
        <v>441</v>
      </c>
      <c r="S1776" s="35" t="str">
        <f>MID(Tabla1[[#This Row],[Aplicación]],6,2)</f>
        <v>10</v>
      </c>
      <c r="T1776" s="35" t="str">
        <f>VLOOKUP(Tabla1[[#This Row],[AREA]],Hoja1!A:B,2,FALSE)</f>
        <v>10. Servicios sociales y mediación comunitaria</v>
      </c>
      <c r="U1776" s="35" t="str">
        <f>MID(Tabla1[[#This Row],[Aplicación]],9,4)</f>
        <v>2311</v>
      </c>
      <c r="V1776" s="35" t="str">
        <f>VLOOKUP(Tabla1[[#This Row],[PROGRAMA]],Hoja1!A:B,2,FALSE)</f>
        <v>2311. Intervención social</v>
      </c>
      <c r="W1776" s="35" t="str">
        <f>MID(Tabla1[[#This Row],[Aplicación]],14,2)</f>
        <v>22</v>
      </c>
      <c r="X1776" s="35" t="str">
        <f>MID(Tabla1[[#This Row],[Aplicación]],14,6)</f>
        <v>22799</v>
      </c>
    </row>
    <row r="1777" spans="1:24" x14ac:dyDescent="0.25">
      <c r="A1777" s="49">
        <v>220220009366</v>
      </c>
      <c r="B1777" s="50" t="s">
        <v>9</v>
      </c>
      <c r="C1777" s="57">
        <v>44636</v>
      </c>
      <c r="D1777" s="49">
        <v>22022002844</v>
      </c>
      <c r="E1777" s="50" t="s">
        <v>3122</v>
      </c>
      <c r="F1777" s="58">
        <v>716.56</v>
      </c>
      <c r="G1777" s="50" t="s">
        <v>3170</v>
      </c>
      <c r="H1777" s="50" t="s">
        <v>3171</v>
      </c>
      <c r="I1777" s="49" t="s">
        <v>107</v>
      </c>
      <c r="J1777" s="50" t="s">
        <v>108</v>
      </c>
      <c r="K1777" s="50" t="s">
        <v>108</v>
      </c>
      <c r="L1777" s="50" t="s">
        <v>15</v>
      </c>
      <c r="M1777" s="50" t="s">
        <v>10</v>
      </c>
      <c r="N1777" s="50" t="s">
        <v>11</v>
      </c>
      <c r="O1777" s="48" t="s">
        <v>632</v>
      </c>
      <c r="P1777" s="45" t="s">
        <v>453</v>
      </c>
      <c r="Q1777" s="35" t="str">
        <f>MID(Tabla1[[#This Row],[Aplicación]],14,1)</f>
        <v>2</v>
      </c>
      <c r="R1777" s="35" t="s">
        <v>441</v>
      </c>
      <c r="S1777" s="35" t="str">
        <f>MID(Tabla1[[#This Row],[Aplicación]],6,2)</f>
        <v>11</v>
      </c>
      <c r="T1777" s="35" t="str">
        <f>VLOOKUP(Tabla1[[#This Row],[AREA]],Hoja1!A:B,2,FALSE)</f>
        <v>11. Salud pública y seguridad ciudadana</v>
      </c>
      <c r="U1777" s="35" t="str">
        <f>MID(Tabla1[[#This Row],[Aplicación]],9,4)</f>
        <v>1621</v>
      </c>
      <c r="V1777" s="35" t="str">
        <f>VLOOKUP(Tabla1[[#This Row],[PROGRAMA]],Hoja1!A:B,2,FALSE)</f>
        <v>1621. Servicio de limpieza</v>
      </c>
      <c r="W1777" s="35" t="str">
        <f>MID(Tabla1[[#This Row],[Aplicación]],14,2)</f>
        <v>22</v>
      </c>
      <c r="X1777" s="35" t="str">
        <f>MID(Tabla1[[#This Row],[Aplicación]],14,6)</f>
        <v>22110</v>
      </c>
    </row>
    <row r="1778" spans="1:24" x14ac:dyDescent="0.25">
      <c r="A1778" s="49">
        <v>220219000320</v>
      </c>
      <c r="B1778" s="50" t="s">
        <v>9</v>
      </c>
      <c r="C1778" s="57">
        <v>44562</v>
      </c>
      <c r="D1778" s="49">
        <v>22022002153</v>
      </c>
      <c r="E1778" s="50" t="s">
        <v>1424</v>
      </c>
      <c r="F1778" s="58">
        <v>564.96</v>
      </c>
      <c r="G1778" s="50" t="s">
        <v>102</v>
      </c>
      <c r="H1778" s="50" t="s">
        <v>3172</v>
      </c>
      <c r="I1778" s="49" t="s">
        <v>107</v>
      </c>
      <c r="J1778" s="50" t="s">
        <v>108</v>
      </c>
      <c r="K1778" s="50" t="s">
        <v>108</v>
      </c>
      <c r="L1778" s="50" t="s">
        <v>12</v>
      </c>
      <c r="M1778" s="50" t="s">
        <v>13</v>
      </c>
      <c r="N1778" s="50" t="s">
        <v>14</v>
      </c>
      <c r="O1778" s="48" t="s">
        <v>620</v>
      </c>
      <c r="P1778" s="45" t="s">
        <v>453</v>
      </c>
      <c r="Q1778" s="35" t="str">
        <f>MID(Tabla1[[#This Row],[Aplicación]],14,1)</f>
        <v>6</v>
      </c>
      <c r="R1778" s="35" t="s">
        <v>442</v>
      </c>
      <c r="S1778" s="35" t="str">
        <f>MID(Tabla1[[#This Row],[Aplicación]],6,2)</f>
        <v>06</v>
      </c>
      <c r="T1778" s="35" t="str">
        <f>VLOOKUP(Tabla1[[#This Row],[AREA]],Hoja1!A:B,2,FALSE)</f>
        <v>06. Educación, infancia, juventud e igualdad</v>
      </c>
      <c r="U1778" s="35" t="str">
        <f>MID(Tabla1[[#This Row],[Aplicación]],9,4)</f>
        <v>3321</v>
      </c>
      <c r="V1778" s="35" t="str">
        <f>VLOOKUP(Tabla1[[#This Row],[PROGRAMA]],Hoja1!A:B,2,FALSE)</f>
        <v>3321. Bibliotecas públicas</v>
      </c>
      <c r="W1778" s="35" t="str">
        <f>MID(Tabla1[[#This Row],[Aplicación]],14,2)</f>
        <v>62</v>
      </c>
      <c r="X1778" s="35" t="str">
        <f>MID(Tabla1[[#This Row],[Aplicación]],14,6)</f>
        <v>622</v>
      </c>
    </row>
    <row r="1779" spans="1:24" x14ac:dyDescent="0.25">
      <c r="A1779" s="49">
        <v>220219000397</v>
      </c>
      <c r="B1779" s="50" t="s">
        <v>9</v>
      </c>
      <c r="C1779" s="57">
        <v>44562</v>
      </c>
      <c r="D1779" s="49">
        <v>22022000513</v>
      </c>
      <c r="E1779" s="50" t="s">
        <v>3173</v>
      </c>
      <c r="F1779" s="58">
        <v>550</v>
      </c>
      <c r="G1779" s="50" t="s">
        <v>158</v>
      </c>
      <c r="H1779" s="50" t="s">
        <v>3174</v>
      </c>
      <c r="I1779" s="49" t="s">
        <v>107</v>
      </c>
      <c r="J1779" s="50" t="s">
        <v>108</v>
      </c>
      <c r="K1779" s="50" t="s">
        <v>108</v>
      </c>
      <c r="L1779" s="50" t="s">
        <v>15</v>
      </c>
      <c r="M1779" s="50" t="s">
        <v>13</v>
      </c>
      <c r="N1779" s="50" t="s">
        <v>14</v>
      </c>
      <c r="O1779" s="48" t="s">
        <v>620</v>
      </c>
      <c r="P1779" s="45" t="s">
        <v>453</v>
      </c>
      <c r="Q1779" s="35" t="str">
        <f>MID(Tabla1[[#This Row],[Aplicación]],14,1)</f>
        <v>2</v>
      </c>
      <c r="R1779" s="35" t="s">
        <v>441</v>
      </c>
      <c r="S1779" s="35" t="str">
        <f>MID(Tabla1[[#This Row],[Aplicación]],6,2)</f>
        <v>10</v>
      </c>
      <c r="T1779" s="35" t="str">
        <f>VLOOKUP(Tabla1[[#This Row],[AREA]],Hoja1!A:B,2,FALSE)</f>
        <v>10. Servicios sociales y mediación comunitaria</v>
      </c>
      <c r="U1779" s="35" t="str">
        <f>MID(Tabla1[[#This Row],[Aplicación]],9,4)</f>
        <v>2412</v>
      </c>
      <c r="V1779" s="35" t="str">
        <f>VLOOKUP(Tabla1[[#This Row],[PROGRAMA]],Hoja1!A:B,2,FALSE)</f>
        <v>2412. Formación para el empleo</v>
      </c>
      <c r="W1779" s="35" t="str">
        <f>MID(Tabla1[[#This Row],[Aplicación]],14,2)</f>
        <v>22</v>
      </c>
      <c r="X1779" s="35" t="str">
        <f>MID(Tabla1[[#This Row],[Aplicación]],14,6)</f>
        <v>22103</v>
      </c>
    </row>
    <row r="1780" spans="1:24" x14ac:dyDescent="0.25">
      <c r="A1780" s="49">
        <v>220220003132</v>
      </c>
      <c r="B1780" s="50" t="s">
        <v>26</v>
      </c>
      <c r="C1780" s="57">
        <v>44601</v>
      </c>
      <c r="D1780" s="49">
        <v>22022001856</v>
      </c>
      <c r="E1780" s="50" t="s">
        <v>1864</v>
      </c>
      <c r="F1780" s="58">
        <v>709.5</v>
      </c>
      <c r="G1780" s="50" t="s">
        <v>264</v>
      </c>
      <c r="H1780" s="50" t="s">
        <v>3175</v>
      </c>
      <c r="I1780" s="49" t="s">
        <v>197</v>
      </c>
      <c r="J1780" s="50" t="s">
        <v>109</v>
      </c>
      <c r="K1780" s="50" t="s">
        <v>109</v>
      </c>
      <c r="L1780" s="50" t="s">
        <v>12</v>
      </c>
      <c r="M1780" s="50" t="s">
        <v>10</v>
      </c>
      <c r="N1780" s="50" t="s">
        <v>11</v>
      </c>
      <c r="O1780" s="48" t="s">
        <v>632</v>
      </c>
      <c r="P1780" s="45" t="s">
        <v>453</v>
      </c>
      <c r="Q1780" s="35" t="str">
        <f>MID(Tabla1[[#This Row],[Aplicación]],14,1)</f>
        <v>2</v>
      </c>
      <c r="R1780" s="35" t="s">
        <v>441</v>
      </c>
      <c r="S1780" s="35" t="str">
        <f>MID(Tabla1[[#This Row],[Aplicación]],6,2)</f>
        <v>04</v>
      </c>
      <c r="T1780" s="35" t="str">
        <f>VLOOKUP(Tabla1[[#This Row],[AREA]],Hoja1!A:B,2,FALSE)</f>
        <v>04. Planificación y recursos</v>
      </c>
      <c r="U1780" s="35" t="str">
        <f>MID(Tabla1[[#This Row],[Aplicación]],9,4)</f>
        <v>9202</v>
      </c>
      <c r="V1780" s="35" t="str">
        <f>VLOOKUP(Tabla1[[#This Row],[PROGRAMA]],Hoja1!A:B,2,FALSE)</f>
        <v>9202. Gestión de recursos humanos</v>
      </c>
      <c r="W1780" s="35" t="str">
        <f>MID(Tabla1[[#This Row],[Aplicación]],14,2)</f>
        <v>22</v>
      </c>
      <c r="X1780" s="35" t="str">
        <f>MID(Tabla1[[#This Row],[Aplicación]],14,6)</f>
        <v>22607</v>
      </c>
    </row>
    <row r="1781" spans="1:24" x14ac:dyDescent="0.25">
      <c r="A1781" s="49">
        <v>220220002191</v>
      </c>
      <c r="B1781" s="50" t="s">
        <v>9</v>
      </c>
      <c r="C1781" s="57">
        <v>44592</v>
      </c>
      <c r="D1781" s="49">
        <v>22022001645</v>
      </c>
      <c r="E1781" s="50" t="s">
        <v>1606</v>
      </c>
      <c r="F1781" s="58">
        <v>700</v>
      </c>
      <c r="G1781" s="50" t="s">
        <v>847</v>
      </c>
      <c r="H1781" s="50" t="s">
        <v>3176</v>
      </c>
      <c r="I1781" s="49" t="s">
        <v>107</v>
      </c>
      <c r="J1781" s="50" t="s">
        <v>109</v>
      </c>
      <c r="K1781" s="50" t="s">
        <v>109</v>
      </c>
      <c r="L1781" s="50" t="s">
        <v>12</v>
      </c>
      <c r="M1781" s="50" t="s">
        <v>10</v>
      </c>
      <c r="N1781" s="50" t="s">
        <v>11</v>
      </c>
      <c r="O1781" s="48" t="s">
        <v>632</v>
      </c>
      <c r="P1781" s="45" t="s">
        <v>453</v>
      </c>
      <c r="Q1781" s="35" t="str">
        <f>MID(Tabla1[[#This Row],[Aplicación]],14,1)</f>
        <v>2</v>
      </c>
      <c r="R1781" s="35" t="s">
        <v>441</v>
      </c>
      <c r="S1781" s="35" t="str">
        <f>MID(Tabla1[[#This Row],[Aplicación]],6,2)</f>
        <v>11</v>
      </c>
      <c r="T1781" s="35" t="str">
        <f>VLOOKUP(Tabla1[[#This Row],[AREA]],Hoja1!A:B,2,FALSE)</f>
        <v>11. Salud pública y seguridad ciudadana</v>
      </c>
      <c r="U1781" s="35" t="str">
        <f>MID(Tabla1[[#This Row],[Aplicación]],9,4)</f>
        <v>1361</v>
      </c>
      <c r="V1781" s="35" t="str">
        <f>VLOOKUP(Tabla1[[#This Row],[PROGRAMA]],Hoja1!A:B,2,FALSE)</f>
        <v>1361. Prevención y extinción de incencios</v>
      </c>
      <c r="W1781" s="35" t="str">
        <f>MID(Tabla1[[#This Row],[Aplicación]],14,2)</f>
        <v>22</v>
      </c>
      <c r="X1781" s="35" t="str">
        <f>MID(Tabla1[[#This Row],[Aplicación]],14,6)</f>
        <v>22199</v>
      </c>
    </row>
    <row r="1782" spans="1:24" x14ac:dyDescent="0.25">
      <c r="A1782" s="49">
        <v>220220006735</v>
      </c>
      <c r="B1782" s="50" t="s">
        <v>9</v>
      </c>
      <c r="C1782" s="57">
        <v>44621</v>
      </c>
      <c r="D1782" s="49">
        <v>22022002512</v>
      </c>
      <c r="E1782" s="50" t="s">
        <v>2309</v>
      </c>
      <c r="F1782" s="58">
        <v>689.7</v>
      </c>
      <c r="G1782" s="50" t="s">
        <v>56</v>
      </c>
      <c r="H1782" s="50" t="s">
        <v>3177</v>
      </c>
      <c r="I1782" s="49" t="s">
        <v>107</v>
      </c>
      <c r="J1782" s="50" t="s">
        <v>109</v>
      </c>
      <c r="K1782" s="50" t="s">
        <v>109</v>
      </c>
      <c r="L1782" s="50" t="s">
        <v>12</v>
      </c>
      <c r="M1782" s="50" t="s">
        <v>10</v>
      </c>
      <c r="N1782" s="50" t="s">
        <v>11</v>
      </c>
      <c r="O1782" s="48" t="s">
        <v>632</v>
      </c>
      <c r="P1782" s="45" t="s">
        <v>453</v>
      </c>
      <c r="Q1782" s="35" t="str">
        <f>MID(Tabla1[[#This Row],[Aplicación]],14,1)</f>
        <v>2</v>
      </c>
      <c r="R1782" s="35" t="s">
        <v>441</v>
      </c>
      <c r="S1782" s="35" t="str">
        <f>MID(Tabla1[[#This Row],[Aplicación]],6,2)</f>
        <v>07</v>
      </c>
      <c r="T1782" s="35" t="str">
        <f>VLOOKUP(Tabla1[[#This Row],[AREA]],Hoja1!A:B,2,FALSE)</f>
        <v>07. Medio ambiente y desarrollo sostenible</v>
      </c>
      <c r="U1782" s="35" t="str">
        <f>MID(Tabla1[[#This Row],[Aplicación]],9,4)</f>
        <v>1721</v>
      </c>
      <c r="V1782" s="35" t="str">
        <f>VLOOKUP(Tabla1[[#This Row],[PROGRAMA]],Hoja1!A:B,2,FALSE)</f>
        <v>1721. Protección del medio ambiente</v>
      </c>
      <c r="W1782" s="35" t="str">
        <f>MID(Tabla1[[#This Row],[Aplicación]],14,2)</f>
        <v>21</v>
      </c>
      <c r="X1782" s="35" t="str">
        <f>MID(Tabla1[[#This Row],[Aplicación]],14,6)</f>
        <v>213</v>
      </c>
    </row>
    <row r="1783" spans="1:24" x14ac:dyDescent="0.25">
      <c r="A1783" s="49">
        <v>220220000098</v>
      </c>
      <c r="B1783" s="50" t="s">
        <v>9</v>
      </c>
      <c r="C1783" s="57">
        <v>44581</v>
      </c>
      <c r="D1783" s="49">
        <v>22022000005</v>
      </c>
      <c r="E1783" s="50" t="s">
        <v>1579</v>
      </c>
      <c r="F1783" s="58">
        <v>10000</v>
      </c>
      <c r="G1783" s="50" t="s">
        <v>74</v>
      </c>
      <c r="H1783" s="50" t="s">
        <v>3178</v>
      </c>
      <c r="I1783" s="49" t="s">
        <v>107</v>
      </c>
      <c r="J1783" s="50" t="s">
        <v>109</v>
      </c>
      <c r="K1783" s="50" t="s">
        <v>109</v>
      </c>
      <c r="L1783" s="50" t="s">
        <v>15</v>
      </c>
      <c r="M1783" s="50" t="s">
        <v>10</v>
      </c>
      <c r="N1783" s="50" t="s">
        <v>11</v>
      </c>
      <c r="O1783" s="48" t="s">
        <v>632</v>
      </c>
      <c r="P1783" s="45" t="s">
        <v>453</v>
      </c>
      <c r="Q1783" s="35" t="str">
        <f>MID(Tabla1[[#This Row],[Aplicación]],14,1)</f>
        <v>2</v>
      </c>
      <c r="R1783" s="35" t="s">
        <v>441</v>
      </c>
      <c r="S1783" s="35" t="str">
        <f>MID(Tabla1[[#This Row],[Aplicación]],6,2)</f>
        <v>10</v>
      </c>
      <c r="T1783" s="35" t="str">
        <f>VLOOKUP(Tabla1[[#This Row],[AREA]],Hoja1!A:B,2,FALSE)</f>
        <v>10. Servicios sociales y mediación comunitaria</v>
      </c>
      <c r="U1783" s="35" t="str">
        <f>MID(Tabla1[[#This Row],[Aplicación]],9,4)</f>
        <v>2412</v>
      </c>
      <c r="V1783" s="35" t="str">
        <f>VLOOKUP(Tabla1[[#This Row],[PROGRAMA]],Hoja1!A:B,2,FALSE)</f>
        <v>2412. Formación para el empleo</v>
      </c>
      <c r="W1783" s="35" t="str">
        <f>MID(Tabla1[[#This Row],[Aplicación]],14,2)</f>
        <v>22</v>
      </c>
      <c r="X1783" s="35" t="str">
        <f>MID(Tabla1[[#This Row],[Aplicación]],14,6)</f>
        <v>22199</v>
      </c>
    </row>
    <row r="1784" spans="1:24" x14ac:dyDescent="0.25">
      <c r="A1784" s="49">
        <v>220220000132</v>
      </c>
      <c r="B1784" s="50" t="s">
        <v>9</v>
      </c>
      <c r="C1784" s="57">
        <v>44582</v>
      </c>
      <c r="D1784" s="49">
        <v>22022001458</v>
      </c>
      <c r="E1784" s="50" t="s">
        <v>1890</v>
      </c>
      <c r="F1784" s="58">
        <v>1000</v>
      </c>
      <c r="G1784" s="50" t="s">
        <v>74</v>
      </c>
      <c r="H1784" s="50" t="s">
        <v>3179</v>
      </c>
      <c r="I1784" s="49" t="s">
        <v>107</v>
      </c>
      <c r="J1784" s="50" t="s">
        <v>109</v>
      </c>
      <c r="K1784" s="50" t="s">
        <v>109</v>
      </c>
      <c r="L1784" s="50" t="s">
        <v>15</v>
      </c>
      <c r="M1784" s="50" t="s">
        <v>10</v>
      </c>
      <c r="N1784" s="50" t="s">
        <v>11</v>
      </c>
      <c r="O1784" s="48" t="s">
        <v>632</v>
      </c>
      <c r="P1784" s="45" t="s">
        <v>453</v>
      </c>
      <c r="Q1784" s="35" t="str">
        <f>MID(Tabla1[[#This Row],[Aplicación]],14,1)</f>
        <v>2</v>
      </c>
      <c r="R1784" s="35" t="s">
        <v>441</v>
      </c>
      <c r="S1784" s="35" t="str">
        <f>MID(Tabla1[[#This Row],[Aplicación]],6,2)</f>
        <v>02</v>
      </c>
      <c r="T1784" s="35" t="str">
        <f>VLOOKUP(Tabla1[[#This Row],[AREA]],Hoja1!A:B,2,FALSE)</f>
        <v>02. Planeamiento urbanístico y vivienda</v>
      </c>
      <c r="U1784" s="35" t="str">
        <f>MID(Tabla1[[#This Row],[Aplicación]],9,4)</f>
        <v>9332</v>
      </c>
      <c r="V1784" s="35" t="str">
        <f>VLOOKUP(Tabla1[[#This Row],[PROGRAMA]],Hoja1!A:B,2,FALSE)</f>
        <v>9332. Mantenimiento de edificios e instalaciones municipales</v>
      </c>
      <c r="W1784" s="35" t="str">
        <f>MID(Tabla1[[#This Row],[Aplicación]],14,2)</f>
        <v>21</v>
      </c>
      <c r="X1784" s="35" t="str">
        <f>MID(Tabla1[[#This Row],[Aplicación]],14,6)</f>
        <v>212</v>
      </c>
    </row>
    <row r="1785" spans="1:24" x14ac:dyDescent="0.25">
      <c r="A1785" s="49">
        <v>220220003568</v>
      </c>
      <c r="B1785" s="50" t="s">
        <v>172</v>
      </c>
      <c r="C1785" s="57">
        <v>44607</v>
      </c>
      <c r="D1785" s="49">
        <v>22022001641</v>
      </c>
      <c r="E1785" s="50" t="s">
        <v>2034</v>
      </c>
      <c r="F1785" s="58">
        <v>45.5</v>
      </c>
      <c r="G1785" s="50" t="s">
        <v>237</v>
      </c>
      <c r="H1785" s="50" t="s">
        <v>3180</v>
      </c>
      <c r="I1785" s="49" t="s">
        <v>173</v>
      </c>
      <c r="J1785" s="50" t="s">
        <v>109</v>
      </c>
      <c r="K1785" s="50" t="s">
        <v>109</v>
      </c>
      <c r="L1785" s="50" t="s">
        <v>15</v>
      </c>
      <c r="M1785" s="50" t="s">
        <v>13</v>
      </c>
      <c r="N1785" s="50" t="s">
        <v>14</v>
      </c>
      <c r="O1785" s="48" t="s">
        <v>631</v>
      </c>
      <c r="P1785" s="45" t="s">
        <v>453</v>
      </c>
      <c r="Q1785" s="35" t="str">
        <f>MID(Tabla1[[#This Row],[Aplicación]],14,1)</f>
        <v>2</v>
      </c>
      <c r="R1785" s="35" t="s">
        <v>441</v>
      </c>
      <c r="S1785" s="35" t="str">
        <f>MID(Tabla1[[#This Row],[Aplicación]],6,2)</f>
        <v>06</v>
      </c>
      <c r="T1785" s="35" t="str">
        <f>VLOOKUP(Tabla1[[#This Row],[AREA]],Hoja1!A:B,2,FALSE)</f>
        <v>06. Educación, infancia, juventud e igualdad</v>
      </c>
      <c r="U1785" s="35" t="str">
        <f>MID(Tabla1[[#This Row],[Aplicación]],9,4)</f>
        <v>3232</v>
      </c>
      <c r="V1785" s="35" t="str">
        <f>VLOOKUP(Tabla1[[#This Row],[PROGRAMA]],Hoja1!A:B,2,FALSE)</f>
        <v>3232. Conservación y mantenimiento centros educación infantil y primaria</v>
      </c>
      <c r="W1785" s="35" t="str">
        <f>MID(Tabla1[[#This Row],[Aplicación]],14,2)</f>
        <v>21</v>
      </c>
      <c r="X1785" s="35" t="str">
        <f>MID(Tabla1[[#This Row],[Aplicación]],14,6)</f>
        <v>212</v>
      </c>
    </row>
    <row r="1786" spans="1:24" x14ac:dyDescent="0.25">
      <c r="A1786" s="49">
        <v>220220013309</v>
      </c>
      <c r="B1786" s="50" t="s">
        <v>172</v>
      </c>
      <c r="C1786" s="57">
        <v>44650</v>
      </c>
      <c r="D1786" s="49">
        <v>22022001643</v>
      </c>
      <c r="E1786" s="50" t="s">
        <v>2116</v>
      </c>
      <c r="F1786" s="58">
        <v>68.5</v>
      </c>
      <c r="G1786" s="50" t="s">
        <v>74</v>
      </c>
      <c r="H1786" s="50" t="s">
        <v>3181</v>
      </c>
      <c r="I1786" s="49" t="s">
        <v>173</v>
      </c>
      <c r="J1786" s="50" t="s">
        <v>109</v>
      </c>
      <c r="K1786" s="50" t="s">
        <v>109</v>
      </c>
      <c r="L1786" s="50" t="s">
        <v>15</v>
      </c>
      <c r="M1786" s="50" t="s">
        <v>10</v>
      </c>
      <c r="N1786" s="50" t="s">
        <v>11</v>
      </c>
      <c r="O1786" s="48" t="s">
        <v>632</v>
      </c>
      <c r="P1786" s="45" t="s">
        <v>453</v>
      </c>
      <c r="Q1786" s="35" t="str">
        <f>MID(Tabla1[[#This Row],[Aplicación]],14,1)</f>
        <v>2</v>
      </c>
      <c r="R1786" s="35" t="s">
        <v>441</v>
      </c>
      <c r="S1786" s="35" t="str">
        <f>MID(Tabla1[[#This Row],[Aplicación]],6,2)</f>
        <v>06</v>
      </c>
      <c r="T1786" s="35" t="str">
        <f>VLOOKUP(Tabla1[[#This Row],[AREA]],Hoja1!A:B,2,FALSE)</f>
        <v>06. Educación, infancia, juventud e igualdad</v>
      </c>
      <c r="U1786" s="35" t="str">
        <f>MID(Tabla1[[#This Row],[Aplicación]],9,4)</f>
        <v>3321</v>
      </c>
      <c r="V1786" s="35" t="str">
        <f>VLOOKUP(Tabla1[[#This Row],[PROGRAMA]],Hoja1!A:B,2,FALSE)</f>
        <v>3321. Bibliotecas públicas</v>
      </c>
      <c r="W1786" s="35" t="str">
        <f>MID(Tabla1[[#This Row],[Aplicación]],14,2)</f>
        <v>21</v>
      </c>
      <c r="X1786" s="35" t="str">
        <f>MID(Tabla1[[#This Row],[Aplicación]],14,6)</f>
        <v>212</v>
      </c>
    </row>
    <row r="1787" spans="1:24" x14ac:dyDescent="0.25">
      <c r="A1787" s="49">
        <v>220220003107</v>
      </c>
      <c r="B1787" s="50" t="s">
        <v>9</v>
      </c>
      <c r="C1787" s="57">
        <v>44601</v>
      </c>
      <c r="D1787" s="49">
        <v>22022001967</v>
      </c>
      <c r="E1787" s="50" t="s">
        <v>1827</v>
      </c>
      <c r="F1787" s="58">
        <v>663.56</v>
      </c>
      <c r="G1787" s="50" t="s">
        <v>752</v>
      </c>
      <c r="H1787" s="50" t="s">
        <v>3182</v>
      </c>
      <c r="I1787" s="49" t="s">
        <v>107</v>
      </c>
      <c r="J1787" s="50" t="s">
        <v>109</v>
      </c>
      <c r="K1787" s="50" t="s">
        <v>109</v>
      </c>
      <c r="L1787" s="50" t="s">
        <v>12</v>
      </c>
      <c r="M1787" s="50" t="s">
        <v>10</v>
      </c>
      <c r="N1787" s="50" t="s">
        <v>11</v>
      </c>
      <c r="O1787" s="48" t="s">
        <v>632</v>
      </c>
      <c r="P1787" s="45" t="s">
        <v>453</v>
      </c>
      <c r="Q1787" s="35" t="str">
        <f>MID(Tabla1[[#This Row],[Aplicación]],14,1)</f>
        <v>2</v>
      </c>
      <c r="R1787" s="35" t="s">
        <v>441</v>
      </c>
      <c r="S1787" s="35" t="str">
        <f>MID(Tabla1[[#This Row],[Aplicación]],6,2)</f>
        <v>11</v>
      </c>
      <c r="T1787" s="35" t="str">
        <f>VLOOKUP(Tabla1[[#This Row],[AREA]],Hoja1!A:B,2,FALSE)</f>
        <v>11. Salud pública y seguridad ciudadana</v>
      </c>
      <c r="U1787" s="35" t="str">
        <f>MID(Tabla1[[#This Row],[Aplicación]],9,4)</f>
        <v>1361</v>
      </c>
      <c r="V1787" s="35" t="str">
        <f>VLOOKUP(Tabla1[[#This Row],[PROGRAMA]],Hoja1!A:B,2,FALSE)</f>
        <v>1361. Prevención y extinción de incencios</v>
      </c>
      <c r="W1787" s="35" t="str">
        <f>MID(Tabla1[[#This Row],[Aplicación]],14,2)</f>
        <v>21</v>
      </c>
      <c r="X1787" s="35" t="str">
        <f>MID(Tabla1[[#This Row],[Aplicación]],14,6)</f>
        <v>214</v>
      </c>
    </row>
    <row r="1788" spans="1:24" x14ac:dyDescent="0.25">
      <c r="A1788" s="49">
        <v>220220003481</v>
      </c>
      <c r="B1788" s="50" t="s">
        <v>9</v>
      </c>
      <c r="C1788" s="57">
        <v>44606</v>
      </c>
      <c r="D1788" s="49">
        <v>22022002179</v>
      </c>
      <c r="E1788" s="50" t="s">
        <v>1704</v>
      </c>
      <c r="F1788" s="58">
        <v>600.89</v>
      </c>
      <c r="G1788" s="50" t="s">
        <v>952</v>
      </c>
      <c r="H1788" s="50" t="s">
        <v>3183</v>
      </c>
      <c r="I1788" s="49" t="s">
        <v>107</v>
      </c>
      <c r="J1788" s="50" t="s">
        <v>109</v>
      </c>
      <c r="K1788" s="50" t="s">
        <v>109</v>
      </c>
      <c r="L1788" s="50" t="s">
        <v>12</v>
      </c>
      <c r="M1788" s="50" t="s">
        <v>10</v>
      </c>
      <c r="N1788" s="50" t="s">
        <v>11</v>
      </c>
      <c r="O1788" s="48" t="s">
        <v>632</v>
      </c>
      <c r="P1788" s="45" t="s">
        <v>453</v>
      </c>
      <c r="Q1788" s="35" t="str">
        <f>MID(Tabla1[[#This Row],[Aplicación]],14,1)</f>
        <v>2</v>
      </c>
      <c r="R1788" s="35" t="s">
        <v>441</v>
      </c>
      <c r="S1788" s="35" t="str">
        <f>MID(Tabla1[[#This Row],[Aplicación]],6,2)</f>
        <v>11</v>
      </c>
      <c r="T1788" s="35" t="str">
        <f>VLOOKUP(Tabla1[[#This Row],[AREA]],Hoja1!A:B,2,FALSE)</f>
        <v>11. Salud pública y seguridad ciudadana</v>
      </c>
      <c r="U1788" s="35" t="str">
        <f>MID(Tabla1[[#This Row],[Aplicación]],9,4)</f>
        <v>1321</v>
      </c>
      <c r="V1788" s="35" t="str">
        <f>VLOOKUP(Tabla1[[#This Row],[PROGRAMA]],Hoja1!A:B,2,FALSE)</f>
        <v>1321. Policía municipal</v>
      </c>
      <c r="W1788" s="35" t="str">
        <f>MID(Tabla1[[#This Row],[Aplicación]],14,2)</f>
        <v>22</v>
      </c>
      <c r="X1788" s="35" t="str">
        <f>MID(Tabla1[[#This Row],[Aplicación]],14,6)</f>
        <v>22706</v>
      </c>
    </row>
    <row r="1789" spans="1:24" x14ac:dyDescent="0.25">
      <c r="A1789" s="49">
        <v>220220013421</v>
      </c>
      <c r="B1789" s="50" t="s">
        <v>9</v>
      </c>
      <c r="C1789" s="57">
        <v>44651</v>
      </c>
      <c r="D1789" s="49">
        <v>22022003044</v>
      </c>
      <c r="E1789" s="50" t="s">
        <v>3158</v>
      </c>
      <c r="F1789" s="58">
        <v>90</v>
      </c>
      <c r="G1789" s="50" t="s">
        <v>1133</v>
      </c>
      <c r="H1789" s="50" t="s">
        <v>3184</v>
      </c>
      <c r="I1789" s="49" t="s">
        <v>107</v>
      </c>
      <c r="J1789" s="50" t="s">
        <v>109</v>
      </c>
      <c r="K1789" s="50" t="s">
        <v>109</v>
      </c>
      <c r="L1789" s="50" t="s">
        <v>15</v>
      </c>
      <c r="M1789" s="50" t="s">
        <v>10</v>
      </c>
      <c r="N1789" s="50" t="s">
        <v>11</v>
      </c>
      <c r="O1789" s="48" t="s">
        <v>632</v>
      </c>
      <c r="P1789" s="45" t="s">
        <v>453</v>
      </c>
      <c r="Q1789" s="35" t="str">
        <f>MID(Tabla1[[#This Row],[Aplicación]],14,1)</f>
        <v>2</v>
      </c>
      <c r="R1789" s="35" t="s">
        <v>441</v>
      </c>
      <c r="S1789" s="35" t="str">
        <f>MID(Tabla1[[#This Row],[Aplicación]],6,2)</f>
        <v>06</v>
      </c>
      <c r="T1789" s="35" t="str">
        <f>VLOOKUP(Tabla1[[#This Row],[AREA]],Hoja1!A:B,2,FALSE)</f>
        <v>06. Educación, infancia, juventud e igualdad</v>
      </c>
      <c r="U1789" s="35" t="str">
        <f>MID(Tabla1[[#This Row],[Aplicación]],9,4)</f>
        <v>3321</v>
      </c>
      <c r="V1789" s="35" t="str">
        <f>VLOOKUP(Tabla1[[#This Row],[PROGRAMA]],Hoja1!A:B,2,FALSE)</f>
        <v>3321. Bibliotecas públicas</v>
      </c>
      <c r="W1789" s="35" t="str">
        <f>MID(Tabla1[[#This Row],[Aplicación]],14,2)</f>
        <v>22</v>
      </c>
      <c r="X1789" s="35" t="str">
        <f>MID(Tabla1[[#This Row],[Aplicación]],14,6)</f>
        <v>22199</v>
      </c>
    </row>
    <row r="1790" spans="1:24" x14ac:dyDescent="0.25">
      <c r="A1790" s="49">
        <v>220219000974</v>
      </c>
      <c r="B1790" s="50" t="s">
        <v>9</v>
      </c>
      <c r="C1790" s="57">
        <v>44562</v>
      </c>
      <c r="D1790" s="49">
        <v>22022000621</v>
      </c>
      <c r="E1790" s="50" t="s">
        <v>1475</v>
      </c>
      <c r="F1790" s="58">
        <v>523.44000000000005</v>
      </c>
      <c r="G1790" s="50" t="s">
        <v>60</v>
      </c>
      <c r="H1790" s="50" t="s">
        <v>3185</v>
      </c>
      <c r="I1790" s="49" t="s">
        <v>107</v>
      </c>
      <c r="J1790" s="50" t="s">
        <v>109</v>
      </c>
      <c r="K1790" s="50" t="s">
        <v>109</v>
      </c>
      <c r="L1790" s="50" t="s">
        <v>12</v>
      </c>
      <c r="M1790" s="50" t="s">
        <v>13</v>
      </c>
      <c r="N1790" s="50" t="s">
        <v>16</v>
      </c>
      <c r="O1790" s="48" t="s">
        <v>620</v>
      </c>
      <c r="P1790" s="45" t="s">
        <v>453</v>
      </c>
      <c r="Q1790" s="35" t="str">
        <f>MID(Tabla1[[#This Row],[Aplicación]],14,1)</f>
        <v>2</v>
      </c>
      <c r="R1790" s="35" t="s">
        <v>441</v>
      </c>
      <c r="S1790" s="35" t="str">
        <f>MID(Tabla1[[#This Row],[Aplicación]],6,2)</f>
        <v>06</v>
      </c>
      <c r="T1790" s="35" t="str">
        <f>VLOOKUP(Tabla1[[#This Row],[AREA]],Hoja1!A:B,2,FALSE)</f>
        <v>06. Educación, infancia, juventud e igualdad</v>
      </c>
      <c r="U1790" s="35" t="str">
        <f>MID(Tabla1[[#This Row],[Aplicación]],9,4)</f>
        <v>3232</v>
      </c>
      <c r="V1790" s="35" t="str">
        <f>VLOOKUP(Tabla1[[#This Row],[PROGRAMA]],Hoja1!A:B,2,FALSE)</f>
        <v>3232. Conservación y mantenimiento centros educación infantil y primaria</v>
      </c>
      <c r="W1790" s="35" t="str">
        <f>MID(Tabla1[[#This Row],[Aplicación]],14,2)</f>
        <v>21</v>
      </c>
      <c r="X1790" s="35" t="str">
        <f>MID(Tabla1[[#This Row],[Aplicación]],14,6)</f>
        <v>213</v>
      </c>
    </row>
    <row r="1791" spans="1:24" x14ac:dyDescent="0.25">
      <c r="A1791" s="49">
        <v>220220009851</v>
      </c>
      <c r="B1791" s="50" t="s">
        <v>172</v>
      </c>
      <c r="C1791" s="57">
        <v>44637</v>
      </c>
      <c r="D1791" s="49">
        <v>22022002241</v>
      </c>
      <c r="E1791" s="50" t="s">
        <v>1368</v>
      </c>
      <c r="F1791" s="58">
        <v>111470.46</v>
      </c>
      <c r="G1791" s="50" t="s">
        <v>3186</v>
      </c>
      <c r="H1791" s="50" t="s">
        <v>3187</v>
      </c>
      <c r="I1791" s="49" t="s">
        <v>173</v>
      </c>
      <c r="J1791" s="50" t="s">
        <v>3188</v>
      </c>
      <c r="K1791" s="50" t="s">
        <v>108</v>
      </c>
      <c r="L1791" s="50" t="s">
        <v>25</v>
      </c>
      <c r="M1791" s="50" t="s">
        <v>13</v>
      </c>
      <c r="N1791" s="50" t="s">
        <v>14</v>
      </c>
      <c r="O1791" s="48" t="s">
        <v>620</v>
      </c>
      <c r="P1791" s="45" t="s">
        <v>453</v>
      </c>
      <c r="Q1791" s="35" t="str">
        <f>MID(Tabla1[[#This Row],[Aplicación]],14,1)</f>
        <v>6</v>
      </c>
      <c r="R1791" s="35" t="s">
        <v>442</v>
      </c>
      <c r="S1791" s="35" t="str">
        <f>MID(Tabla1[[#This Row],[Aplicación]],6,2)</f>
        <v>08</v>
      </c>
      <c r="T1791" s="35" t="str">
        <f>VLOOKUP(Tabla1[[#This Row],[AREA]],Hoja1!A:B,2,FALSE)</f>
        <v>08. Movilidad y espacio urbano</v>
      </c>
      <c r="U1791" s="35" t="str">
        <f>MID(Tabla1[[#This Row],[Aplicación]],9,4)</f>
        <v>1532</v>
      </c>
      <c r="V1791" s="35" t="str">
        <f>VLOOKUP(Tabla1[[#This Row],[PROGRAMA]],Hoja1!A:B,2,FALSE)</f>
        <v>1532. Pavimentación vias públicas y otros servicios urbanísticos</v>
      </c>
      <c r="W1791" s="35" t="str">
        <f>MID(Tabla1[[#This Row],[Aplicación]],14,2)</f>
        <v>61</v>
      </c>
      <c r="X1791" s="35" t="str">
        <f>MID(Tabla1[[#This Row],[Aplicación]],14,6)</f>
        <v>619</v>
      </c>
    </row>
    <row r="1792" spans="1:24" x14ac:dyDescent="0.25">
      <c r="A1792" s="49">
        <v>220220009851</v>
      </c>
      <c r="B1792" s="50" t="s">
        <v>172</v>
      </c>
      <c r="C1792" s="57">
        <v>44637</v>
      </c>
      <c r="D1792" s="49">
        <v>22022002562</v>
      </c>
      <c r="E1792" s="50" t="s">
        <v>1368</v>
      </c>
      <c r="F1792" s="58">
        <v>49719.69</v>
      </c>
      <c r="G1792" s="50" t="s">
        <v>3186</v>
      </c>
      <c r="H1792" s="50" t="s">
        <v>3187</v>
      </c>
      <c r="I1792" s="49" t="s">
        <v>173</v>
      </c>
      <c r="J1792" s="50" t="s">
        <v>3188</v>
      </c>
      <c r="K1792" s="50" t="s">
        <v>108</v>
      </c>
      <c r="L1792" s="50" t="s">
        <v>25</v>
      </c>
      <c r="M1792" s="50" t="s">
        <v>13</v>
      </c>
      <c r="N1792" s="50" t="s">
        <v>14</v>
      </c>
      <c r="O1792" s="48" t="s">
        <v>620</v>
      </c>
      <c r="P1792" s="45" t="s">
        <v>453</v>
      </c>
      <c r="Q1792" s="35" t="str">
        <f>MID(Tabla1[[#This Row],[Aplicación]],14,1)</f>
        <v>6</v>
      </c>
      <c r="R1792" s="35" t="s">
        <v>442</v>
      </c>
      <c r="S1792" s="35" t="str">
        <f>MID(Tabla1[[#This Row],[Aplicación]],6,2)</f>
        <v>08</v>
      </c>
      <c r="T1792" s="35" t="str">
        <f>VLOOKUP(Tabla1[[#This Row],[AREA]],Hoja1!A:B,2,FALSE)</f>
        <v>08. Movilidad y espacio urbano</v>
      </c>
      <c r="U1792" s="35" t="str">
        <f>MID(Tabla1[[#This Row],[Aplicación]],9,4)</f>
        <v>1532</v>
      </c>
      <c r="V1792" s="35" t="str">
        <f>VLOOKUP(Tabla1[[#This Row],[PROGRAMA]],Hoja1!A:B,2,FALSE)</f>
        <v>1532. Pavimentación vias públicas y otros servicios urbanísticos</v>
      </c>
      <c r="W1792" s="35" t="str">
        <f>MID(Tabla1[[#This Row],[Aplicación]],14,2)</f>
        <v>61</v>
      </c>
      <c r="X1792" s="35" t="str">
        <f>MID(Tabla1[[#This Row],[Aplicación]],14,6)</f>
        <v>619</v>
      </c>
    </row>
    <row r="1793" spans="1:24" x14ac:dyDescent="0.25">
      <c r="A1793" s="49">
        <v>220220005199</v>
      </c>
      <c r="B1793" s="50" t="s">
        <v>9</v>
      </c>
      <c r="C1793" s="57">
        <v>44614</v>
      </c>
      <c r="D1793" s="49">
        <v>22022002125</v>
      </c>
      <c r="E1793" s="50" t="s">
        <v>3189</v>
      </c>
      <c r="F1793" s="58">
        <v>600</v>
      </c>
      <c r="G1793" s="50" t="s">
        <v>752</v>
      </c>
      <c r="H1793" s="50" t="s">
        <v>834</v>
      </c>
      <c r="I1793" s="49" t="s">
        <v>107</v>
      </c>
      <c r="J1793" s="50" t="s">
        <v>109</v>
      </c>
      <c r="K1793" s="50" t="s">
        <v>109</v>
      </c>
      <c r="L1793" s="50" t="s">
        <v>12</v>
      </c>
      <c r="M1793" s="50" t="s">
        <v>10</v>
      </c>
      <c r="N1793" s="50" t="s">
        <v>11</v>
      </c>
      <c r="O1793" s="48" t="s">
        <v>632</v>
      </c>
      <c r="P1793" s="45" t="s">
        <v>453</v>
      </c>
      <c r="Q1793" s="35" t="str">
        <f>MID(Tabla1[[#This Row],[Aplicación]],14,1)</f>
        <v>2</v>
      </c>
      <c r="R1793" s="35" t="s">
        <v>441</v>
      </c>
      <c r="S1793" s="35" t="str">
        <f>MID(Tabla1[[#This Row],[Aplicación]],6,2)</f>
        <v>07</v>
      </c>
      <c r="T1793" s="35" t="str">
        <f>VLOOKUP(Tabla1[[#This Row],[AREA]],Hoja1!A:B,2,FALSE)</f>
        <v>07. Medio ambiente y desarrollo sostenible</v>
      </c>
      <c r="U1793" s="35" t="str">
        <f>MID(Tabla1[[#This Row],[Aplicación]],9,4)</f>
        <v>1721</v>
      </c>
      <c r="V1793" s="35" t="str">
        <f>VLOOKUP(Tabla1[[#This Row],[PROGRAMA]],Hoja1!A:B,2,FALSE)</f>
        <v>1721. Protección del medio ambiente</v>
      </c>
      <c r="W1793" s="35" t="str">
        <f>MID(Tabla1[[#This Row],[Aplicación]],14,2)</f>
        <v>21</v>
      </c>
      <c r="X1793" s="35" t="str">
        <f>MID(Tabla1[[#This Row],[Aplicación]],14,6)</f>
        <v>214</v>
      </c>
    </row>
    <row r="1794" spans="1:24" x14ac:dyDescent="0.25">
      <c r="A1794" s="49">
        <v>220220003101</v>
      </c>
      <c r="B1794" s="50" t="s">
        <v>9</v>
      </c>
      <c r="C1794" s="57">
        <v>44601</v>
      </c>
      <c r="D1794" s="49">
        <v>22022001840</v>
      </c>
      <c r="E1794" s="50" t="s">
        <v>1606</v>
      </c>
      <c r="F1794" s="58">
        <v>600</v>
      </c>
      <c r="G1794" s="50" t="s">
        <v>252</v>
      </c>
      <c r="H1794" s="50" t="s">
        <v>3190</v>
      </c>
      <c r="I1794" s="49" t="s">
        <v>107</v>
      </c>
      <c r="J1794" s="50" t="s">
        <v>520</v>
      </c>
      <c r="K1794" s="50" t="s">
        <v>109</v>
      </c>
      <c r="L1794" s="50" t="s">
        <v>15</v>
      </c>
      <c r="M1794" s="50" t="s">
        <v>10</v>
      </c>
      <c r="N1794" s="50" t="s">
        <v>11</v>
      </c>
      <c r="O1794" s="48" t="s">
        <v>632</v>
      </c>
      <c r="P1794" s="45" t="s">
        <v>453</v>
      </c>
      <c r="Q1794" s="35" t="str">
        <f>MID(Tabla1[[#This Row],[Aplicación]],14,1)</f>
        <v>2</v>
      </c>
      <c r="R1794" s="35" t="s">
        <v>441</v>
      </c>
      <c r="S1794" s="35" t="str">
        <f>MID(Tabla1[[#This Row],[Aplicación]],6,2)</f>
        <v>11</v>
      </c>
      <c r="T1794" s="35" t="str">
        <f>VLOOKUP(Tabla1[[#This Row],[AREA]],Hoja1!A:B,2,FALSE)</f>
        <v>11. Salud pública y seguridad ciudadana</v>
      </c>
      <c r="U1794" s="35" t="str">
        <f>MID(Tabla1[[#This Row],[Aplicación]],9,4)</f>
        <v>1361</v>
      </c>
      <c r="V1794" s="35" t="str">
        <f>VLOOKUP(Tabla1[[#This Row],[PROGRAMA]],Hoja1!A:B,2,FALSE)</f>
        <v>1361. Prevención y extinción de incencios</v>
      </c>
      <c r="W1794" s="35" t="str">
        <f>MID(Tabla1[[#This Row],[Aplicación]],14,2)</f>
        <v>22</v>
      </c>
      <c r="X1794" s="35" t="str">
        <f>MID(Tabla1[[#This Row],[Aplicación]],14,6)</f>
        <v>22199</v>
      </c>
    </row>
    <row r="1795" spans="1:24" x14ac:dyDescent="0.25">
      <c r="A1795" s="49">
        <v>220220003115</v>
      </c>
      <c r="B1795" s="50" t="s">
        <v>26</v>
      </c>
      <c r="C1795" s="57">
        <v>44601</v>
      </c>
      <c r="D1795" s="49">
        <v>22022001813</v>
      </c>
      <c r="E1795" s="50" t="s">
        <v>2738</v>
      </c>
      <c r="F1795" s="58">
        <v>505.51</v>
      </c>
      <c r="G1795" s="50" t="s">
        <v>46</v>
      </c>
      <c r="H1795" s="50" t="s">
        <v>3157</v>
      </c>
      <c r="I1795" s="49" t="s">
        <v>197</v>
      </c>
      <c r="J1795" s="50" t="s">
        <v>109</v>
      </c>
      <c r="K1795" s="50" t="s">
        <v>109</v>
      </c>
      <c r="L1795" s="50" t="s">
        <v>12</v>
      </c>
      <c r="M1795" s="50" t="s">
        <v>13</v>
      </c>
      <c r="N1795" s="50" t="s">
        <v>14</v>
      </c>
      <c r="O1795" s="48" t="s">
        <v>620</v>
      </c>
      <c r="P1795" s="45" t="s">
        <v>453</v>
      </c>
      <c r="Q1795" s="35" t="str">
        <f>MID(Tabla1[[#This Row],[Aplicación]],14,1)</f>
        <v>2</v>
      </c>
      <c r="R1795" s="35" t="s">
        <v>441</v>
      </c>
      <c r="S1795" s="35" t="str">
        <f>MID(Tabla1[[#This Row],[Aplicación]],6,2)</f>
        <v>10</v>
      </c>
      <c r="T1795" s="35" t="str">
        <f>VLOOKUP(Tabla1[[#This Row],[AREA]],Hoja1!A:B,2,FALSE)</f>
        <v>10. Servicios sociales y mediación comunitaria</v>
      </c>
      <c r="U1795" s="35" t="str">
        <f>MID(Tabla1[[#This Row],[Aplicación]],9,4)</f>
        <v>2412</v>
      </c>
      <c r="V1795" s="35" t="str">
        <f>VLOOKUP(Tabla1[[#This Row],[PROGRAMA]],Hoja1!A:B,2,FALSE)</f>
        <v>2412. Formación para el empleo</v>
      </c>
      <c r="W1795" s="35" t="str">
        <f>MID(Tabla1[[#This Row],[Aplicación]],14,2)</f>
        <v>22</v>
      </c>
      <c r="X1795" s="35" t="str">
        <f>MID(Tabla1[[#This Row],[Aplicación]],14,6)</f>
        <v>22799</v>
      </c>
    </row>
    <row r="1796" spans="1:24" x14ac:dyDescent="0.25">
      <c r="A1796" s="49">
        <v>220220009335</v>
      </c>
      <c r="B1796" s="50" t="s">
        <v>9</v>
      </c>
      <c r="C1796" s="57">
        <v>44636</v>
      </c>
      <c r="D1796" s="49">
        <v>22022001635</v>
      </c>
      <c r="E1796" s="50" t="s">
        <v>1922</v>
      </c>
      <c r="F1796" s="58">
        <v>1605.67</v>
      </c>
      <c r="G1796" s="50" t="s">
        <v>1179</v>
      </c>
      <c r="H1796" s="50" t="s">
        <v>3191</v>
      </c>
      <c r="I1796" s="49" t="s">
        <v>107</v>
      </c>
      <c r="J1796" s="50" t="s">
        <v>1180</v>
      </c>
      <c r="K1796" s="50" t="s">
        <v>128</v>
      </c>
      <c r="L1796" s="50" t="s">
        <v>12</v>
      </c>
      <c r="M1796" s="50" t="s">
        <v>10</v>
      </c>
      <c r="N1796" s="50" t="s">
        <v>11</v>
      </c>
      <c r="O1796" s="48" t="s">
        <v>632</v>
      </c>
      <c r="P1796" s="45" t="s">
        <v>453</v>
      </c>
      <c r="Q1796" s="35" t="str">
        <f>MID(Tabla1[[#This Row],[Aplicación]],14,1)</f>
        <v>2</v>
      </c>
      <c r="R1796" s="35" t="s">
        <v>441</v>
      </c>
      <c r="S1796" s="35" t="str">
        <f>MID(Tabla1[[#This Row],[Aplicación]],6,2)</f>
        <v>07</v>
      </c>
      <c r="T1796" s="35" t="str">
        <f>VLOOKUP(Tabla1[[#This Row],[AREA]],Hoja1!A:B,2,FALSE)</f>
        <v>07. Medio ambiente y desarrollo sostenible</v>
      </c>
      <c r="U1796" s="35" t="str">
        <f>MID(Tabla1[[#This Row],[Aplicación]],9,4)</f>
        <v>1711</v>
      </c>
      <c r="V1796" s="35" t="str">
        <f>VLOOKUP(Tabla1[[#This Row],[PROGRAMA]],Hoja1!A:B,2,FALSE)</f>
        <v>1711. Parques y jardines</v>
      </c>
      <c r="W1796" s="35" t="str">
        <f>MID(Tabla1[[#This Row],[Aplicación]],14,2)</f>
        <v>21</v>
      </c>
      <c r="X1796" s="35" t="str">
        <f>MID(Tabla1[[#This Row],[Aplicación]],14,6)</f>
        <v>214</v>
      </c>
    </row>
    <row r="1797" spans="1:24" x14ac:dyDescent="0.25">
      <c r="A1797" s="49">
        <v>220219001195</v>
      </c>
      <c r="B1797" s="50" t="s">
        <v>9</v>
      </c>
      <c r="C1797" s="57">
        <v>44562</v>
      </c>
      <c r="D1797" s="49">
        <v>22022000537</v>
      </c>
      <c r="E1797" s="50" t="s">
        <v>1885</v>
      </c>
      <c r="F1797" s="58">
        <v>6100.42</v>
      </c>
      <c r="G1797" s="50" t="s">
        <v>951</v>
      </c>
      <c r="H1797" s="50" t="s">
        <v>3192</v>
      </c>
      <c r="I1797" s="49" t="s">
        <v>107</v>
      </c>
      <c r="J1797" s="50" t="s">
        <v>109</v>
      </c>
      <c r="K1797" s="50" t="s">
        <v>109</v>
      </c>
      <c r="L1797" s="50" t="s">
        <v>12</v>
      </c>
      <c r="M1797" s="50" t="s">
        <v>10</v>
      </c>
      <c r="N1797" s="50" t="s">
        <v>11</v>
      </c>
      <c r="O1797" s="48" t="s">
        <v>632</v>
      </c>
      <c r="P1797" s="45" t="s">
        <v>453</v>
      </c>
      <c r="Q1797" s="35" t="str">
        <f>MID(Tabla1[[#This Row],[Aplicación]],14,1)</f>
        <v>2</v>
      </c>
      <c r="R1797" s="35" t="s">
        <v>441</v>
      </c>
      <c r="S1797" s="35" t="str">
        <f>MID(Tabla1[[#This Row],[Aplicación]],6,2)</f>
        <v>09</v>
      </c>
      <c r="T1797" s="35" t="str">
        <f>VLOOKUP(Tabla1[[#This Row],[AREA]],Hoja1!A:B,2,FALSE)</f>
        <v>09. Cultura y turismo</v>
      </c>
      <c r="U1797" s="35" t="str">
        <f>MID(Tabla1[[#This Row],[Aplicación]],9,4)</f>
        <v>3301</v>
      </c>
      <c r="V1797" s="35" t="str">
        <f>VLOOKUP(Tabla1[[#This Row],[PROGRAMA]],Hoja1!A:B,2,FALSE)</f>
        <v>3301. Dirección del área de cultura</v>
      </c>
      <c r="W1797" s="35" t="str">
        <f>MID(Tabla1[[#This Row],[Aplicación]],14,2)</f>
        <v>22</v>
      </c>
      <c r="X1797" s="35" t="str">
        <f>MID(Tabla1[[#This Row],[Aplicación]],14,6)</f>
        <v>22706</v>
      </c>
    </row>
    <row r="1798" spans="1:24" x14ac:dyDescent="0.25">
      <c r="A1798" s="49">
        <v>220219001129</v>
      </c>
      <c r="B1798" s="50" t="s">
        <v>9</v>
      </c>
      <c r="C1798" s="57">
        <v>44562</v>
      </c>
      <c r="D1798" s="49">
        <v>22022000292</v>
      </c>
      <c r="E1798" s="50" t="s">
        <v>1502</v>
      </c>
      <c r="F1798" s="58">
        <v>497.86</v>
      </c>
      <c r="G1798" s="50" t="s">
        <v>2947</v>
      </c>
      <c r="H1798" s="50" t="s">
        <v>3193</v>
      </c>
      <c r="I1798" s="49" t="s">
        <v>107</v>
      </c>
      <c r="J1798" s="50" t="s">
        <v>2949</v>
      </c>
      <c r="K1798" s="50" t="s">
        <v>2950</v>
      </c>
      <c r="L1798" s="55" t="s">
        <v>12</v>
      </c>
      <c r="M1798" s="55" t="s">
        <v>13</v>
      </c>
      <c r="N1798" s="55" t="s">
        <v>14</v>
      </c>
      <c r="O1798" s="48" t="s">
        <v>620</v>
      </c>
      <c r="P1798" s="45" t="s">
        <v>453</v>
      </c>
      <c r="Q1798" s="35" t="str">
        <f>MID(Tabla1[[#This Row],[Aplicación]],14,1)</f>
        <v>2</v>
      </c>
      <c r="R1798" s="35" t="s">
        <v>441</v>
      </c>
      <c r="S1798" s="35" t="str">
        <f>MID(Tabla1[[#This Row],[Aplicación]],6,2)</f>
        <v>10</v>
      </c>
      <c r="T1798" s="35" t="str">
        <f>VLOOKUP(Tabla1[[#This Row],[AREA]],Hoja1!A:B,2,FALSE)</f>
        <v>10. Servicios sociales y mediación comunitaria</v>
      </c>
      <c r="U1798" s="35" t="str">
        <f>MID(Tabla1[[#This Row],[Aplicación]],9,4)</f>
        <v>2412</v>
      </c>
      <c r="V1798" s="35" t="str">
        <f>VLOOKUP(Tabla1[[#This Row],[PROGRAMA]],Hoja1!A:B,2,FALSE)</f>
        <v>2412. Formación para el empleo</v>
      </c>
      <c r="W1798" s="35" t="str">
        <f>MID(Tabla1[[#This Row],[Aplicación]],14,2)</f>
        <v>21</v>
      </c>
      <c r="X1798" s="35" t="str">
        <f>MID(Tabla1[[#This Row],[Aplicación]],14,6)</f>
        <v>213</v>
      </c>
    </row>
    <row r="1799" spans="1:24" x14ac:dyDescent="0.25">
      <c r="A1799" s="49">
        <v>220220010320</v>
      </c>
      <c r="B1799" s="50" t="s">
        <v>9</v>
      </c>
      <c r="C1799" s="57">
        <v>44641</v>
      </c>
      <c r="D1799" s="49">
        <v>22022002895</v>
      </c>
      <c r="E1799" s="50" t="s">
        <v>1436</v>
      </c>
      <c r="F1799" s="58">
        <v>544.5</v>
      </c>
      <c r="G1799" s="50" t="s">
        <v>1255</v>
      </c>
      <c r="H1799" s="50" t="s">
        <v>3194</v>
      </c>
      <c r="I1799" s="49" t="s">
        <v>107</v>
      </c>
      <c r="J1799" s="50" t="s">
        <v>463</v>
      </c>
      <c r="K1799" s="50" t="s">
        <v>463</v>
      </c>
      <c r="L1799" s="50" t="s">
        <v>12</v>
      </c>
      <c r="M1799" s="50" t="s">
        <v>10</v>
      </c>
      <c r="N1799" s="50" t="s">
        <v>11</v>
      </c>
      <c r="O1799" s="48" t="s">
        <v>632</v>
      </c>
      <c r="P1799" s="45" t="s">
        <v>453</v>
      </c>
      <c r="Q1799" s="35" t="str">
        <f>MID(Tabla1[[#This Row],[Aplicación]],14,1)</f>
        <v>2</v>
      </c>
      <c r="R1799" s="35" t="s">
        <v>441</v>
      </c>
      <c r="S1799" s="35" t="str">
        <f>MID(Tabla1[[#This Row],[Aplicación]],6,2)</f>
        <v>03</v>
      </c>
      <c r="T1799" s="35" t="str">
        <f>VLOOKUP(Tabla1[[#This Row],[AREA]],Hoja1!A:B,2,FALSE)</f>
        <v>03. Participación ciudadana y deportes</v>
      </c>
      <c r="U1799" s="35" t="str">
        <f>MID(Tabla1[[#This Row],[Aplicación]],9,4)</f>
        <v>9241</v>
      </c>
      <c r="V1799" s="35" t="str">
        <f>VLOOKUP(Tabla1[[#This Row],[PROGRAMA]],Hoja1!A:B,2,FALSE)</f>
        <v>9241. Participación ciudadana</v>
      </c>
      <c r="W1799" s="35" t="str">
        <f>MID(Tabla1[[#This Row],[Aplicación]],14,2)</f>
        <v>22</v>
      </c>
      <c r="X1799" s="35" t="str">
        <f>MID(Tabla1[[#This Row],[Aplicación]],14,6)</f>
        <v>22609</v>
      </c>
    </row>
    <row r="1800" spans="1:24" x14ac:dyDescent="0.25">
      <c r="A1800" s="49">
        <v>220220000365</v>
      </c>
      <c r="B1800" s="50" t="s">
        <v>9</v>
      </c>
      <c r="C1800" s="57">
        <v>44585</v>
      </c>
      <c r="D1800" s="49">
        <v>22022001523</v>
      </c>
      <c r="E1800" s="50" t="s">
        <v>1436</v>
      </c>
      <c r="F1800" s="58">
        <v>544.5</v>
      </c>
      <c r="G1800" s="50" t="s">
        <v>824</v>
      </c>
      <c r="H1800" s="50" t="s">
        <v>3195</v>
      </c>
      <c r="I1800" s="49" t="s">
        <v>107</v>
      </c>
      <c r="J1800" s="50" t="s">
        <v>825</v>
      </c>
      <c r="K1800" s="50" t="s">
        <v>109</v>
      </c>
      <c r="L1800" s="50" t="s">
        <v>12</v>
      </c>
      <c r="M1800" s="50" t="s">
        <v>10</v>
      </c>
      <c r="N1800" s="50" t="s">
        <v>11</v>
      </c>
      <c r="O1800" s="48" t="s">
        <v>632</v>
      </c>
      <c r="P1800" s="45" t="s">
        <v>453</v>
      </c>
      <c r="Q1800" s="35" t="str">
        <f>MID(Tabla1[[#This Row],[Aplicación]],14,1)</f>
        <v>2</v>
      </c>
      <c r="R1800" s="35" t="s">
        <v>441</v>
      </c>
      <c r="S1800" s="35" t="str">
        <f>MID(Tabla1[[#This Row],[Aplicación]],6,2)</f>
        <v>03</v>
      </c>
      <c r="T1800" s="35" t="str">
        <f>VLOOKUP(Tabla1[[#This Row],[AREA]],Hoja1!A:B,2,FALSE)</f>
        <v>03. Participación ciudadana y deportes</v>
      </c>
      <c r="U1800" s="35" t="str">
        <f>MID(Tabla1[[#This Row],[Aplicación]],9,4)</f>
        <v>9241</v>
      </c>
      <c r="V1800" s="35" t="str">
        <f>VLOOKUP(Tabla1[[#This Row],[PROGRAMA]],Hoja1!A:B,2,FALSE)</f>
        <v>9241. Participación ciudadana</v>
      </c>
      <c r="W1800" s="35" t="str">
        <f>MID(Tabla1[[#This Row],[Aplicación]],14,2)</f>
        <v>22</v>
      </c>
      <c r="X1800" s="35" t="str">
        <f>MID(Tabla1[[#This Row],[Aplicación]],14,6)</f>
        <v>22609</v>
      </c>
    </row>
    <row r="1801" spans="1:24" x14ac:dyDescent="0.25">
      <c r="A1801" s="49">
        <v>220220010336</v>
      </c>
      <c r="B1801" s="50" t="s">
        <v>9</v>
      </c>
      <c r="C1801" s="57">
        <v>44641</v>
      </c>
      <c r="D1801" s="49">
        <v>22022002913</v>
      </c>
      <c r="E1801" s="50" t="s">
        <v>1436</v>
      </c>
      <c r="F1801" s="58">
        <v>544.5</v>
      </c>
      <c r="G1801" s="50" t="s">
        <v>824</v>
      </c>
      <c r="H1801" s="50" t="s">
        <v>3196</v>
      </c>
      <c r="I1801" s="49" t="s">
        <v>107</v>
      </c>
      <c r="J1801" s="50" t="s">
        <v>825</v>
      </c>
      <c r="K1801" s="50" t="s">
        <v>109</v>
      </c>
      <c r="L1801" s="50" t="s">
        <v>12</v>
      </c>
      <c r="M1801" s="50" t="s">
        <v>10</v>
      </c>
      <c r="N1801" s="50" t="s">
        <v>11</v>
      </c>
      <c r="O1801" s="48" t="s">
        <v>632</v>
      </c>
      <c r="P1801" s="45" t="s">
        <v>453</v>
      </c>
      <c r="Q1801" s="35" t="str">
        <f>MID(Tabla1[[#This Row],[Aplicación]],14,1)</f>
        <v>2</v>
      </c>
      <c r="R1801" s="35" t="s">
        <v>441</v>
      </c>
      <c r="S1801" s="35" t="str">
        <f>MID(Tabla1[[#This Row],[Aplicación]],6,2)</f>
        <v>03</v>
      </c>
      <c r="T1801" s="35" t="str">
        <f>VLOOKUP(Tabla1[[#This Row],[AREA]],Hoja1!A:B,2,FALSE)</f>
        <v>03. Participación ciudadana y deportes</v>
      </c>
      <c r="U1801" s="35" t="str">
        <f>MID(Tabla1[[#This Row],[Aplicación]],9,4)</f>
        <v>9241</v>
      </c>
      <c r="V1801" s="35" t="str">
        <f>VLOOKUP(Tabla1[[#This Row],[PROGRAMA]],Hoja1!A:B,2,FALSE)</f>
        <v>9241. Participación ciudadana</v>
      </c>
      <c r="W1801" s="35" t="str">
        <f>MID(Tabla1[[#This Row],[Aplicación]],14,2)</f>
        <v>22</v>
      </c>
      <c r="X1801" s="35" t="str">
        <f>MID(Tabla1[[#This Row],[Aplicación]],14,6)</f>
        <v>22609</v>
      </c>
    </row>
    <row r="1802" spans="1:24" x14ac:dyDescent="0.25">
      <c r="A1802" s="49">
        <v>220220009352</v>
      </c>
      <c r="B1802" s="50" t="s">
        <v>9</v>
      </c>
      <c r="C1802" s="57">
        <v>44636</v>
      </c>
      <c r="D1802" s="49">
        <v>22022002741</v>
      </c>
      <c r="E1802" s="50" t="s">
        <v>1629</v>
      </c>
      <c r="F1802" s="58">
        <v>181.5</v>
      </c>
      <c r="G1802" s="50" t="s">
        <v>896</v>
      </c>
      <c r="H1802" s="50" t="s">
        <v>3197</v>
      </c>
      <c r="I1802" s="49" t="s">
        <v>107</v>
      </c>
      <c r="J1802" s="50" t="s">
        <v>109</v>
      </c>
      <c r="K1802" s="50" t="s">
        <v>109</v>
      </c>
      <c r="L1802" s="50" t="s">
        <v>12</v>
      </c>
      <c r="M1802" s="50" t="s">
        <v>10</v>
      </c>
      <c r="N1802" s="50" t="s">
        <v>11</v>
      </c>
      <c r="O1802" s="48" t="s">
        <v>632</v>
      </c>
      <c r="P1802" s="45" t="s">
        <v>453</v>
      </c>
      <c r="Q1802" s="35" t="str">
        <f>MID(Tabla1[[#This Row],[Aplicación]],14,1)</f>
        <v>2</v>
      </c>
      <c r="R1802" s="35" t="s">
        <v>441</v>
      </c>
      <c r="S1802" s="35" t="str">
        <f>MID(Tabla1[[#This Row],[Aplicación]],6,2)</f>
        <v>06</v>
      </c>
      <c r="T1802" s="35" t="str">
        <f>VLOOKUP(Tabla1[[#This Row],[AREA]],Hoja1!A:B,2,FALSE)</f>
        <v>06. Educación, infancia, juventud e igualdad</v>
      </c>
      <c r="U1802" s="35" t="str">
        <f>MID(Tabla1[[#This Row],[Aplicación]],9,4)</f>
        <v>2315</v>
      </c>
      <c r="V1802" s="35" t="str">
        <f>VLOOKUP(Tabla1[[#This Row],[PROGRAMA]],Hoja1!A:B,2,FALSE)</f>
        <v>2315. Políticas de Igualdad e infancia</v>
      </c>
      <c r="W1802" s="35" t="str">
        <f>MID(Tabla1[[#This Row],[Aplicación]],14,2)</f>
        <v>22</v>
      </c>
      <c r="X1802" s="35" t="str">
        <f>MID(Tabla1[[#This Row],[Aplicación]],14,6)</f>
        <v>22611</v>
      </c>
    </row>
    <row r="1803" spans="1:24" x14ac:dyDescent="0.25">
      <c r="A1803" s="49">
        <v>220210077814</v>
      </c>
      <c r="B1803" s="50" t="s">
        <v>9</v>
      </c>
      <c r="C1803" s="57">
        <v>44620</v>
      </c>
      <c r="D1803" s="49">
        <v>22021008171</v>
      </c>
      <c r="E1803" s="50" t="s">
        <v>1602</v>
      </c>
      <c r="F1803" s="58">
        <v>589.35</v>
      </c>
      <c r="G1803" s="50" t="s">
        <v>102</v>
      </c>
      <c r="H1803" s="50" t="s">
        <v>1241</v>
      </c>
      <c r="I1803" s="49" t="s">
        <v>107</v>
      </c>
      <c r="J1803" s="50" t="s">
        <v>108</v>
      </c>
      <c r="K1803" s="50" t="s">
        <v>108</v>
      </c>
      <c r="L1803" s="50" t="s">
        <v>12</v>
      </c>
      <c r="M1803" s="50" t="s">
        <v>10</v>
      </c>
      <c r="N1803" s="50" t="s">
        <v>11</v>
      </c>
      <c r="O1803" s="48" t="s">
        <v>632</v>
      </c>
      <c r="P1803" s="45" t="s">
        <v>453</v>
      </c>
      <c r="Q1803" s="35" t="str">
        <f>MID(Tabla1[[#This Row],[Aplicación]],14,1)</f>
        <v>6</v>
      </c>
      <c r="R1803" s="35" t="s">
        <v>442</v>
      </c>
      <c r="S1803" s="35" t="str">
        <f>MID(Tabla1[[#This Row],[Aplicación]],6,2)</f>
        <v>05</v>
      </c>
      <c r="T1803" s="35" t="str">
        <f>VLOOKUP(Tabla1[[#This Row],[AREA]],Hoja1!A:B,2,FALSE)</f>
        <v>05. Innovación, desarrollo económico, empleo y comercio</v>
      </c>
      <c r="U1803" s="35" t="str">
        <f>MID(Tabla1[[#This Row],[Aplicación]],9,4)</f>
        <v>4331</v>
      </c>
      <c r="V1803" s="35" t="str">
        <f>VLOOKUP(Tabla1[[#This Row],[PROGRAMA]],Hoja1!A:B,2,FALSE)</f>
        <v>4331. Desarrollo empresarial</v>
      </c>
      <c r="W1803" s="35" t="str">
        <f>MID(Tabla1[[#This Row],[Aplicación]],14,2)</f>
        <v>60</v>
      </c>
      <c r="X1803" s="35" t="str">
        <f>MID(Tabla1[[#This Row],[Aplicación]],14,6)</f>
        <v>609</v>
      </c>
    </row>
    <row r="1804" spans="1:24" x14ac:dyDescent="0.25">
      <c r="A1804" s="49">
        <v>220220006333</v>
      </c>
      <c r="B1804" s="50" t="s">
        <v>26</v>
      </c>
      <c r="C1804" s="57">
        <v>44617</v>
      </c>
      <c r="D1804" s="49">
        <v>22022002422</v>
      </c>
      <c r="E1804" s="50" t="s">
        <v>1629</v>
      </c>
      <c r="F1804" s="58">
        <v>580.79999999999995</v>
      </c>
      <c r="G1804" s="50" t="s">
        <v>1027</v>
      </c>
      <c r="H1804" s="50" t="s">
        <v>3198</v>
      </c>
      <c r="I1804" s="49" t="s">
        <v>197</v>
      </c>
      <c r="J1804" s="50" t="s">
        <v>596</v>
      </c>
      <c r="K1804" s="50" t="s">
        <v>109</v>
      </c>
      <c r="L1804" s="50" t="s">
        <v>12</v>
      </c>
      <c r="M1804" s="50" t="s">
        <v>10</v>
      </c>
      <c r="N1804" s="50" t="s">
        <v>11</v>
      </c>
      <c r="O1804" s="48" t="s">
        <v>632</v>
      </c>
      <c r="P1804" s="45" t="s">
        <v>453</v>
      </c>
      <c r="Q1804" s="35" t="str">
        <f>MID(Tabla1[[#This Row],[Aplicación]],14,1)</f>
        <v>2</v>
      </c>
      <c r="R1804" s="35" t="s">
        <v>441</v>
      </c>
      <c r="S1804" s="35" t="str">
        <f>MID(Tabla1[[#This Row],[Aplicación]],6,2)</f>
        <v>06</v>
      </c>
      <c r="T1804" s="35" t="str">
        <f>VLOOKUP(Tabla1[[#This Row],[AREA]],Hoja1!A:B,2,FALSE)</f>
        <v>06. Educación, infancia, juventud e igualdad</v>
      </c>
      <c r="U1804" s="35" t="str">
        <f>MID(Tabla1[[#This Row],[Aplicación]],9,4)</f>
        <v>2315</v>
      </c>
      <c r="V1804" s="35" t="str">
        <f>VLOOKUP(Tabla1[[#This Row],[PROGRAMA]],Hoja1!A:B,2,FALSE)</f>
        <v>2315. Políticas de Igualdad e infancia</v>
      </c>
      <c r="W1804" s="35" t="str">
        <f>MID(Tabla1[[#This Row],[Aplicación]],14,2)</f>
        <v>22</v>
      </c>
      <c r="X1804" s="35" t="str">
        <f>MID(Tabla1[[#This Row],[Aplicación]],14,6)</f>
        <v>22611</v>
      </c>
    </row>
    <row r="1805" spans="1:24" x14ac:dyDescent="0.25">
      <c r="A1805" s="49">
        <v>220220000394</v>
      </c>
      <c r="B1805" s="50" t="s">
        <v>9</v>
      </c>
      <c r="C1805" s="57">
        <v>44586</v>
      </c>
      <c r="D1805" s="49">
        <v>22022000020</v>
      </c>
      <c r="E1805" s="50" t="s">
        <v>1496</v>
      </c>
      <c r="F1805" s="58">
        <v>2603.9899999999998</v>
      </c>
      <c r="G1805" s="50" t="s">
        <v>44</v>
      </c>
      <c r="H1805" s="50" t="s">
        <v>3199</v>
      </c>
      <c r="I1805" s="49" t="s">
        <v>107</v>
      </c>
      <c r="J1805" s="50" t="s">
        <v>109</v>
      </c>
      <c r="K1805" s="50" t="s">
        <v>109</v>
      </c>
      <c r="L1805" s="50" t="s">
        <v>12</v>
      </c>
      <c r="M1805" s="50" t="s">
        <v>10</v>
      </c>
      <c r="N1805" s="50" t="s">
        <v>11</v>
      </c>
      <c r="O1805" s="48" t="s">
        <v>632</v>
      </c>
      <c r="P1805" s="45" t="s">
        <v>453</v>
      </c>
      <c r="Q1805" s="35" t="str">
        <f>MID(Tabla1[[#This Row],[Aplicación]],14,1)</f>
        <v>2</v>
      </c>
      <c r="R1805" s="35" t="s">
        <v>441</v>
      </c>
      <c r="S1805" s="35" t="str">
        <f>MID(Tabla1[[#This Row],[Aplicación]],6,2)</f>
        <v>10</v>
      </c>
      <c r="T1805" s="35" t="str">
        <f>VLOOKUP(Tabla1[[#This Row],[AREA]],Hoja1!A:B,2,FALSE)</f>
        <v>10. Servicios sociales y mediación comunitaria</v>
      </c>
      <c r="U1805" s="35" t="str">
        <f>MID(Tabla1[[#This Row],[Aplicación]],9,4)</f>
        <v>2311</v>
      </c>
      <c r="V1805" s="35" t="str">
        <f>VLOOKUP(Tabla1[[#This Row],[PROGRAMA]],Hoja1!A:B,2,FALSE)</f>
        <v>2311. Intervención social</v>
      </c>
      <c r="W1805" s="35" t="str">
        <f>MID(Tabla1[[#This Row],[Aplicación]],14,2)</f>
        <v>21</v>
      </c>
      <c r="X1805" s="35" t="str">
        <f>MID(Tabla1[[#This Row],[Aplicación]],14,6)</f>
        <v>213</v>
      </c>
    </row>
    <row r="1806" spans="1:24" x14ac:dyDescent="0.25">
      <c r="A1806" s="49">
        <v>220220008267</v>
      </c>
      <c r="B1806" s="50" t="s">
        <v>9</v>
      </c>
      <c r="C1806" s="57">
        <v>44629</v>
      </c>
      <c r="D1806" s="49">
        <v>22021008078</v>
      </c>
      <c r="E1806" s="50" t="s">
        <v>1789</v>
      </c>
      <c r="F1806" s="58">
        <v>8514.06</v>
      </c>
      <c r="G1806" s="50" t="s">
        <v>1143</v>
      </c>
      <c r="H1806" s="50" t="s">
        <v>3200</v>
      </c>
      <c r="I1806" s="49" t="s">
        <v>181</v>
      </c>
      <c r="J1806" s="50" t="s">
        <v>109</v>
      </c>
      <c r="K1806" s="50" t="s">
        <v>109</v>
      </c>
      <c r="L1806" s="50" t="s">
        <v>25</v>
      </c>
      <c r="M1806" s="50" t="s">
        <v>10</v>
      </c>
      <c r="N1806" s="50" t="s">
        <v>11</v>
      </c>
      <c r="O1806" s="48" t="s">
        <v>632</v>
      </c>
      <c r="P1806" s="45" t="s">
        <v>453</v>
      </c>
      <c r="Q1806" s="35" t="str">
        <f>MID(Tabla1[[#This Row],[Aplicación]],14,1)</f>
        <v>6</v>
      </c>
      <c r="R1806" s="35" t="s">
        <v>442</v>
      </c>
      <c r="S1806" s="35" t="str">
        <f>MID(Tabla1[[#This Row],[Aplicación]],6,2)</f>
        <v>10</v>
      </c>
      <c r="T1806" s="35" t="str">
        <f>VLOOKUP(Tabla1[[#This Row],[AREA]],Hoja1!A:B,2,FALSE)</f>
        <v>10. Servicios sociales y mediación comunitaria</v>
      </c>
      <c r="U1806" s="35" t="str">
        <f>MID(Tabla1[[#This Row],[Aplicación]],9,4)</f>
        <v>2311</v>
      </c>
      <c r="V1806" s="35" t="str">
        <f>VLOOKUP(Tabla1[[#This Row],[PROGRAMA]],Hoja1!A:B,2,FALSE)</f>
        <v>2311. Intervención social</v>
      </c>
      <c r="W1806" s="35" t="str">
        <f>MID(Tabla1[[#This Row],[Aplicación]],14,2)</f>
        <v>63</v>
      </c>
      <c r="X1806" s="35" t="str">
        <f>MID(Tabla1[[#This Row],[Aplicación]],14,6)</f>
        <v>632</v>
      </c>
    </row>
    <row r="1807" spans="1:24" x14ac:dyDescent="0.25">
      <c r="A1807" s="49">
        <v>220220000076</v>
      </c>
      <c r="B1807" s="50" t="s">
        <v>9</v>
      </c>
      <c r="C1807" s="57">
        <v>44580</v>
      </c>
      <c r="D1807" s="49">
        <v>22022001023</v>
      </c>
      <c r="E1807" s="50" t="s">
        <v>1659</v>
      </c>
      <c r="F1807" s="58">
        <v>290.39999999999998</v>
      </c>
      <c r="G1807" s="50" t="s">
        <v>250</v>
      </c>
      <c r="H1807" s="50" t="s">
        <v>3201</v>
      </c>
      <c r="I1807" s="49" t="s">
        <v>107</v>
      </c>
      <c r="J1807" s="50" t="s">
        <v>109</v>
      </c>
      <c r="K1807" s="50" t="s">
        <v>109</v>
      </c>
      <c r="L1807" s="50" t="s">
        <v>12</v>
      </c>
      <c r="M1807" s="50" t="s">
        <v>10</v>
      </c>
      <c r="N1807" s="50" t="s">
        <v>11</v>
      </c>
      <c r="O1807" s="48" t="s">
        <v>632</v>
      </c>
      <c r="P1807" s="45" t="s">
        <v>453</v>
      </c>
      <c r="Q1807" s="35" t="str">
        <f>MID(Tabla1[[#This Row],[Aplicación]],14,1)</f>
        <v>2</v>
      </c>
      <c r="R1807" s="35" t="s">
        <v>441</v>
      </c>
      <c r="S1807" s="35" t="str">
        <f>MID(Tabla1[[#This Row],[Aplicación]],6,2)</f>
        <v>05</v>
      </c>
      <c r="T1807" s="35" t="str">
        <f>VLOOKUP(Tabla1[[#This Row],[AREA]],Hoja1!A:B,2,FALSE)</f>
        <v>05. Innovación, desarrollo económico, empleo y comercio</v>
      </c>
      <c r="U1807" s="35" t="str">
        <f>MID(Tabla1[[#This Row],[Aplicación]],9,4)</f>
        <v>4331</v>
      </c>
      <c r="V1807" s="35" t="str">
        <f>VLOOKUP(Tabla1[[#This Row],[PROGRAMA]],Hoja1!A:B,2,FALSE)</f>
        <v>4331. Desarrollo empresarial</v>
      </c>
      <c r="W1807" s="35" t="str">
        <f>MID(Tabla1[[#This Row],[Aplicación]],14,2)</f>
        <v>22</v>
      </c>
      <c r="X1807" s="35" t="str">
        <f>MID(Tabla1[[#This Row],[Aplicación]],14,6)</f>
        <v>22799</v>
      </c>
    </row>
    <row r="1808" spans="1:24" x14ac:dyDescent="0.25">
      <c r="A1808" s="49">
        <v>220220009350</v>
      </c>
      <c r="B1808" s="50" t="s">
        <v>9</v>
      </c>
      <c r="C1808" s="57">
        <v>44636</v>
      </c>
      <c r="D1808" s="49">
        <v>22022002728</v>
      </c>
      <c r="E1808" s="50" t="s">
        <v>1629</v>
      </c>
      <c r="F1808" s="58">
        <v>135.36000000000001</v>
      </c>
      <c r="G1808" s="50" t="s">
        <v>250</v>
      </c>
      <c r="H1808" s="50" t="s">
        <v>3202</v>
      </c>
      <c r="I1808" s="49" t="s">
        <v>107</v>
      </c>
      <c r="J1808" s="50" t="s">
        <v>109</v>
      </c>
      <c r="K1808" s="50" t="s">
        <v>109</v>
      </c>
      <c r="L1808" s="50" t="s">
        <v>12</v>
      </c>
      <c r="M1808" s="50" t="s">
        <v>10</v>
      </c>
      <c r="N1808" s="50" t="s">
        <v>11</v>
      </c>
      <c r="O1808" s="48" t="s">
        <v>632</v>
      </c>
      <c r="P1808" s="45" t="s">
        <v>453</v>
      </c>
      <c r="Q1808" s="35" t="str">
        <f>MID(Tabla1[[#This Row],[Aplicación]],14,1)</f>
        <v>2</v>
      </c>
      <c r="R1808" s="35" t="s">
        <v>441</v>
      </c>
      <c r="S1808" s="35" t="str">
        <f>MID(Tabla1[[#This Row],[Aplicación]],6,2)</f>
        <v>06</v>
      </c>
      <c r="T1808" s="35" t="str">
        <f>VLOOKUP(Tabla1[[#This Row],[AREA]],Hoja1!A:B,2,FALSE)</f>
        <v>06. Educación, infancia, juventud e igualdad</v>
      </c>
      <c r="U1808" s="35" t="str">
        <f>MID(Tabla1[[#This Row],[Aplicación]],9,4)</f>
        <v>2315</v>
      </c>
      <c r="V1808" s="35" t="str">
        <f>VLOOKUP(Tabla1[[#This Row],[PROGRAMA]],Hoja1!A:B,2,FALSE)</f>
        <v>2315. Políticas de Igualdad e infancia</v>
      </c>
      <c r="W1808" s="35" t="str">
        <f>MID(Tabla1[[#This Row],[Aplicación]],14,2)</f>
        <v>22</v>
      </c>
      <c r="X1808" s="35" t="str">
        <f>MID(Tabla1[[#This Row],[Aplicación]],14,6)</f>
        <v>22611</v>
      </c>
    </row>
    <row r="1809" spans="1:24" x14ac:dyDescent="0.25">
      <c r="A1809" s="49">
        <v>220220001799</v>
      </c>
      <c r="B1809" s="50" t="s">
        <v>9</v>
      </c>
      <c r="C1809" s="57">
        <v>44589</v>
      </c>
      <c r="D1809" s="49">
        <v>22022001706</v>
      </c>
      <c r="E1809" s="50" t="s">
        <v>1608</v>
      </c>
      <c r="F1809" s="58">
        <v>567.01</v>
      </c>
      <c r="G1809" s="50" t="s">
        <v>828</v>
      </c>
      <c r="H1809" s="50" t="s">
        <v>3203</v>
      </c>
      <c r="I1809" s="49" t="s">
        <v>107</v>
      </c>
      <c r="J1809" s="50" t="s">
        <v>829</v>
      </c>
      <c r="K1809" s="50" t="s">
        <v>134</v>
      </c>
      <c r="L1809" s="50" t="s">
        <v>12</v>
      </c>
      <c r="M1809" s="50" t="s">
        <v>10</v>
      </c>
      <c r="N1809" s="50" t="s">
        <v>11</v>
      </c>
      <c r="O1809" s="48" t="s">
        <v>632</v>
      </c>
      <c r="P1809" s="45" t="s">
        <v>453</v>
      </c>
      <c r="Q1809" s="35" t="str">
        <f>MID(Tabla1[[#This Row],[Aplicación]],14,1)</f>
        <v>2</v>
      </c>
      <c r="R1809" s="35" t="s">
        <v>441</v>
      </c>
      <c r="S1809" s="35" t="str">
        <f>MID(Tabla1[[#This Row],[Aplicación]],6,2)</f>
        <v>11</v>
      </c>
      <c r="T1809" s="35" t="str">
        <f>VLOOKUP(Tabla1[[#This Row],[AREA]],Hoja1!A:B,2,FALSE)</f>
        <v>11. Salud pública y seguridad ciudadana</v>
      </c>
      <c r="U1809" s="35" t="str">
        <f>MID(Tabla1[[#This Row],[Aplicación]],9,4)</f>
        <v>1321</v>
      </c>
      <c r="V1809" s="35" t="str">
        <f>VLOOKUP(Tabla1[[#This Row],[PROGRAMA]],Hoja1!A:B,2,FALSE)</f>
        <v>1321. Policía municipal</v>
      </c>
      <c r="W1809" s="35" t="str">
        <f>MID(Tabla1[[#This Row],[Aplicación]],14,2)</f>
        <v>21</v>
      </c>
      <c r="X1809" s="35" t="str">
        <f>MID(Tabla1[[#This Row],[Aplicación]],14,6)</f>
        <v>214</v>
      </c>
    </row>
    <row r="1810" spans="1:24" x14ac:dyDescent="0.25">
      <c r="A1810" s="49">
        <v>220220010319</v>
      </c>
      <c r="B1810" s="50" t="s">
        <v>9</v>
      </c>
      <c r="C1810" s="57">
        <v>44641</v>
      </c>
      <c r="D1810" s="49">
        <v>22022002894</v>
      </c>
      <c r="E1810" s="50" t="s">
        <v>1436</v>
      </c>
      <c r="F1810" s="58">
        <v>544.5</v>
      </c>
      <c r="G1810" s="50" t="s">
        <v>1261</v>
      </c>
      <c r="H1810" s="50" t="s">
        <v>3204</v>
      </c>
      <c r="I1810" s="49" t="s">
        <v>107</v>
      </c>
      <c r="J1810" s="50" t="s">
        <v>109</v>
      </c>
      <c r="K1810" s="50" t="s">
        <v>109</v>
      </c>
      <c r="L1810" s="50" t="s">
        <v>12</v>
      </c>
      <c r="M1810" s="50" t="s">
        <v>10</v>
      </c>
      <c r="N1810" s="50" t="s">
        <v>11</v>
      </c>
      <c r="O1810" s="48" t="s">
        <v>632</v>
      </c>
      <c r="P1810" s="45" t="s">
        <v>453</v>
      </c>
      <c r="Q1810" s="35" t="str">
        <f>MID(Tabla1[[#This Row],[Aplicación]],14,1)</f>
        <v>2</v>
      </c>
      <c r="R1810" s="35" t="s">
        <v>441</v>
      </c>
      <c r="S1810" s="35" t="str">
        <f>MID(Tabla1[[#This Row],[Aplicación]],6,2)</f>
        <v>03</v>
      </c>
      <c r="T1810" s="35" t="str">
        <f>VLOOKUP(Tabla1[[#This Row],[AREA]],Hoja1!A:B,2,FALSE)</f>
        <v>03. Participación ciudadana y deportes</v>
      </c>
      <c r="U1810" s="35" t="str">
        <f>MID(Tabla1[[#This Row],[Aplicación]],9,4)</f>
        <v>9241</v>
      </c>
      <c r="V1810" s="35" t="str">
        <f>VLOOKUP(Tabla1[[#This Row],[PROGRAMA]],Hoja1!A:B,2,FALSE)</f>
        <v>9241. Participación ciudadana</v>
      </c>
      <c r="W1810" s="35" t="str">
        <f>MID(Tabla1[[#This Row],[Aplicación]],14,2)</f>
        <v>22</v>
      </c>
      <c r="X1810" s="35" t="str">
        <f>MID(Tabla1[[#This Row],[Aplicación]],14,6)</f>
        <v>22609</v>
      </c>
    </row>
    <row r="1811" spans="1:24" x14ac:dyDescent="0.25">
      <c r="A1811" s="49">
        <v>220220010679</v>
      </c>
      <c r="B1811" s="50" t="s">
        <v>172</v>
      </c>
      <c r="C1811" s="57">
        <v>44642</v>
      </c>
      <c r="D1811" s="49">
        <v>22021006629</v>
      </c>
      <c r="E1811" s="50" t="s">
        <v>1665</v>
      </c>
      <c r="F1811" s="58">
        <v>38797.440000000002</v>
      </c>
      <c r="G1811" s="50" t="s">
        <v>3205</v>
      </c>
      <c r="H1811" s="50" t="s">
        <v>3206</v>
      </c>
      <c r="I1811" s="49" t="s">
        <v>173</v>
      </c>
      <c r="J1811" s="50" t="s">
        <v>109</v>
      </c>
      <c r="K1811" s="50" t="s">
        <v>109</v>
      </c>
      <c r="L1811" s="50" t="s">
        <v>12</v>
      </c>
      <c r="M1811" s="50" t="s">
        <v>13</v>
      </c>
      <c r="N1811" s="50" t="s">
        <v>14</v>
      </c>
      <c r="O1811" s="48" t="s">
        <v>620</v>
      </c>
      <c r="P1811" s="45" t="s">
        <v>453</v>
      </c>
      <c r="Q1811" s="35" t="str">
        <f>MID(Tabla1[[#This Row],[Aplicación]],14,1)</f>
        <v>6</v>
      </c>
      <c r="R1811" s="35" t="s">
        <v>442</v>
      </c>
      <c r="S1811" s="35" t="str">
        <f>MID(Tabla1[[#This Row],[Aplicación]],6,2)</f>
        <v>02</v>
      </c>
      <c r="T1811" s="35" t="str">
        <f>VLOOKUP(Tabla1[[#This Row],[AREA]],Hoja1!A:B,2,FALSE)</f>
        <v>02. Planeamiento urbanístico y vivienda</v>
      </c>
      <c r="U1811" s="35" t="str">
        <f>MID(Tabla1[[#This Row],[Aplicación]],9,4)</f>
        <v>9332</v>
      </c>
      <c r="V1811" s="35" t="str">
        <f>VLOOKUP(Tabla1[[#This Row],[PROGRAMA]],Hoja1!A:B,2,FALSE)</f>
        <v>9332. Mantenimiento de edificios e instalaciones municipales</v>
      </c>
      <c r="W1811" s="35" t="str">
        <f>MID(Tabla1[[#This Row],[Aplicación]],14,2)</f>
        <v>63</v>
      </c>
      <c r="X1811" s="35" t="str">
        <f>MID(Tabla1[[#This Row],[Aplicación]],14,6)</f>
        <v>632</v>
      </c>
    </row>
    <row r="1812" spans="1:24" x14ac:dyDescent="0.25">
      <c r="A1812" s="49">
        <v>220220006706</v>
      </c>
      <c r="B1812" s="50" t="s">
        <v>9</v>
      </c>
      <c r="C1812" s="57">
        <v>44617</v>
      </c>
      <c r="D1812" s="49">
        <v>22022002501</v>
      </c>
      <c r="E1812" s="50" t="s">
        <v>2020</v>
      </c>
      <c r="F1812" s="58">
        <v>4126.1000000000004</v>
      </c>
      <c r="G1812" s="50" t="s">
        <v>3161</v>
      </c>
      <c r="H1812" s="50" t="s">
        <v>3207</v>
      </c>
      <c r="I1812" s="49" t="s">
        <v>107</v>
      </c>
      <c r="J1812" s="50" t="s">
        <v>109</v>
      </c>
      <c r="K1812" s="50" t="s">
        <v>109</v>
      </c>
      <c r="L1812" s="50" t="s">
        <v>25</v>
      </c>
      <c r="M1812" s="50" t="s">
        <v>10</v>
      </c>
      <c r="N1812" s="50" t="s">
        <v>11</v>
      </c>
      <c r="O1812" s="48" t="s">
        <v>632</v>
      </c>
      <c r="P1812" s="45" t="s">
        <v>453</v>
      </c>
      <c r="Q1812" s="35" t="str">
        <f>MID(Tabla1[[#This Row],[Aplicación]],14,1)</f>
        <v>2</v>
      </c>
      <c r="R1812" s="35" t="s">
        <v>441</v>
      </c>
      <c r="S1812" s="35" t="str">
        <f>MID(Tabla1[[#This Row],[Aplicación]],6,2)</f>
        <v>10</v>
      </c>
      <c r="T1812" s="35" t="str">
        <f>VLOOKUP(Tabla1[[#This Row],[AREA]],Hoja1!A:B,2,FALSE)</f>
        <v>10. Servicios sociales y mediación comunitaria</v>
      </c>
      <c r="U1812" s="35" t="str">
        <f>MID(Tabla1[[#This Row],[Aplicación]],9,4)</f>
        <v>2312</v>
      </c>
      <c r="V1812" s="35" t="str">
        <f>VLOOKUP(Tabla1[[#This Row],[PROGRAMA]],Hoja1!A:B,2,FALSE)</f>
        <v>2312. Iniciativas sociales</v>
      </c>
      <c r="W1812" s="35" t="str">
        <f>MID(Tabla1[[#This Row],[Aplicación]],14,2)</f>
        <v>21</v>
      </c>
      <c r="X1812" s="35" t="str">
        <f>MID(Tabla1[[#This Row],[Aplicación]],14,6)</f>
        <v>212</v>
      </c>
    </row>
    <row r="1813" spans="1:24" x14ac:dyDescent="0.25">
      <c r="A1813" s="49">
        <v>220219001265</v>
      </c>
      <c r="B1813" s="50" t="s">
        <v>9</v>
      </c>
      <c r="C1813" s="57">
        <v>44562</v>
      </c>
      <c r="D1813" s="49">
        <v>22022001680</v>
      </c>
      <c r="E1813" s="50" t="s">
        <v>1458</v>
      </c>
      <c r="F1813" s="58">
        <v>4621.08</v>
      </c>
      <c r="G1813" s="50" t="s">
        <v>3208</v>
      </c>
      <c r="H1813" s="50" t="s">
        <v>3209</v>
      </c>
      <c r="I1813" s="49" t="s">
        <v>107</v>
      </c>
      <c r="J1813" s="50" t="s">
        <v>108</v>
      </c>
      <c r="K1813" s="50" t="s">
        <v>108</v>
      </c>
      <c r="L1813" s="50" t="s">
        <v>12</v>
      </c>
      <c r="M1813" s="50" t="s">
        <v>13</v>
      </c>
      <c r="N1813" s="50" t="s">
        <v>14</v>
      </c>
      <c r="O1813" s="48" t="s">
        <v>620</v>
      </c>
      <c r="P1813" s="45" t="s">
        <v>453</v>
      </c>
      <c r="Q1813" s="35" t="str">
        <f>MID(Tabla1[[#This Row],[Aplicación]],14,1)</f>
        <v>2</v>
      </c>
      <c r="R1813" s="35" t="s">
        <v>441</v>
      </c>
      <c r="S1813" s="35" t="str">
        <f>MID(Tabla1[[#This Row],[Aplicación]],6,2)</f>
        <v>04</v>
      </c>
      <c r="T1813" s="35" t="str">
        <f>VLOOKUP(Tabla1[[#This Row],[AREA]],Hoja1!A:B,2,FALSE)</f>
        <v>04. Planificación y recursos</v>
      </c>
      <c r="U1813" s="35" t="str">
        <f>MID(Tabla1[[#This Row],[Aplicación]],9,4)</f>
        <v>9204</v>
      </c>
      <c r="V1813" s="35" t="str">
        <f>VLOOKUP(Tabla1[[#This Row],[PROGRAMA]],Hoja1!A:B,2,FALSE)</f>
        <v>9204. Tecnologías de la información y comunicación</v>
      </c>
      <c r="W1813" s="35" t="str">
        <f>MID(Tabla1[[#This Row],[Aplicación]],14,2)</f>
        <v>21</v>
      </c>
      <c r="X1813" s="35" t="str">
        <f>MID(Tabla1[[#This Row],[Aplicación]],14,6)</f>
        <v>213</v>
      </c>
    </row>
    <row r="1814" spans="1:24" x14ac:dyDescent="0.25">
      <c r="A1814" s="49">
        <v>220220000389</v>
      </c>
      <c r="B1814" s="50" t="s">
        <v>9</v>
      </c>
      <c r="C1814" s="57">
        <v>44586</v>
      </c>
      <c r="D1814" s="49">
        <v>22022000022</v>
      </c>
      <c r="E1814" s="50" t="s">
        <v>1488</v>
      </c>
      <c r="F1814" s="58">
        <v>2598.0100000000002</v>
      </c>
      <c r="G1814" s="50" t="s">
        <v>44</v>
      </c>
      <c r="H1814" s="50" t="s">
        <v>3210</v>
      </c>
      <c r="I1814" s="49" t="s">
        <v>107</v>
      </c>
      <c r="J1814" s="50" t="s">
        <v>109</v>
      </c>
      <c r="K1814" s="50" t="s">
        <v>109</v>
      </c>
      <c r="L1814" s="50" t="s">
        <v>12</v>
      </c>
      <c r="M1814" s="50" t="s">
        <v>10</v>
      </c>
      <c r="N1814" s="50" t="s">
        <v>11</v>
      </c>
      <c r="O1814" s="48" t="s">
        <v>632</v>
      </c>
      <c r="P1814" s="45" t="s">
        <v>453</v>
      </c>
      <c r="Q1814" s="35" t="str">
        <f>MID(Tabla1[[#This Row],[Aplicación]],14,1)</f>
        <v>2</v>
      </c>
      <c r="R1814" s="35" t="s">
        <v>441</v>
      </c>
      <c r="S1814" s="35" t="str">
        <f>MID(Tabla1[[#This Row],[Aplicación]],6,2)</f>
        <v>10</v>
      </c>
      <c r="T1814" s="35" t="str">
        <f>VLOOKUP(Tabla1[[#This Row],[AREA]],Hoja1!A:B,2,FALSE)</f>
        <v>10. Servicios sociales y mediación comunitaria</v>
      </c>
      <c r="U1814" s="35" t="str">
        <f>MID(Tabla1[[#This Row],[Aplicación]],9,4)</f>
        <v>2312</v>
      </c>
      <c r="V1814" s="35" t="str">
        <f>VLOOKUP(Tabla1[[#This Row],[PROGRAMA]],Hoja1!A:B,2,FALSE)</f>
        <v>2312. Iniciativas sociales</v>
      </c>
      <c r="W1814" s="35" t="str">
        <f>MID(Tabla1[[#This Row],[Aplicación]],14,2)</f>
        <v>21</v>
      </c>
      <c r="X1814" s="35" t="str">
        <f>MID(Tabla1[[#This Row],[Aplicación]],14,6)</f>
        <v>213</v>
      </c>
    </row>
    <row r="1815" spans="1:24" x14ac:dyDescent="0.25">
      <c r="A1815" s="49">
        <v>220220010333</v>
      </c>
      <c r="B1815" s="50" t="s">
        <v>9</v>
      </c>
      <c r="C1815" s="57">
        <v>44641</v>
      </c>
      <c r="D1815" s="49">
        <v>22022002910</v>
      </c>
      <c r="E1815" s="50" t="s">
        <v>1436</v>
      </c>
      <c r="F1815" s="58">
        <v>544.5</v>
      </c>
      <c r="G1815" s="50" t="s">
        <v>1014</v>
      </c>
      <c r="H1815" s="50" t="s">
        <v>3211</v>
      </c>
      <c r="I1815" s="49" t="s">
        <v>107</v>
      </c>
      <c r="J1815" s="50" t="s">
        <v>108</v>
      </c>
      <c r="K1815" s="50" t="s">
        <v>108</v>
      </c>
      <c r="L1815" s="50" t="s">
        <v>12</v>
      </c>
      <c r="M1815" s="50" t="s">
        <v>10</v>
      </c>
      <c r="N1815" s="50" t="s">
        <v>11</v>
      </c>
      <c r="O1815" s="48" t="s">
        <v>632</v>
      </c>
      <c r="P1815" s="45" t="s">
        <v>453</v>
      </c>
      <c r="Q1815" s="35" t="str">
        <f>MID(Tabla1[[#This Row],[Aplicación]],14,1)</f>
        <v>2</v>
      </c>
      <c r="R1815" s="35" t="s">
        <v>441</v>
      </c>
      <c r="S1815" s="35" t="str">
        <f>MID(Tabla1[[#This Row],[Aplicación]],6,2)</f>
        <v>03</v>
      </c>
      <c r="T1815" s="35" t="str">
        <f>VLOOKUP(Tabla1[[#This Row],[AREA]],Hoja1!A:B,2,FALSE)</f>
        <v>03. Participación ciudadana y deportes</v>
      </c>
      <c r="U1815" s="35" t="str">
        <f>MID(Tabla1[[#This Row],[Aplicación]],9,4)</f>
        <v>9241</v>
      </c>
      <c r="V1815" s="35" t="str">
        <f>VLOOKUP(Tabla1[[#This Row],[PROGRAMA]],Hoja1!A:B,2,FALSE)</f>
        <v>9241. Participación ciudadana</v>
      </c>
      <c r="W1815" s="35" t="str">
        <f>MID(Tabla1[[#This Row],[Aplicación]],14,2)</f>
        <v>22</v>
      </c>
      <c r="X1815" s="35" t="str">
        <f>MID(Tabla1[[#This Row],[Aplicación]],14,6)</f>
        <v>22609</v>
      </c>
    </row>
    <row r="1816" spans="1:24" x14ac:dyDescent="0.25">
      <c r="A1816" s="49">
        <v>220220003104</v>
      </c>
      <c r="B1816" s="50" t="s">
        <v>9</v>
      </c>
      <c r="C1816" s="57">
        <v>44601</v>
      </c>
      <c r="D1816" s="49">
        <v>22022001953</v>
      </c>
      <c r="E1816" s="50" t="s">
        <v>2162</v>
      </c>
      <c r="F1816" s="58">
        <v>516.95000000000005</v>
      </c>
      <c r="G1816" s="50" t="s">
        <v>44</v>
      </c>
      <c r="H1816" s="50" t="s">
        <v>3212</v>
      </c>
      <c r="I1816" s="49" t="s">
        <v>107</v>
      </c>
      <c r="J1816" s="50" t="s">
        <v>109</v>
      </c>
      <c r="K1816" s="50" t="s">
        <v>109</v>
      </c>
      <c r="L1816" s="50" t="s">
        <v>12</v>
      </c>
      <c r="M1816" s="50" t="s">
        <v>10</v>
      </c>
      <c r="N1816" s="50" t="s">
        <v>11</v>
      </c>
      <c r="O1816" s="48" t="s">
        <v>632</v>
      </c>
      <c r="P1816" s="45" t="s">
        <v>453</v>
      </c>
      <c r="Q1816" s="35" t="str">
        <f>MID(Tabla1[[#This Row],[Aplicación]],14,1)</f>
        <v>2</v>
      </c>
      <c r="R1816" s="35" t="s">
        <v>441</v>
      </c>
      <c r="S1816" s="35" t="str">
        <f>MID(Tabla1[[#This Row],[Aplicación]],6,2)</f>
        <v>09</v>
      </c>
      <c r="T1816" s="35" t="str">
        <f>VLOOKUP(Tabla1[[#This Row],[AREA]],Hoja1!A:B,2,FALSE)</f>
        <v>09. Cultura y turismo</v>
      </c>
      <c r="U1816" s="35" t="str">
        <f>MID(Tabla1[[#This Row],[Aplicación]],9,4)</f>
        <v>3341</v>
      </c>
      <c r="V1816" s="35" t="str">
        <f>VLOOKUP(Tabla1[[#This Row],[PROGRAMA]],Hoja1!A:B,2,FALSE)</f>
        <v>3341. Coordinación de políticas culturales</v>
      </c>
      <c r="W1816" s="35" t="str">
        <f>MID(Tabla1[[#This Row],[Aplicación]],14,2)</f>
        <v>22</v>
      </c>
      <c r="X1816" s="35" t="str">
        <f>MID(Tabla1[[#This Row],[Aplicación]],14,6)</f>
        <v>22701</v>
      </c>
    </row>
    <row r="1817" spans="1:24" x14ac:dyDescent="0.25">
      <c r="A1817" s="49">
        <v>220220013435</v>
      </c>
      <c r="B1817" s="50" t="s">
        <v>9</v>
      </c>
      <c r="C1817" s="57">
        <v>44651</v>
      </c>
      <c r="D1817" s="49">
        <v>22022003066</v>
      </c>
      <c r="E1817" s="50" t="s">
        <v>2084</v>
      </c>
      <c r="F1817" s="58">
        <v>452.25</v>
      </c>
      <c r="G1817" s="50" t="s">
        <v>3213</v>
      </c>
      <c r="H1817" s="50" t="s">
        <v>3214</v>
      </c>
      <c r="I1817" s="49" t="s">
        <v>107</v>
      </c>
      <c r="J1817" s="50" t="s">
        <v>109</v>
      </c>
      <c r="K1817" s="50" t="s">
        <v>109</v>
      </c>
      <c r="L1817" s="50" t="s">
        <v>15</v>
      </c>
      <c r="M1817" s="50" t="s">
        <v>10</v>
      </c>
      <c r="N1817" s="50" t="s">
        <v>11</v>
      </c>
      <c r="O1817" s="48" t="s">
        <v>632</v>
      </c>
      <c r="P1817" s="45" t="s">
        <v>453</v>
      </c>
      <c r="Q1817" s="35" t="str">
        <f>MID(Tabla1[[#This Row],[Aplicación]],14,1)</f>
        <v>2</v>
      </c>
      <c r="R1817" s="35" t="s">
        <v>441</v>
      </c>
      <c r="S1817" s="35" t="str">
        <f>MID(Tabla1[[#This Row],[Aplicación]],6,2)</f>
        <v>10</v>
      </c>
      <c r="T1817" s="35" t="str">
        <f>VLOOKUP(Tabla1[[#This Row],[AREA]],Hoja1!A:B,2,FALSE)</f>
        <v>10. Servicios sociales y mediación comunitaria</v>
      </c>
      <c r="U1817" s="35" t="str">
        <f>MID(Tabla1[[#This Row],[Aplicación]],9,4)</f>
        <v>2312</v>
      </c>
      <c r="V1817" s="35" t="str">
        <f>VLOOKUP(Tabla1[[#This Row],[PROGRAMA]],Hoja1!A:B,2,FALSE)</f>
        <v>2312. Iniciativas sociales</v>
      </c>
      <c r="W1817" s="35" t="str">
        <f>MID(Tabla1[[#This Row],[Aplicación]],14,2)</f>
        <v>22</v>
      </c>
      <c r="X1817" s="35" t="str">
        <f>MID(Tabla1[[#This Row],[Aplicación]],14,6)</f>
        <v>22199</v>
      </c>
    </row>
    <row r="1818" spans="1:24" x14ac:dyDescent="0.25">
      <c r="A1818" s="49">
        <v>220220005805</v>
      </c>
      <c r="B1818" s="50" t="s">
        <v>9</v>
      </c>
      <c r="C1818" s="57">
        <v>44615</v>
      </c>
      <c r="D1818" s="49">
        <v>22022002396</v>
      </c>
      <c r="E1818" s="50" t="s">
        <v>2585</v>
      </c>
      <c r="F1818" s="58">
        <v>516.07000000000005</v>
      </c>
      <c r="G1818" s="50" t="s">
        <v>241</v>
      </c>
      <c r="H1818" s="50" t="s">
        <v>3215</v>
      </c>
      <c r="I1818" s="49" t="s">
        <v>107</v>
      </c>
      <c r="J1818" s="50" t="s">
        <v>109</v>
      </c>
      <c r="K1818" s="50" t="s">
        <v>109</v>
      </c>
      <c r="L1818" s="50" t="s">
        <v>25</v>
      </c>
      <c r="M1818" s="50" t="s">
        <v>10</v>
      </c>
      <c r="N1818" s="50" t="s">
        <v>11</v>
      </c>
      <c r="O1818" s="48" t="s">
        <v>632</v>
      </c>
      <c r="P1818" s="45" t="s">
        <v>453</v>
      </c>
      <c r="Q1818" s="35" t="str">
        <f>MID(Tabla1[[#This Row],[Aplicación]],14,1)</f>
        <v>2</v>
      </c>
      <c r="R1818" s="35" t="s">
        <v>441</v>
      </c>
      <c r="S1818" s="35" t="str">
        <f>MID(Tabla1[[#This Row],[Aplicación]],6,2)</f>
        <v>11</v>
      </c>
      <c r="T1818" s="35" t="str">
        <f>VLOOKUP(Tabla1[[#This Row],[AREA]],Hoja1!A:B,2,FALSE)</f>
        <v>11. Salud pública y seguridad ciudadana</v>
      </c>
      <c r="U1818" s="35" t="str">
        <f>MID(Tabla1[[#This Row],[Aplicación]],9,4)</f>
        <v>1321</v>
      </c>
      <c r="V1818" s="35" t="str">
        <f>VLOOKUP(Tabla1[[#This Row],[PROGRAMA]],Hoja1!A:B,2,FALSE)</f>
        <v>1321. Policía municipal</v>
      </c>
      <c r="W1818" s="35" t="str">
        <f>MID(Tabla1[[#This Row],[Aplicación]],14,2)</f>
        <v>21</v>
      </c>
      <c r="X1818" s="35" t="str">
        <f>MID(Tabla1[[#This Row],[Aplicación]],14,6)</f>
        <v>212</v>
      </c>
    </row>
    <row r="1819" spans="1:24" x14ac:dyDescent="0.25">
      <c r="A1819" s="49">
        <v>220199000765</v>
      </c>
      <c r="B1819" s="50" t="s">
        <v>9</v>
      </c>
      <c r="C1819" s="57">
        <v>44562</v>
      </c>
      <c r="D1819" s="49">
        <v>22022000164</v>
      </c>
      <c r="E1819" s="50" t="s">
        <v>1397</v>
      </c>
      <c r="F1819" s="58">
        <v>101535.62</v>
      </c>
      <c r="G1819" s="50" t="s">
        <v>508</v>
      </c>
      <c r="H1819" s="50" t="s">
        <v>531</v>
      </c>
      <c r="I1819" s="49" t="s">
        <v>107</v>
      </c>
      <c r="J1819" s="50" t="s">
        <v>108</v>
      </c>
      <c r="K1819" s="50" t="s">
        <v>108</v>
      </c>
      <c r="L1819" s="50" t="s">
        <v>12</v>
      </c>
      <c r="M1819" s="50" t="s">
        <v>13</v>
      </c>
      <c r="N1819" s="50" t="s">
        <v>14</v>
      </c>
      <c r="O1819" s="48" t="s">
        <v>620</v>
      </c>
      <c r="P1819" s="45" t="s">
        <v>453</v>
      </c>
      <c r="Q1819" s="35" t="str">
        <f>MID(Tabla1[[#This Row],[Aplicación]],14,1)</f>
        <v>2</v>
      </c>
      <c r="R1819" s="35" t="s">
        <v>441</v>
      </c>
      <c r="S1819" s="35" t="str">
        <f>MID(Tabla1[[#This Row],[Aplicación]],6,2)</f>
        <v>10</v>
      </c>
      <c r="T1819" s="35" t="str">
        <f>VLOOKUP(Tabla1[[#This Row],[AREA]],Hoja1!A:B,2,FALSE)</f>
        <v>10. Servicios sociales y mediación comunitaria</v>
      </c>
      <c r="U1819" s="35" t="str">
        <f>MID(Tabla1[[#This Row],[Aplicación]],9,4)</f>
        <v>2312</v>
      </c>
      <c r="V1819" s="35" t="str">
        <f>VLOOKUP(Tabla1[[#This Row],[PROGRAMA]],Hoja1!A:B,2,FALSE)</f>
        <v>2312. Iniciativas sociales</v>
      </c>
      <c r="W1819" s="35" t="str">
        <f>MID(Tabla1[[#This Row],[Aplicación]],14,2)</f>
        <v>22</v>
      </c>
      <c r="X1819" s="35" t="str">
        <f>MID(Tabla1[[#This Row],[Aplicación]],14,6)</f>
        <v>22799</v>
      </c>
    </row>
    <row r="1820" spans="1:24" x14ac:dyDescent="0.25">
      <c r="A1820" s="49">
        <v>220220007396</v>
      </c>
      <c r="B1820" s="50" t="s">
        <v>9</v>
      </c>
      <c r="C1820" s="57">
        <v>44624</v>
      </c>
      <c r="D1820" s="49">
        <v>22022002565</v>
      </c>
      <c r="E1820" s="50" t="s">
        <v>3216</v>
      </c>
      <c r="F1820" s="58">
        <v>500</v>
      </c>
      <c r="G1820" s="50" t="s">
        <v>3217</v>
      </c>
      <c r="H1820" s="50" t="s">
        <v>3218</v>
      </c>
      <c r="I1820" s="49" t="s">
        <v>107</v>
      </c>
      <c r="J1820" s="50" t="s">
        <v>109</v>
      </c>
      <c r="K1820" s="50" t="s">
        <v>109</v>
      </c>
      <c r="L1820" s="50" t="s">
        <v>17</v>
      </c>
      <c r="M1820" s="50" t="s">
        <v>10</v>
      </c>
      <c r="N1820" s="50" t="s">
        <v>11</v>
      </c>
      <c r="O1820" s="48" t="s">
        <v>632</v>
      </c>
      <c r="P1820" s="45" t="s">
        <v>453</v>
      </c>
      <c r="Q1820" s="35" t="str">
        <f>MID(Tabla1[[#This Row],[Aplicación]],14,1)</f>
        <v>2</v>
      </c>
      <c r="R1820" s="35" t="s">
        <v>441</v>
      </c>
      <c r="S1820" s="35" t="str">
        <f>MID(Tabla1[[#This Row],[Aplicación]],6,2)</f>
        <v>02</v>
      </c>
      <c r="T1820" s="35" t="str">
        <f>VLOOKUP(Tabla1[[#This Row],[AREA]],Hoja1!A:B,2,FALSE)</f>
        <v>02. Planeamiento urbanístico y vivienda</v>
      </c>
      <c r="U1820" s="35" t="str">
        <f>MID(Tabla1[[#This Row],[Aplicación]],9,4)</f>
        <v>1501</v>
      </c>
      <c r="V1820" s="35" t="str">
        <f>VLOOKUP(Tabla1[[#This Row],[PROGRAMA]],Hoja1!A:B,2,FALSE)</f>
        <v>1501. Dirección del área de urbanismo</v>
      </c>
      <c r="W1820" s="35" t="str">
        <f>MID(Tabla1[[#This Row],[Aplicación]],14,2)</f>
        <v>22</v>
      </c>
      <c r="X1820" s="35" t="str">
        <f>MID(Tabla1[[#This Row],[Aplicación]],14,6)</f>
        <v>22606</v>
      </c>
    </row>
    <row r="1821" spans="1:24" x14ac:dyDescent="0.25">
      <c r="A1821" s="49">
        <v>220220008274</v>
      </c>
      <c r="B1821" s="50" t="s">
        <v>9</v>
      </c>
      <c r="C1821" s="57">
        <v>44630</v>
      </c>
      <c r="D1821" s="49">
        <v>22022002657</v>
      </c>
      <c r="E1821" s="50" t="s">
        <v>3219</v>
      </c>
      <c r="F1821" s="58">
        <v>484</v>
      </c>
      <c r="G1821" s="50" t="s">
        <v>820</v>
      </c>
      <c r="H1821" s="50" t="s">
        <v>3220</v>
      </c>
      <c r="I1821" s="49" t="s">
        <v>107</v>
      </c>
      <c r="J1821" s="50" t="s">
        <v>579</v>
      </c>
      <c r="K1821" s="50" t="s">
        <v>109</v>
      </c>
      <c r="L1821" s="50" t="s">
        <v>12</v>
      </c>
      <c r="M1821" s="50" t="s">
        <v>10</v>
      </c>
      <c r="N1821" s="50" t="s">
        <v>11</v>
      </c>
      <c r="O1821" s="48" t="s">
        <v>632</v>
      </c>
      <c r="P1821" s="45" t="s">
        <v>453</v>
      </c>
      <c r="Q1821" s="35" t="str">
        <f>MID(Tabla1[[#This Row],[Aplicación]],14,1)</f>
        <v>2</v>
      </c>
      <c r="R1821" s="35" t="s">
        <v>441</v>
      </c>
      <c r="S1821" s="35" t="str">
        <f>MID(Tabla1[[#This Row],[Aplicación]],6,2)</f>
        <v>11</v>
      </c>
      <c r="T1821" s="35" t="str">
        <f>VLOOKUP(Tabla1[[#This Row],[AREA]],Hoja1!A:B,2,FALSE)</f>
        <v>11. Salud pública y seguridad ciudadana</v>
      </c>
      <c r="U1821" s="35" t="str">
        <f>MID(Tabla1[[#This Row],[Aplicación]],9,4)</f>
        <v>1361</v>
      </c>
      <c r="V1821" s="35" t="str">
        <f>VLOOKUP(Tabla1[[#This Row],[PROGRAMA]],Hoja1!A:B,2,FALSE)</f>
        <v>1361. Prevención y extinción de incencios</v>
      </c>
      <c r="W1821" s="35" t="str">
        <f>MID(Tabla1[[#This Row],[Aplicación]],14,2)</f>
        <v>20</v>
      </c>
      <c r="X1821" s="35" t="str">
        <f>MID(Tabla1[[#This Row],[Aplicación]],14,6)</f>
        <v>204</v>
      </c>
    </row>
    <row r="1822" spans="1:24" x14ac:dyDescent="0.25">
      <c r="A1822" s="49">
        <v>220219000687</v>
      </c>
      <c r="B1822" s="50" t="s">
        <v>9</v>
      </c>
      <c r="C1822" s="57">
        <v>44562</v>
      </c>
      <c r="D1822" s="49">
        <v>22022000089</v>
      </c>
      <c r="E1822" s="50" t="s">
        <v>1749</v>
      </c>
      <c r="F1822" s="58">
        <v>48400</v>
      </c>
      <c r="G1822" s="50" t="s">
        <v>1155</v>
      </c>
      <c r="H1822" s="50" t="s">
        <v>3221</v>
      </c>
      <c r="I1822" s="49" t="s">
        <v>107</v>
      </c>
      <c r="J1822" s="50" t="s">
        <v>1156</v>
      </c>
      <c r="K1822" s="50" t="s">
        <v>157</v>
      </c>
      <c r="L1822" s="50" t="s">
        <v>15</v>
      </c>
      <c r="M1822" s="50" t="s">
        <v>13</v>
      </c>
      <c r="N1822" s="50" t="s">
        <v>14</v>
      </c>
      <c r="O1822" s="48" t="s">
        <v>620</v>
      </c>
      <c r="P1822" s="45" t="s">
        <v>453</v>
      </c>
      <c r="Q1822" s="35" t="str">
        <f>MID(Tabla1[[#This Row],[Aplicación]],14,1)</f>
        <v>2</v>
      </c>
      <c r="R1822" s="35" t="s">
        <v>441</v>
      </c>
      <c r="S1822" s="35" t="str">
        <f>MID(Tabla1[[#This Row],[Aplicación]],6,2)</f>
        <v>11</v>
      </c>
      <c r="T1822" s="35" t="str">
        <f>VLOOKUP(Tabla1[[#This Row],[AREA]],Hoja1!A:B,2,FALSE)</f>
        <v>11. Salud pública y seguridad ciudadana</v>
      </c>
      <c r="U1822" s="35" t="str">
        <f>MID(Tabla1[[#This Row],[Aplicación]],9,4)</f>
        <v>1321</v>
      </c>
      <c r="V1822" s="35" t="str">
        <f>VLOOKUP(Tabla1[[#This Row],[PROGRAMA]],Hoja1!A:B,2,FALSE)</f>
        <v>1321. Policía municipal</v>
      </c>
      <c r="W1822" s="35" t="str">
        <f>MID(Tabla1[[#This Row],[Aplicación]],14,2)</f>
        <v>22</v>
      </c>
      <c r="X1822" s="35" t="str">
        <f>MID(Tabla1[[#This Row],[Aplicación]],14,6)</f>
        <v>22104</v>
      </c>
    </row>
    <row r="1823" spans="1:24" x14ac:dyDescent="0.25">
      <c r="A1823" s="49">
        <v>220220010316</v>
      </c>
      <c r="B1823" s="50" t="s">
        <v>9</v>
      </c>
      <c r="C1823" s="57">
        <v>44641</v>
      </c>
      <c r="D1823" s="49">
        <v>22022002890</v>
      </c>
      <c r="E1823" s="50" t="s">
        <v>1436</v>
      </c>
      <c r="F1823" s="58">
        <v>484</v>
      </c>
      <c r="G1823" s="50" t="s">
        <v>1269</v>
      </c>
      <c r="H1823" s="50" t="s">
        <v>3222</v>
      </c>
      <c r="I1823" s="49" t="s">
        <v>107</v>
      </c>
      <c r="J1823" s="50" t="s">
        <v>1270</v>
      </c>
      <c r="K1823" s="50" t="s">
        <v>109</v>
      </c>
      <c r="L1823" s="50" t="s">
        <v>12</v>
      </c>
      <c r="M1823" s="50" t="s">
        <v>10</v>
      </c>
      <c r="N1823" s="50" t="s">
        <v>11</v>
      </c>
      <c r="O1823" s="48" t="s">
        <v>632</v>
      </c>
      <c r="P1823" s="45" t="s">
        <v>453</v>
      </c>
      <c r="Q1823" s="35" t="str">
        <f>MID(Tabla1[[#This Row],[Aplicación]],14,1)</f>
        <v>2</v>
      </c>
      <c r="R1823" s="35" t="s">
        <v>441</v>
      </c>
      <c r="S1823" s="35" t="str">
        <f>MID(Tabla1[[#This Row],[Aplicación]],6,2)</f>
        <v>03</v>
      </c>
      <c r="T1823" s="35" t="str">
        <f>VLOOKUP(Tabla1[[#This Row],[AREA]],Hoja1!A:B,2,FALSE)</f>
        <v>03. Participación ciudadana y deportes</v>
      </c>
      <c r="U1823" s="35" t="str">
        <f>MID(Tabla1[[#This Row],[Aplicación]],9,4)</f>
        <v>9241</v>
      </c>
      <c r="V1823" s="35" t="str">
        <f>VLOOKUP(Tabla1[[#This Row],[PROGRAMA]],Hoja1!A:B,2,FALSE)</f>
        <v>9241. Participación ciudadana</v>
      </c>
      <c r="W1823" s="35" t="str">
        <f>MID(Tabla1[[#This Row],[Aplicación]],14,2)</f>
        <v>22</v>
      </c>
      <c r="X1823" s="35" t="str">
        <f>MID(Tabla1[[#This Row],[Aplicación]],14,6)</f>
        <v>22609</v>
      </c>
    </row>
    <row r="1824" spans="1:24" x14ac:dyDescent="0.25">
      <c r="A1824" s="49">
        <v>220209000555</v>
      </c>
      <c r="B1824" s="50" t="s">
        <v>9</v>
      </c>
      <c r="C1824" s="57">
        <v>44562</v>
      </c>
      <c r="D1824" s="49">
        <v>22022000213</v>
      </c>
      <c r="E1824" s="50" t="s">
        <v>3223</v>
      </c>
      <c r="F1824" s="58">
        <v>55569.06</v>
      </c>
      <c r="G1824" s="50" t="s">
        <v>1354</v>
      </c>
      <c r="H1824" s="50" t="s">
        <v>811</v>
      </c>
      <c r="I1824" s="49" t="s">
        <v>107</v>
      </c>
      <c r="J1824" s="50" t="s">
        <v>108</v>
      </c>
      <c r="K1824" s="50" t="s">
        <v>108</v>
      </c>
      <c r="L1824" s="50" t="s">
        <v>12</v>
      </c>
      <c r="M1824" s="50" t="s">
        <v>13</v>
      </c>
      <c r="N1824" s="50" t="s">
        <v>14</v>
      </c>
      <c r="O1824" s="48" t="s">
        <v>620</v>
      </c>
      <c r="P1824" s="45" t="s">
        <v>453</v>
      </c>
      <c r="Q1824" s="35" t="str">
        <f>MID(Tabla1[[#This Row],[Aplicación]],14,1)</f>
        <v>2</v>
      </c>
      <c r="R1824" s="35" t="s">
        <v>441</v>
      </c>
      <c r="S1824" s="35" t="str">
        <f>MID(Tabla1[[#This Row],[Aplicación]],6,2)</f>
        <v>06</v>
      </c>
      <c r="T1824" s="35" t="str">
        <f>VLOOKUP(Tabla1[[#This Row],[AREA]],Hoja1!A:B,2,FALSE)</f>
        <v>06. Educación, infancia, juventud e igualdad</v>
      </c>
      <c r="U1824" s="35" t="str">
        <f>MID(Tabla1[[#This Row],[Aplicación]],9,4)</f>
        <v>2314</v>
      </c>
      <c r="V1824" s="35" t="str">
        <f>VLOOKUP(Tabla1[[#This Row],[PROGRAMA]],Hoja1!A:B,2,FALSE)</f>
        <v>2314. Centro de programas juveniles</v>
      </c>
      <c r="W1824" s="35" t="str">
        <f>MID(Tabla1[[#This Row],[Aplicación]],14,2)</f>
        <v>22</v>
      </c>
      <c r="X1824" s="35" t="str">
        <f>MID(Tabla1[[#This Row],[Aplicación]],14,6)</f>
        <v>22700</v>
      </c>
    </row>
    <row r="1825" spans="1:24" x14ac:dyDescent="0.25">
      <c r="A1825" s="49">
        <v>220220000353</v>
      </c>
      <c r="B1825" s="50" t="s">
        <v>9</v>
      </c>
      <c r="C1825" s="57">
        <v>44585</v>
      </c>
      <c r="D1825" s="49">
        <v>22022001424</v>
      </c>
      <c r="E1825" s="50" t="s">
        <v>2400</v>
      </c>
      <c r="F1825" s="58">
        <v>473.11</v>
      </c>
      <c r="G1825" s="50" t="s">
        <v>131</v>
      </c>
      <c r="H1825" s="50" t="s">
        <v>3224</v>
      </c>
      <c r="I1825" s="49" t="s">
        <v>107</v>
      </c>
      <c r="J1825" s="50" t="s">
        <v>109</v>
      </c>
      <c r="K1825" s="50" t="s">
        <v>109</v>
      </c>
      <c r="L1825" s="50" t="s">
        <v>12</v>
      </c>
      <c r="M1825" s="50" t="s">
        <v>10</v>
      </c>
      <c r="N1825" s="50" t="s">
        <v>11</v>
      </c>
      <c r="O1825" s="48" t="s">
        <v>632</v>
      </c>
      <c r="P1825" s="45" t="s">
        <v>453</v>
      </c>
      <c r="Q1825" s="35" t="str">
        <f>MID(Tabla1[[#This Row],[Aplicación]],14,1)</f>
        <v>2</v>
      </c>
      <c r="R1825" s="35" t="s">
        <v>441</v>
      </c>
      <c r="S1825" s="35" t="str">
        <f>MID(Tabla1[[#This Row],[Aplicación]],6,2)</f>
        <v>10</v>
      </c>
      <c r="T1825" s="35" t="str">
        <f>VLOOKUP(Tabla1[[#This Row],[AREA]],Hoja1!A:B,2,FALSE)</f>
        <v>10. Servicios sociales y mediación comunitaria</v>
      </c>
      <c r="U1825" s="35" t="str">
        <f>MID(Tabla1[[#This Row],[Aplicación]],9,4)</f>
        <v>2316</v>
      </c>
      <c r="V1825" s="35" t="str">
        <f>VLOOKUP(Tabla1[[#This Row],[PROGRAMA]],Hoja1!A:B,2,FALSE)</f>
        <v>2316. Mediación comunitaria</v>
      </c>
      <c r="W1825" s="35" t="str">
        <f>MID(Tabla1[[#This Row],[Aplicación]],14,2)</f>
        <v>22</v>
      </c>
      <c r="X1825" s="35" t="str">
        <f>MID(Tabla1[[#This Row],[Aplicación]],14,6)</f>
        <v>22616</v>
      </c>
    </row>
    <row r="1826" spans="1:24" x14ac:dyDescent="0.25">
      <c r="A1826" s="49">
        <v>220210071294</v>
      </c>
      <c r="B1826" s="50" t="s">
        <v>9</v>
      </c>
      <c r="C1826" s="57">
        <v>44620</v>
      </c>
      <c r="D1826" s="49">
        <v>22021007503</v>
      </c>
      <c r="E1826" s="50" t="s">
        <v>3225</v>
      </c>
      <c r="F1826" s="58">
        <v>458</v>
      </c>
      <c r="G1826" s="50" t="s">
        <v>1256</v>
      </c>
      <c r="H1826" s="50" t="s">
        <v>1257</v>
      </c>
      <c r="I1826" s="49" t="s">
        <v>107</v>
      </c>
      <c r="J1826" s="50" t="s">
        <v>539</v>
      </c>
      <c r="K1826" s="50" t="s">
        <v>109</v>
      </c>
      <c r="L1826" s="50" t="s">
        <v>15</v>
      </c>
      <c r="M1826" s="50" t="s">
        <v>10</v>
      </c>
      <c r="N1826" s="50" t="s">
        <v>11</v>
      </c>
      <c r="O1826" s="48" t="s">
        <v>632</v>
      </c>
      <c r="P1826" s="45" t="s">
        <v>453</v>
      </c>
      <c r="Q1826" s="35" t="str">
        <f>MID(Tabla1[[#This Row],[Aplicación]],14,1)</f>
        <v>6</v>
      </c>
      <c r="R1826" s="35" t="s">
        <v>442</v>
      </c>
      <c r="S1826" s="35" t="str">
        <f>MID(Tabla1[[#This Row],[Aplicación]],6,2)</f>
        <v>10</v>
      </c>
      <c r="T1826" s="35" t="str">
        <f>VLOOKUP(Tabla1[[#This Row],[AREA]],Hoja1!A:B,2,FALSE)</f>
        <v>10. Servicios sociales y mediación comunitaria</v>
      </c>
      <c r="U1826" s="35" t="str">
        <f>MID(Tabla1[[#This Row],[Aplicación]],9,4)</f>
        <v>2311</v>
      </c>
      <c r="V1826" s="35" t="str">
        <f>VLOOKUP(Tabla1[[#This Row],[PROGRAMA]],Hoja1!A:B,2,FALSE)</f>
        <v>2311. Intervención social</v>
      </c>
      <c r="W1826" s="35" t="str">
        <f>MID(Tabla1[[#This Row],[Aplicación]],14,2)</f>
        <v>63</v>
      </c>
      <c r="X1826" s="35" t="str">
        <f>MID(Tabla1[[#This Row],[Aplicación]],14,6)</f>
        <v>633</v>
      </c>
    </row>
    <row r="1827" spans="1:24" x14ac:dyDescent="0.25">
      <c r="A1827" s="49">
        <v>220220013435</v>
      </c>
      <c r="B1827" s="50" t="s">
        <v>9</v>
      </c>
      <c r="C1827" s="57">
        <v>44651</v>
      </c>
      <c r="D1827" s="49">
        <v>22022003067</v>
      </c>
      <c r="E1827" s="50" t="s">
        <v>2084</v>
      </c>
      <c r="F1827" s="58">
        <v>271.32</v>
      </c>
      <c r="G1827" s="50" t="s">
        <v>3213</v>
      </c>
      <c r="H1827" s="50" t="s">
        <v>3214</v>
      </c>
      <c r="I1827" s="49" t="s">
        <v>107</v>
      </c>
      <c r="J1827" s="50" t="s">
        <v>109</v>
      </c>
      <c r="K1827" s="50" t="s">
        <v>109</v>
      </c>
      <c r="L1827" s="50" t="s">
        <v>15</v>
      </c>
      <c r="M1827" s="50" t="s">
        <v>10</v>
      </c>
      <c r="N1827" s="50" t="s">
        <v>11</v>
      </c>
      <c r="O1827" s="48" t="s">
        <v>632</v>
      </c>
      <c r="P1827" s="45" t="s">
        <v>453</v>
      </c>
      <c r="Q1827" s="35" t="str">
        <f>MID(Tabla1[[#This Row],[Aplicación]],14,1)</f>
        <v>2</v>
      </c>
      <c r="R1827" s="35" t="s">
        <v>441</v>
      </c>
      <c r="S1827" s="35" t="str">
        <f>MID(Tabla1[[#This Row],[Aplicación]],6,2)</f>
        <v>10</v>
      </c>
      <c r="T1827" s="35" t="str">
        <f>VLOOKUP(Tabla1[[#This Row],[AREA]],Hoja1!A:B,2,FALSE)</f>
        <v>10. Servicios sociales y mediación comunitaria</v>
      </c>
      <c r="U1827" s="35" t="str">
        <f>MID(Tabla1[[#This Row],[Aplicación]],9,4)</f>
        <v>2312</v>
      </c>
      <c r="V1827" s="35" t="str">
        <f>VLOOKUP(Tabla1[[#This Row],[PROGRAMA]],Hoja1!A:B,2,FALSE)</f>
        <v>2312. Iniciativas sociales</v>
      </c>
      <c r="W1827" s="35" t="str">
        <f>MID(Tabla1[[#This Row],[Aplicación]],14,2)</f>
        <v>22</v>
      </c>
      <c r="X1827" s="35" t="str">
        <f>MID(Tabla1[[#This Row],[Aplicación]],14,6)</f>
        <v>22199</v>
      </c>
    </row>
    <row r="1828" spans="1:24" x14ac:dyDescent="0.25">
      <c r="A1828" s="49">
        <v>220220013422</v>
      </c>
      <c r="B1828" s="50" t="s">
        <v>9</v>
      </c>
      <c r="C1828" s="57">
        <v>44651</v>
      </c>
      <c r="D1828" s="49">
        <v>22022003053</v>
      </c>
      <c r="E1828" s="50" t="s">
        <v>1629</v>
      </c>
      <c r="F1828" s="58">
        <v>453.75</v>
      </c>
      <c r="G1828" s="50" t="s">
        <v>507</v>
      </c>
      <c r="H1828" s="50" t="s">
        <v>3226</v>
      </c>
      <c r="I1828" s="49" t="s">
        <v>107</v>
      </c>
      <c r="J1828" s="50" t="s">
        <v>109</v>
      </c>
      <c r="K1828" s="50" t="s">
        <v>109</v>
      </c>
      <c r="L1828" s="50" t="s">
        <v>12</v>
      </c>
      <c r="M1828" s="50" t="s">
        <v>10</v>
      </c>
      <c r="N1828" s="50" t="s">
        <v>11</v>
      </c>
      <c r="O1828" s="48" t="s">
        <v>632</v>
      </c>
      <c r="P1828" s="45" t="s">
        <v>453</v>
      </c>
      <c r="Q1828" s="35" t="str">
        <f>MID(Tabla1[[#This Row],[Aplicación]],14,1)</f>
        <v>2</v>
      </c>
      <c r="R1828" s="35" t="s">
        <v>441</v>
      </c>
      <c r="S1828" s="35" t="str">
        <f>MID(Tabla1[[#This Row],[Aplicación]],6,2)</f>
        <v>06</v>
      </c>
      <c r="T1828" s="35" t="str">
        <f>VLOOKUP(Tabla1[[#This Row],[AREA]],Hoja1!A:B,2,FALSE)</f>
        <v>06. Educación, infancia, juventud e igualdad</v>
      </c>
      <c r="U1828" s="35" t="str">
        <f>MID(Tabla1[[#This Row],[Aplicación]],9,4)</f>
        <v>2315</v>
      </c>
      <c r="V1828" s="35" t="str">
        <f>VLOOKUP(Tabla1[[#This Row],[PROGRAMA]],Hoja1!A:B,2,FALSE)</f>
        <v>2315. Políticas de Igualdad e infancia</v>
      </c>
      <c r="W1828" s="35" t="str">
        <f>MID(Tabla1[[#This Row],[Aplicación]],14,2)</f>
        <v>22</v>
      </c>
      <c r="X1828" s="35" t="str">
        <f>MID(Tabla1[[#This Row],[Aplicación]],14,6)</f>
        <v>22611</v>
      </c>
    </row>
    <row r="1829" spans="1:24" x14ac:dyDescent="0.25">
      <c r="A1829" s="49">
        <v>220220002530</v>
      </c>
      <c r="B1829" s="50" t="s">
        <v>9</v>
      </c>
      <c r="C1829" s="57">
        <v>44595</v>
      </c>
      <c r="D1829" s="49">
        <v>22022001799</v>
      </c>
      <c r="E1829" s="50" t="s">
        <v>1742</v>
      </c>
      <c r="F1829" s="58">
        <v>438.81</v>
      </c>
      <c r="G1829" s="50" t="s">
        <v>139</v>
      </c>
      <c r="H1829" s="50" t="s">
        <v>3227</v>
      </c>
      <c r="I1829" s="49" t="s">
        <v>107</v>
      </c>
      <c r="J1829" s="50" t="s">
        <v>109</v>
      </c>
      <c r="K1829" s="50" t="s">
        <v>108</v>
      </c>
      <c r="L1829" s="50" t="s">
        <v>15</v>
      </c>
      <c r="M1829" s="50" t="s">
        <v>10</v>
      </c>
      <c r="N1829" s="50" t="s">
        <v>11</v>
      </c>
      <c r="O1829" s="48" t="s">
        <v>632</v>
      </c>
      <c r="P1829" s="45" t="s">
        <v>453</v>
      </c>
      <c r="Q1829" s="35" t="str">
        <f>MID(Tabla1[[#This Row],[Aplicación]],14,1)</f>
        <v>2</v>
      </c>
      <c r="R1829" s="35" t="s">
        <v>441</v>
      </c>
      <c r="S1829" s="35" t="str">
        <f>MID(Tabla1[[#This Row],[Aplicación]],6,2)</f>
        <v>03</v>
      </c>
      <c r="T1829" s="35" t="str">
        <f>VLOOKUP(Tabla1[[#This Row],[AREA]],Hoja1!A:B,2,FALSE)</f>
        <v>03. Participación ciudadana y deportes</v>
      </c>
      <c r="U1829" s="35" t="str">
        <f>MID(Tabla1[[#This Row],[Aplicación]],9,4)</f>
        <v>9241</v>
      </c>
      <c r="V1829" s="35" t="str">
        <f>VLOOKUP(Tabla1[[#This Row],[PROGRAMA]],Hoja1!A:B,2,FALSE)</f>
        <v>9241. Participación ciudadana</v>
      </c>
      <c r="W1829" s="35" t="str">
        <f>MID(Tabla1[[#This Row],[Aplicación]],14,2)</f>
        <v>21</v>
      </c>
      <c r="X1829" s="35" t="str">
        <f>MID(Tabla1[[#This Row],[Aplicación]],14,6)</f>
        <v>213</v>
      </c>
    </row>
    <row r="1830" spans="1:24" x14ac:dyDescent="0.25">
      <c r="A1830" s="49">
        <v>220220003448</v>
      </c>
      <c r="B1830" s="50" t="s">
        <v>9</v>
      </c>
      <c r="C1830" s="57">
        <v>44603</v>
      </c>
      <c r="D1830" s="49">
        <v>22022002123</v>
      </c>
      <c r="E1830" s="50" t="s">
        <v>2012</v>
      </c>
      <c r="F1830" s="58">
        <v>435.55</v>
      </c>
      <c r="G1830" s="50" t="s">
        <v>1167</v>
      </c>
      <c r="H1830" s="50" t="s">
        <v>3228</v>
      </c>
      <c r="I1830" s="49" t="s">
        <v>107</v>
      </c>
      <c r="J1830" s="50" t="s">
        <v>109</v>
      </c>
      <c r="K1830" s="50" t="s">
        <v>109</v>
      </c>
      <c r="L1830" s="50" t="s">
        <v>15</v>
      </c>
      <c r="M1830" s="50" t="s">
        <v>10</v>
      </c>
      <c r="N1830" s="50" t="s">
        <v>11</v>
      </c>
      <c r="O1830" s="48" t="s">
        <v>632</v>
      </c>
      <c r="P1830" s="45" t="s">
        <v>453</v>
      </c>
      <c r="Q1830" s="35" t="str">
        <f>MID(Tabla1[[#This Row],[Aplicación]],14,1)</f>
        <v>2</v>
      </c>
      <c r="R1830" s="35" t="s">
        <v>441</v>
      </c>
      <c r="S1830" s="35" t="str">
        <f>MID(Tabla1[[#This Row],[Aplicación]],6,2)</f>
        <v>11</v>
      </c>
      <c r="T1830" s="35" t="str">
        <f>VLOOKUP(Tabla1[[#This Row],[AREA]],Hoja1!A:B,2,FALSE)</f>
        <v>11. Salud pública y seguridad ciudadana</v>
      </c>
      <c r="U1830" s="35" t="str">
        <f>MID(Tabla1[[#This Row],[Aplicación]],9,4)</f>
        <v>1321</v>
      </c>
      <c r="V1830" s="35" t="str">
        <f>VLOOKUP(Tabla1[[#This Row],[PROGRAMA]],Hoja1!A:B,2,FALSE)</f>
        <v>1321. Policía municipal</v>
      </c>
      <c r="W1830" s="35" t="str">
        <f>MID(Tabla1[[#This Row],[Aplicación]],14,2)</f>
        <v>22</v>
      </c>
      <c r="X1830" s="35" t="str">
        <f>MID(Tabla1[[#This Row],[Aplicación]],14,6)</f>
        <v>22199</v>
      </c>
    </row>
    <row r="1831" spans="1:24" x14ac:dyDescent="0.25">
      <c r="A1831" s="49">
        <v>220209000562</v>
      </c>
      <c r="B1831" s="50" t="s">
        <v>9</v>
      </c>
      <c r="C1831" s="57">
        <v>44562</v>
      </c>
      <c r="D1831" s="49">
        <v>22022000219</v>
      </c>
      <c r="E1831" s="50" t="s">
        <v>3229</v>
      </c>
      <c r="F1831" s="58">
        <v>16679.509999999998</v>
      </c>
      <c r="G1831" s="50" t="s">
        <v>1354</v>
      </c>
      <c r="H1831" s="50" t="s">
        <v>812</v>
      </c>
      <c r="I1831" s="49" t="s">
        <v>107</v>
      </c>
      <c r="J1831" s="50" t="s">
        <v>108</v>
      </c>
      <c r="K1831" s="50" t="s">
        <v>108</v>
      </c>
      <c r="L1831" s="50" t="s">
        <v>12</v>
      </c>
      <c r="M1831" s="50" t="s">
        <v>13</v>
      </c>
      <c r="N1831" s="50" t="s">
        <v>14</v>
      </c>
      <c r="O1831" s="48" t="s">
        <v>620</v>
      </c>
      <c r="P1831" s="45" t="s">
        <v>453</v>
      </c>
      <c r="Q1831" s="35" t="str">
        <f>MID(Tabla1[[#This Row],[Aplicación]],14,1)</f>
        <v>2</v>
      </c>
      <c r="R1831" s="35" t="s">
        <v>441</v>
      </c>
      <c r="S1831" s="35" t="str">
        <f>MID(Tabla1[[#This Row],[Aplicación]],6,2)</f>
        <v>06</v>
      </c>
      <c r="T1831" s="35" t="str">
        <f>VLOOKUP(Tabla1[[#This Row],[AREA]],Hoja1!A:B,2,FALSE)</f>
        <v>06. Educación, infancia, juventud e igualdad</v>
      </c>
      <c r="U1831" s="35" t="str">
        <f>MID(Tabla1[[#This Row],[Aplicación]],9,4)</f>
        <v>3321</v>
      </c>
      <c r="V1831" s="35" t="str">
        <f>VLOOKUP(Tabla1[[#This Row],[PROGRAMA]],Hoja1!A:B,2,FALSE)</f>
        <v>3321. Bibliotecas públicas</v>
      </c>
      <c r="W1831" s="35" t="str">
        <f>MID(Tabla1[[#This Row],[Aplicación]],14,2)</f>
        <v>22</v>
      </c>
      <c r="X1831" s="35" t="str">
        <f>MID(Tabla1[[#This Row],[Aplicación]],14,6)</f>
        <v>22700</v>
      </c>
    </row>
    <row r="1832" spans="1:24" x14ac:dyDescent="0.25">
      <c r="A1832" s="49">
        <v>220220000119</v>
      </c>
      <c r="B1832" s="50" t="s">
        <v>9</v>
      </c>
      <c r="C1832" s="57">
        <v>44582</v>
      </c>
      <c r="D1832" s="49">
        <v>22022001187</v>
      </c>
      <c r="E1832" s="50" t="s">
        <v>1907</v>
      </c>
      <c r="F1832" s="58">
        <v>428.04</v>
      </c>
      <c r="G1832" s="50" t="s">
        <v>83</v>
      </c>
      <c r="H1832" s="50" t="s">
        <v>3230</v>
      </c>
      <c r="I1832" s="49" t="s">
        <v>107</v>
      </c>
      <c r="J1832" s="50" t="s">
        <v>572</v>
      </c>
      <c r="K1832" s="50" t="s">
        <v>108</v>
      </c>
      <c r="L1832" s="50" t="s">
        <v>15</v>
      </c>
      <c r="M1832" s="50" t="s">
        <v>10</v>
      </c>
      <c r="N1832" s="50" t="s">
        <v>11</v>
      </c>
      <c r="O1832" s="48" t="s">
        <v>632</v>
      </c>
      <c r="P1832" s="45" t="s">
        <v>453</v>
      </c>
      <c r="Q1832" s="35" t="str">
        <f>MID(Tabla1[[#This Row],[Aplicación]],14,1)</f>
        <v>2</v>
      </c>
      <c r="R1832" s="35" t="s">
        <v>441</v>
      </c>
      <c r="S1832" s="35" t="str">
        <f>MID(Tabla1[[#This Row],[Aplicación]],6,2)</f>
        <v>11</v>
      </c>
      <c r="T1832" s="35" t="str">
        <f>VLOOKUP(Tabla1[[#This Row],[AREA]],Hoja1!A:B,2,FALSE)</f>
        <v>11. Salud pública y seguridad ciudadana</v>
      </c>
      <c r="U1832" s="35" t="str">
        <f>MID(Tabla1[[#This Row],[Aplicación]],9,4)</f>
        <v>3111</v>
      </c>
      <c r="V1832" s="35" t="str">
        <f>VLOOKUP(Tabla1[[#This Row],[PROGRAMA]],Hoja1!A:B,2,FALSE)</f>
        <v>3111. Protección de la salubridad pública</v>
      </c>
      <c r="W1832" s="35" t="str">
        <f>MID(Tabla1[[#This Row],[Aplicación]],14,2)</f>
        <v>22</v>
      </c>
      <c r="X1832" s="35" t="str">
        <f>MID(Tabla1[[#This Row],[Aplicación]],14,6)</f>
        <v>22106</v>
      </c>
    </row>
    <row r="1833" spans="1:24" x14ac:dyDescent="0.25">
      <c r="A1833" s="49">
        <v>220209000525</v>
      </c>
      <c r="B1833" s="50" t="s">
        <v>9</v>
      </c>
      <c r="C1833" s="57">
        <v>44562</v>
      </c>
      <c r="D1833" s="49">
        <v>22022000206</v>
      </c>
      <c r="E1833" s="50" t="s">
        <v>3231</v>
      </c>
      <c r="F1833" s="58">
        <v>9610.64</v>
      </c>
      <c r="G1833" s="50" t="s">
        <v>1354</v>
      </c>
      <c r="H1833" s="50" t="s">
        <v>808</v>
      </c>
      <c r="I1833" s="49" t="s">
        <v>107</v>
      </c>
      <c r="J1833" s="50" t="s">
        <v>108</v>
      </c>
      <c r="K1833" s="50" t="s">
        <v>108</v>
      </c>
      <c r="L1833" s="50" t="s">
        <v>12</v>
      </c>
      <c r="M1833" s="50" t="s">
        <v>13</v>
      </c>
      <c r="N1833" s="50" t="s">
        <v>14</v>
      </c>
      <c r="O1833" s="48" t="s">
        <v>620</v>
      </c>
      <c r="P1833" s="45" t="s">
        <v>453</v>
      </c>
      <c r="Q1833" s="35" t="str">
        <f>MID(Tabla1[[#This Row],[Aplicación]],14,1)</f>
        <v>2</v>
      </c>
      <c r="R1833" s="35" t="s">
        <v>441</v>
      </c>
      <c r="S1833" s="35" t="str">
        <f>MID(Tabla1[[#This Row],[Aplicación]],6,2)</f>
        <v>06</v>
      </c>
      <c r="T1833" s="35" t="str">
        <f>VLOOKUP(Tabla1[[#This Row],[AREA]],Hoja1!A:B,2,FALSE)</f>
        <v>06. Educación, infancia, juventud e igualdad</v>
      </c>
      <c r="U1833" s="35" t="str">
        <f>MID(Tabla1[[#This Row],[Aplicación]],9,4)</f>
        <v>3261</v>
      </c>
      <c r="V1833" s="35" t="str">
        <f>VLOOKUP(Tabla1[[#This Row],[PROGRAMA]],Hoja1!A:B,2,FALSE)</f>
        <v>3261. Servicios complementarios de educación</v>
      </c>
      <c r="W1833" s="35" t="str">
        <f>MID(Tabla1[[#This Row],[Aplicación]],14,2)</f>
        <v>22</v>
      </c>
      <c r="X1833" s="35" t="str">
        <f>MID(Tabla1[[#This Row],[Aplicación]],14,6)</f>
        <v>22700</v>
      </c>
    </row>
    <row r="1834" spans="1:24" x14ac:dyDescent="0.25">
      <c r="A1834" s="49">
        <v>220209000554</v>
      </c>
      <c r="B1834" s="50" t="s">
        <v>9</v>
      </c>
      <c r="C1834" s="57">
        <v>44562</v>
      </c>
      <c r="D1834" s="49">
        <v>22022000212</v>
      </c>
      <c r="E1834" s="50" t="s">
        <v>3232</v>
      </c>
      <c r="F1834" s="58">
        <v>6165.61</v>
      </c>
      <c r="G1834" s="50" t="s">
        <v>1354</v>
      </c>
      <c r="H1834" s="50" t="s">
        <v>810</v>
      </c>
      <c r="I1834" s="49" t="s">
        <v>107</v>
      </c>
      <c r="J1834" s="50" t="s">
        <v>108</v>
      </c>
      <c r="K1834" s="50" t="s">
        <v>108</v>
      </c>
      <c r="L1834" s="50" t="s">
        <v>12</v>
      </c>
      <c r="M1834" s="50" t="s">
        <v>13</v>
      </c>
      <c r="N1834" s="50" t="s">
        <v>14</v>
      </c>
      <c r="O1834" s="48" t="s">
        <v>620</v>
      </c>
      <c r="P1834" s="45" t="s">
        <v>453</v>
      </c>
      <c r="Q1834" s="35" t="str">
        <f>MID(Tabla1[[#This Row],[Aplicación]],14,1)</f>
        <v>2</v>
      </c>
      <c r="R1834" s="35" t="s">
        <v>441</v>
      </c>
      <c r="S1834" s="35" t="str">
        <f>MID(Tabla1[[#This Row],[Aplicación]],6,2)</f>
        <v>06</v>
      </c>
      <c r="T1834" s="35" t="str">
        <f>VLOOKUP(Tabla1[[#This Row],[AREA]],Hoja1!A:B,2,FALSE)</f>
        <v>06. Educación, infancia, juventud e igualdad</v>
      </c>
      <c r="U1834" s="35" t="str">
        <f>MID(Tabla1[[#This Row],[Aplicación]],9,4)</f>
        <v>2315</v>
      </c>
      <c r="V1834" s="35" t="str">
        <f>VLOOKUP(Tabla1[[#This Row],[PROGRAMA]],Hoja1!A:B,2,FALSE)</f>
        <v>2315. Políticas de Igualdad e infancia</v>
      </c>
      <c r="W1834" s="35" t="str">
        <f>MID(Tabla1[[#This Row],[Aplicación]],14,2)</f>
        <v>22</v>
      </c>
      <c r="X1834" s="35" t="str">
        <f>MID(Tabla1[[#This Row],[Aplicación]],14,6)</f>
        <v>22700</v>
      </c>
    </row>
    <row r="1835" spans="1:24" x14ac:dyDescent="0.25">
      <c r="A1835" s="49">
        <v>220220005814</v>
      </c>
      <c r="B1835" s="50" t="s">
        <v>9</v>
      </c>
      <c r="C1835" s="57">
        <v>44615</v>
      </c>
      <c r="D1835" s="49">
        <v>22022002440</v>
      </c>
      <c r="E1835" s="50" t="s">
        <v>1742</v>
      </c>
      <c r="F1835" s="58">
        <v>426.69</v>
      </c>
      <c r="G1835" s="50" t="s">
        <v>139</v>
      </c>
      <c r="H1835" s="50" t="s">
        <v>3233</v>
      </c>
      <c r="I1835" s="49" t="s">
        <v>107</v>
      </c>
      <c r="J1835" s="50" t="s">
        <v>109</v>
      </c>
      <c r="K1835" s="50" t="s">
        <v>108</v>
      </c>
      <c r="L1835" s="50" t="s">
        <v>15</v>
      </c>
      <c r="M1835" s="50" t="s">
        <v>10</v>
      </c>
      <c r="N1835" s="50" t="s">
        <v>11</v>
      </c>
      <c r="O1835" s="48" t="s">
        <v>632</v>
      </c>
      <c r="P1835" s="45" t="s">
        <v>453</v>
      </c>
      <c r="Q1835" s="35" t="str">
        <f>MID(Tabla1[[#This Row],[Aplicación]],14,1)</f>
        <v>2</v>
      </c>
      <c r="R1835" s="35" t="s">
        <v>441</v>
      </c>
      <c r="S1835" s="35" t="str">
        <f>MID(Tabla1[[#This Row],[Aplicación]],6,2)</f>
        <v>03</v>
      </c>
      <c r="T1835" s="35" t="str">
        <f>VLOOKUP(Tabla1[[#This Row],[AREA]],Hoja1!A:B,2,FALSE)</f>
        <v>03. Participación ciudadana y deportes</v>
      </c>
      <c r="U1835" s="35" t="str">
        <f>MID(Tabla1[[#This Row],[Aplicación]],9,4)</f>
        <v>9241</v>
      </c>
      <c r="V1835" s="35" t="str">
        <f>VLOOKUP(Tabla1[[#This Row],[PROGRAMA]],Hoja1!A:B,2,FALSE)</f>
        <v>9241. Participación ciudadana</v>
      </c>
      <c r="W1835" s="35" t="str">
        <f>MID(Tabla1[[#This Row],[Aplicación]],14,2)</f>
        <v>21</v>
      </c>
      <c r="X1835" s="35" t="str">
        <f>MID(Tabla1[[#This Row],[Aplicación]],14,6)</f>
        <v>213</v>
      </c>
    </row>
    <row r="1836" spans="1:24" x14ac:dyDescent="0.25">
      <c r="A1836" s="49">
        <v>220220005781</v>
      </c>
      <c r="B1836" s="50" t="s">
        <v>9</v>
      </c>
      <c r="C1836" s="57">
        <v>44615</v>
      </c>
      <c r="D1836" s="49">
        <v>22022002345</v>
      </c>
      <c r="E1836" s="50" t="s">
        <v>2672</v>
      </c>
      <c r="F1836" s="58">
        <v>405.31</v>
      </c>
      <c r="G1836" s="50" t="s">
        <v>44</v>
      </c>
      <c r="H1836" s="50" t="s">
        <v>3234</v>
      </c>
      <c r="I1836" s="49" t="s">
        <v>107</v>
      </c>
      <c r="J1836" s="50" t="s">
        <v>109</v>
      </c>
      <c r="K1836" s="50" t="s">
        <v>109</v>
      </c>
      <c r="L1836" s="50" t="s">
        <v>12</v>
      </c>
      <c r="M1836" s="50" t="s">
        <v>10</v>
      </c>
      <c r="N1836" s="50" t="s">
        <v>11</v>
      </c>
      <c r="O1836" s="48" t="s">
        <v>632</v>
      </c>
      <c r="P1836" s="45" t="s">
        <v>453</v>
      </c>
      <c r="Q1836" s="35" t="str">
        <f>MID(Tabla1[[#This Row],[Aplicación]],14,1)</f>
        <v>2</v>
      </c>
      <c r="R1836" s="35" t="s">
        <v>441</v>
      </c>
      <c r="S1836" s="35" t="str">
        <f>MID(Tabla1[[#This Row],[Aplicación]],6,2)</f>
        <v>08</v>
      </c>
      <c r="T1836" s="35" t="str">
        <f>VLOOKUP(Tabla1[[#This Row],[AREA]],Hoja1!A:B,2,FALSE)</f>
        <v>08. Movilidad y espacio urbano</v>
      </c>
      <c r="U1836" s="35" t="str">
        <f>MID(Tabla1[[#This Row],[Aplicación]],9,4)</f>
        <v>1651</v>
      </c>
      <c r="V1836" s="35" t="str">
        <f>VLOOKUP(Tabla1[[#This Row],[PROGRAMA]],Hoja1!A:B,2,FALSE)</f>
        <v>1651. Alumbrado público</v>
      </c>
      <c r="W1836" s="35" t="str">
        <f>MID(Tabla1[[#This Row],[Aplicación]],14,2)</f>
        <v>21</v>
      </c>
      <c r="X1836" s="35" t="str">
        <f>MID(Tabla1[[#This Row],[Aplicación]],14,6)</f>
        <v>213</v>
      </c>
    </row>
    <row r="1837" spans="1:24" x14ac:dyDescent="0.25">
      <c r="A1837" s="49">
        <v>220219001256</v>
      </c>
      <c r="B1837" s="50" t="s">
        <v>9</v>
      </c>
      <c r="C1837" s="57">
        <v>44562</v>
      </c>
      <c r="D1837" s="49">
        <v>22022001689</v>
      </c>
      <c r="E1837" s="50" t="s">
        <v>1436</v>
      </c>
      <c r="F1837" s="58">
        <v>400</v>
      </c>
      <c r="G1837" s="50" t="s">
        <v>1353</v>
      </c>
      <c r="H1837" s="50" t="s">
        <v>3235</v>
      </c>
      <c r="I1837" s="49" t="s">
        <v>107</v>
      </c>
      <c r="J1837" s="50" t="s">
        <v>109</v>
      </c>
      <c r="K1837" s="50" t="s">
        <v>109</v>
      </c>
      <c r="L1837" s="50" t="s">
        <v>12</v>
      </c>
      <c r="M1837" s="50" t="s">
        <v>10</v>
      </c>
      <c r="N1837" s="50" t="s">
        <v>11</v>
      </c>
      <c r="O1837" s="48" t="s">
        <v>632</v>
      </c>
      <c r="P1837" s="45" t="s">
        <v>453</v>
      </c>
      <c r="Q1837" s="35" t="str">
        <f>MID(Tabla1[[#This Row],[Aplicación]],14,1)</f>
        <v>2</v>
      </c>
      <c r="R1837" s="35" t="s">
        <v>441</v>
      </c>
      <c r="S1837" s="35" t="str">
        <f>MID(Tabla1[[#This Row],[Aplicación]],6,2)</f>
        <v>03</v>
      </c>
      <c r="T1837" s="35" t="str">
        <f>VLOOKUP(Tabla1[[#This Row],[AREA]],Hoja1!A:B,2,FALSE)</f>
        <v>03. Participación ciudadana y deportes</v>
      </c>
      <c r="U1837" s="35" t="str">
        <f>MID(Tabla1[[#This Row],[Aplicación]],9,4)</f>
        <v>9241</v>
      </c>
      <c r="V1837" s="35" t="str">
        <f>VLOOKUP(Tabla1[[#This Row],[PROGRAMA]],Hoja1!A:B,2,FALSE)</f>
        <v>9241. Participación ciudadana</v>
      </c>
      <c r="W1837" s="35" t="str">
        <f>MID(Tabla1[[#This Row],[Aplicación]],14,2)</f>
        <v>22</v>
      </c>
      <c r="X1837" s="35" t="str">
        <f>MID(Tabla1[[#This Row],[Aplicación]],14,6)</f>
        <v>22609</v>
      </c>
    </row>
    <row r="1838" spans="1:24" x14ac:dyDescent="0.25">
      <c r="A1838" s="49">
        <v>220219000336</v>
      </c>
      <c r="B1838" s="50" t="s">
        <v>9</v>
      </c>
      <c r="C1838" s="57">
        <v>44562</v>
      </c>
      <c r="D1838" s="49">
        <v>22022001980</v>
      </c>
      <c r="E1838" s="50" t="s">
        <v>1676</v>
      </c>
      <c r="F1838" s="58">
        <v>50820</v>
      </c>
      <c r="G1838" s="50" t="s">
        <v>961</v>
      </c>
      <c r="H1838" s="50" t="s">
        <v>3236</v>
      </c>
      <c r="I1838" s="49" t="s">
        <v>107</v>
      </c>
      <c r="J1838" s="50" t="s">
        <v>573</v>
      </c>
      <c r="K1838" s="50" t="s">
        <v>109</v>
      </c>
      <c r="L1838" s="50" t="s">
        <v>15</v>
      </c>
      <c r="M1838" s="50" t="s">
        <v>13</v>
      </c>
      <c r="N1838" s="50" t="s">
        <v>16</v>
      </c>
      <c r="O1838" s="48" t="s">
        <v>620</v>
      </c>
      <c r="P1838" s="45" t="s">
        <v>453</v>
      </c>
      <c r="Q1838" s="35" t="str">
        <f>MID(Tabla1[[#This Row],[Aplicación]],14,1)</f>
        <v>6</v>
      </c>
      <c r="R1838" s="35" t="s">
        <v>442</v>
      </c>
      <c r="S1838" s="35" t="str">
        <f>MID(Tabla1[[#This Row],[Aplicación]],6,2)</f>
        <v>04</v>
      </c>
      <c r="T1838" s="35" t="str">
        <f>VLOOKUP(Tabla1[[#This Row],[AREA]],Hoja1!A:B,2,FALSE)</f>
        <v>04. Planificación y recursos</v>
      </c>
      <c r="U1838" s="35" t="str">
        <f>MID(Tabla1[[#This Row],[Aplicación]],9,4)</f>
        <v>9204</v>
      </c>
      <c r="V1838" s="35" t="str">
        <f>VLOOKUP(Tabla1[[#This Row],[PROGRAMA]],Hoja1!A:B,2,FALSE)</f>
        <v>9204. Tecnologías de la información y comunicación</v>
      </c>
      <c r="W1838" s="35" t="str">
        <f>MID(Tabla1[[#This Row],[Aplicación]],14,2)</f>
        <v>64</v>
      </c>
      <c r="X1838" s="35" t="str">
        <f>MID(Tabla1[[#This Row],[Aplicación]],14,6)</f>
        <v>641</v>
      </c>
    </row>
    <row r="1839" spans="1:24" x14ac:dyDescent="0.25">
      <c r="A1839" s="49">
        <v>220220003096</v>
      </c>
      <c r="B1839" s="50" t="s">
        <v>9</v>
      </c>
      <c r="C1839" s="57">
        <v>44601</v>
      </c>
      <c r="D1839" s="49">
        <v>22022001051</v>
      </c>
      <c r="E1839" s="50" t="s">
        <v>1886</v>
      </c>
      <c r="F1839" s="58">
        <v>17746.669999999998</v>
      </c>
      <c r="G1839" s="50" t="s">
        <v>963</v>
      </c>
      <c r="H1839" s="50" t="s">
        <v>3237</v>
      </c>
      <c r="I1839" s="49" t="s">
        <v>107</v>
      </c>
      <c r="J1839" s="50" t="s">
        <v>463</v>
      </c>
      <c r="K1839" s="50" t="s">
        <v>463</v>
      </c>
      <c r="L1839" s="50" t="s">
        <v>12</v>
      </c>
      <c r="M1839" s="50" t="s">
        <v>13</v>
      </c>
      <c r="N1839" s="50" t="s">
        <v>14</v>
      </c>
      <c r="O1839" s="48" t="s">
        <v>620</v>
      </c>
      <c r="P1839" s="45" t="s">
        <v>453</v>
      </c>
      <c r="Q1839" s="35" t="str">
        <f>MID(Tabla1[[#This Row],[Aplicación]],14,1)</f>
        <v>2</v>
      </c>
      <c r="R1839" s="35" t="s">
        <v>441</v>
      </c>
      <c r="S1839" s="35" t="str">
        <f>MID(Tabla1[[#This Row],[Aplicación]],6,2)</f>
        <v>09</v>
      </c>
      <c r="T1839" s="35" t="str">
        <f>VLOOKUP(Tabla1[[#This Row],[AREA]],Hoja1!A:B,2,FALSE)</f>
        <v>09. Cultura y turismo</v>
      </c>
      <c r="U1839" s="35" t="str">
        <f>MID(Tabla1[[#This Row],[Aplicación]],9,4)</f>
        <v>3341</v>
      </c>
      <c r="V1839" s="35" t="str">
        <f>VLOOKUP(Tabla1[[#This Row],[PROGRAMA]],Hoja1!A:B,2,FALSE)</f>
        <v>3341. Coordinación de políticas culturales</v>
      </c>
      <c r="W1839" s="35" t="str">
        <f>MID(Tabla1[[#This Row],[Aplicación]],14,2)</f>
        <v>22</v>
      </c>
      <c r="X1839" s="35" t="str">
        <f>MID(Tabla1[[#This Row],[Aplicación]],14,6)</f>
        <v>22799</v>
      </c>
    </row>
    <row r="1840" spans="1:24" x14ac:dyDescent="0.25">
      <c r="A1840" s="49">
        <v>220219000257</v>
      </c>
      <c r="B1840" s="50" t="s">
        <v>9</v>
      </c>
      <c r="C1840" s="57">
        <v>44562</v>
      </c>
      <c r="D1840" s="49">
        <v>22022000060</v>
      </c>
      <c r="E1840" s="50" t="s">
        <v>1886</v>
      </c>
      <c r="F1840" s="58">
        <v>8873.33</v>
      </c>
      <c r="G1840" s="50" t="s">
        <v>963</v>
      </c>
      <c r="H1840" s="50" t="s">
        <v>3238</v>
      </c>
      <c r="I1840" s="49" t="s">
        <v>107</v>
      </c>
      <c r="J1840" s="50" t="s">
        <v>463</v>
      </c>
      <c r="K1840" s="50" t="s">
        <v>463</v>
      </c>
      <c r="L1840" s="50" t="s">
        <v>12</v>
      </c>
      <c r="M1840" s="50" t="s">
        <v>13</v>
      </c>
      <c r="N1840" s="50" t="s">
        <v>14</v>
      </c>
      <c r="O1840" s="48" t="s">
        <v>620</v>
      </c>
      <c r="P1840" s="45" t="s">
        <v>453</v>
      </c>
      <c r="Q1840" s="35" t="str">
        <f>MID(Tabla1[[#This Row],[Aplicación]],14,1)</f>
        <v>2</v>
      </c>
      <c r="R1840" s="35" t="s">
        <v>441</v>
      </c>
      <c r="S1840" s="35" t="str">
        <f>MID(Tabla1[[#This Row],[Aplicación]],6,2)</f>
        <v>09</v>
      </c>
      <c r="T1840" s="35" t="str">
        <f>VLOOKUP(Tabla1[[#This Row],[AREA]],Hoja1!A:B,2,FALSE)</f>
        <v>09. Cultura y turismo</v>
      </c>
      <c r="U1840" s="35" t="str">
        <f>MID(Tabla1[[#This Row],[Aplicación]],9,4)</f>
        <v>3341</v>
      </c>
      <c r="V1840" s="35" t="str">
        <f>VLOOKUP(Tabla1[[#This Row],[PROGRAMA]],Hoja1!A:B,2,FALSE)</f>
        <v>3341. Coordinación de políticas culturales</v>
      </c>
      <c r="W1840" s="35" t="str">
        <f>MID(Tabla1[[#This Row],[Aplicación]],14,2)</f>
        <v>22</v>
      </c>
      <c r="X1840" s="35" t="str">
        <f>MID(Tabla1[[#This Row],[Aplicación]],14,6)</f>
        <v>22799</v>
      </c>
    </row>
    <row r="1841" spans="1:24" x14ac:dyDescent="0.25">
      <c r="A1841" s="49">
        <v>220220010335</v>
      </c>
      <c r="B1841" s="50" t="s">
        <v>9</v>
      </c>
      <c r="C1841" s="57">
        <v>44641</v>
      </c>
      <c r="D1841" s="49">
        <v>22022002912</v>
      </c>
      <c r="E1841" s="50" t="s">
        <v>1436</v>
      </c>
      <c r="F1841" s="58">
        <v>400</v>
      </c>
      <c r="G1841" s="50" t="s">
        <v>1353</v>
      </c>
      <c r="H1841" s="50" t="s">
        <v>3239</v>
      </c>
      <c r="I1841" s="49" t="s">
        <v>107</v>
      </c>
      <c r="J1841" s="50" t="s">
        <v>109</v>
      </c>
      <c r="K1841" s="50" t="s">
        <v>109</v>
      </c>
      <c r="L1841" s="50" t="s">
        <v>12</v>
      </c>
      <c r="M1841" s="50" t="s">
        <v>10</v>
      </c>
      <c r="N1841" s="50" t="s">
        <v>11</v>
      </c>
      <c r="O1841" s="48" t="s">
        <v>632</v>
      </c>
      <c r="P1841" s="45" t="s">
        <v>453</v>
      </c>
      <c r="Q1841" s="35" t="str">
        <f>MID(Tabla1[[#This Row],[Aplicación]],14,1)</f>
        <v>2</v>
      </c>
      <c r="R1841" s="35" t="s">
        <v>441</v>
      </c>
      <c r="S1841" s="35" t="str">
        <f>MID(Tabla1[[#This Row],[Aplicación]],6,2)</f>
        <v>03</v>
      </c>
      <c r="T1841" s="35" t="str">
        <f>VLOOKUP(Tabla1[[#This Row],[AREA]],Hoja1!A:B,2,FALSE)</f>
        <v>03. Participación ciudadana y deportes</v>
      </c>
      <c r="U1841" s="35" t="str">
        <f>MID(Tabla1[[#This Row],[Aplicación]],9,4)</f>
        <v>9241</v>
      </c>
      <c r="V1841" s="35" t="str">
        <f>VLOOKUP(Tabla1[[#This Row],[PROGRAMA]],Hoja1!A:B,2,FALSE)</f>
        <v>9241. Participación ciudadana</v>
      </c>
      <c r="W1841" s="35" t="str">
        <f>MID(Tabla1[[#This Row],[Aplicación]],14,2)</f>
        <v>22</v>
      </c>
      <c r="X1841" s="35" t="str">
        <f>MID(Tabla1[[#This Row],[Aplicación]],14,6)</f>
        <v>22609</v>
      </c>
    </row>
    <row r="1842" spans="1:24" x14ac:dyDescent="0.25">
      <c r="A1842" s="49">
        <v>220220007110</v>
      </c>
      <c r="B1842" s="50" t="s">
        <v>9</v>
      </c>
      <c r="C1842" s="57">
        <v>44623</v>
      </c>
      <c r="D1842" s="49">
        <v>22022002574</v>
      </c>
      <c r="E1842" s="50" t="s">
        <v>1629</v>
      </c>
      <c r="F1842" s="58">
        <v>397.5</v>
      </c>
      <c r="G1842" s="50" t="s">
        <v>950</v>
      </c>
      <c r="H1842" s="50" t="s">
        <v>3240</v>
      </c>
      <c r="I1842" s="49" t="s">
        <v>107</v>
      </c>
      <c r="J1842" s="50" t="s">
        <v>109</v>
      </c>
      <c r="K1842" s="50" t="s">
        <v>109</v>
      </c>
      <c r="L1842" s="50" t="s">
        <v>12</v>
      </c>
      <c r="M1842" s="50" t="s">
        <v>10</v>
      </c>
      <c r="N1842" s="50" t="s">
        <v>11</v>
      </c>
      <c r="O1842" s="48" t="s">
        <v>632</v>
      </c>
      <c r="P1842" s="45" t="s">
        <v>453</v>
      </c>
      <c r="Q1842" s="35" t="str">
        <f>MID(Tabla1[[#This Row],[Aplicación]],14,1)</f>
        <v>2</v>
      </c>
      <c r="R1842" s="35" t="s">
        <v>441</v>
      </c>
      <c r="S1842" s="35" t="str">
        <f>MID(Tabla1[[#This Row],[Aplicación]],6,2)</f>
        <v>06</v>
      </c>
      <c r="T1842" s="35" t="str">
        <f>VLOOKUP(Tabla1[[#This Row],[AREA]],Hoja1!A:B,2,FALSE)</f>
        <v>06. Educación, infancia, juventud e igualdad</v>
      </c>
      <c r="U1842" s="35" t="str">
        <f>MID(Tabla1[[#This Row],[Aplicación]],9,4)</f>
        <v>2315</v>
      </c>
      <c r="V1842" s="35" t="str">
        <f>VLOOKUP(Tabla1[[#This Row],[PROGRAMA]],Hoja1!A:B,2,FALSE)</f>
        <v>2315. Políticas de Igualdad e infancia</v>
      </c>
      <c r="W1842" s="35" t="str">
        <f>MID(Tabla1[[#This Row],[Aplicación]],14,2)</f>
        <v>22</v>
      </c>
      <c r="X1842" s="35" t="str">
        <f>MID(Tabla1[[#This Row],[Aplicación]],14,6)</f>
        <v>22611</v>
      </c>
    </row>
    <row r="1843" spans="1:24" x14ac:dyDescent="0.25">
      <c r="A1843" s="49">
        <v>220199000766</v>
      </c>
      <c r="B1843" s="50" t="s">
        <v>9</v>
      </c>
      <c r="C1843" s="57">
        <v>44562</v>
      </c>
      <c r="D1843" s="49">
        <v>22022000165</v>
      </c>
      <c r="E1843" s="50" t="s">
        <v>1397</v>
      </c>
      <c r="F1843" s="58">
        <v>107161.60000000001</v>
      </c>
      <c r="G1843" s="50" t="s">
        <v>133</v>
      </c>
      <c r="H1843" s="50" t="s">
        <v>530</v>
      </c>
      <c r="I1843" s="49" t="s">
        <v>107</v>
      </c>
      <c r="J1843" s="50" t="s">
        <v>524</v>
      </c>
      <c r="K1843" s="50" t="s">
        <v>134</v>
      </c>
      <c r="L1843" s="50" t="s">
        <v>12</v>
      </c>
      <c r="M1843" s="50" t="s">
        <v>13</v>
      </c>
      <c r="N1843" s="50" t="s">
        <v>14</v>
      </c>
      <c r="O1843" s="48" t="s">
        <v>620</v>
      </c>
      <c r="P1843" s="45" t="s">
        <v>453</v>
      </c>
      <c r="Q1843" s="35" t="str">
        <f>MID(Tabla1[[#This Row],[Aplicación]],14,1)</f>
        <v>2</v>
      </c>
      <c r="R1843" s="35" t="s">
        <v>441</v>
      </c>
      <c r="S1843" s="35" t="str">
        <f>MID(Tabla1[[#This Row],[Aplicación]],6,2)</f>
        <v>10</v>
      </c>
      <c r="T1843" s="35" t="str">
        <f>VLOOKUP(Tabla1[[#This Row],[AREA]],Hoja1!A:B,2,FALSE)</f>
        <v>10. Servicios sociales y mediación comunitaria</v>
      </c>
      <c r="U1843" s="35" t="str">
        <f>MID(Tabla1[[#This Row],[Aplicación]],9,4)</f>
        <v>2312</v>
      </c>
      <c r="V1843" s="35" t="str">
        <f>VLOOKUP(Tabla1[[#This Row],[PROGRAMA]],Hoja1!A:B,2,FALSE)</f>
        <v>2312. Iniciativas sociales</v>
      </c>
      <c r="W1843" s="35" t="str">
        <f>MID(Tabla1[[#This Row],[Aplicación]],14,2)</f>
        <v>22</v>
      </c>
      <c r="X1843" s="35" t="str">
        <f>MID(Tabla1[[#This Row],[Aplicación]],14,6)</f>
        <v>22799</v>
      </c>
    </row>
    <row r="1844" spans="1:24" x14ac:dyDescent="0.25">
      <c r="A1844" s="49">
        <v>220199000767</v>
      </c>
      <c r="B1844" s="50" t="s">
        <v>9</v>
      </c>
      <c r="C1844" s="57">
        <v>44562</v>
      </c>
      <c r="D1844" s="49">
        <v>22022000166</v>
      </c>
      <c r="E1844" s="50" t="s">
        <v>1397</v>
      </c>
      <c r="F1844" s="58">
        <v>15308.8</v>
      </c>
      <c r="G1844" s="50" t="s">
        <v>133</v>
      </c>
      <c r="H1844" s="50" t="s">
        <v>551</v>
      </c>
      <c r="I1844" s="49" t="s">
        <v>107</v>
      </c>
      <c r="J1844" s="50" t="s">
        <v>524</v>
      </c>
      <c r="K1844" s="50" t="s">
        <v>134</v>
      </c>
      <c r="L1844" s="50" t="s">
        <v>12</v>
      </c>
      <c r="M1844" s="50" t="s">
        <v>13</v>
      </c>
      <c r="N1844" s="50" t="s">
        <v>14</v>
      </c>
      <c r="O1844" s="48" t="s">
        <v>620</v>
      </c>
      <c r="P1844" s="45" t="s">
        <v>453</v>
      </c>
      <c r="Q1844" s="35" t="str">
        <f>MID(Tabla1[[#This Row],[Aplicación]],14,1)</f>
        <v>2</v>
      </c>
      <c r="R1844" s="35" t="s">
        <v>441</v>
      </c>
      <c r="S1844" s="35" t="str">
        <f>MID(Tabla1[[#This Row],[Aplicación]],6,2)</f>
        <v>10</v>
      </c>
      <c r="T1844" s="35" t="str">
        <f>VLOOKUP(Tabla1[[#This Row],[AREA]],Hoja1!A:B,2,FALSE)</f>
        <v>10. Servicios sociales y mediación comunitaria</v>
      </c>
      <c r="U1844" s="35" t="str">
        <f>MID(Tabla1[[#This Row],[Aplicación]],9,4)</f>
        <v>2312</v>
      </c>
      <c r="V1844" s="35" t="str">
        <f>VLOOKUP(Tabla1[[#This Row],[PROGRAMA]],Hoja1!A:B,2,FALSE)</f>
        <v>2312. Iniciativas sociales</v>
      </c>
      <c r="W1844" s="35" t="str">
        <f>MID(Tabla1[[#This Row],[Aplicación]],14,2)</f>
        <v>22</v>
      </c>
      <c r="X1844" s="35" t="str">
        <f>MID(Tabla1[[#This Row],[Aplicación]],14,6)</f>
        <v>22799</v>
      </c>
    </row>
    <row r="1845" spans="1:24" x14ac:dyDescent="0.25">
      <c r="A1845" s="49">
        <v>220220002606</v>
      </c>
      <c r="B1845" s="50" t="s">
        <v>9</v>
      </c>
      <c r="C1845" s="57">
        <v>44599</v>
      </c>
      <c r="D1845" s="49">
        <v>22022001881</v>
      </c>
      <c r="E1845" s="50" t="s">
        <v>2763</v>
      </c>
      <c r="F1845" s="58">
        <v>385</v>
      </c>
      <c r="G1845" s="50" t="s">
        <v>3241</v>
      </c>
      <c r="H1845" s="50" t="s">
        <v>3242</v>
      </c>
      <c r="I1845" s="49" t="s">
        <v>107</v>
      </c>
      <c r="J1845" s="50" t="s">
        <v>109</v>
      </c>
      <c r="K1845" s="50" t="s">
        <v>109</v>
      </c>
      <c r="L1845" s="50" t="s">
        <v>12</v>
      </c>
      <c r="M1845" s="50" t="s">
        <v>10</v>
      </c>
      <c r="N1845" s="50" t="s">
        <v>11</v>
      </c>
      <c r="O1845" s="48" t="s">
        <v>632</v>
      </c>
      <c r="P1845" s="45" t="s">
        <v>453</v>
      </c>
      <c r="Q1845" s="35" t="str">
        <f>MID(Tabla1[[#This Row],[Aplicación]],14,1)</f>
        <v>2</v>
      </c>
      <c r="R1845" s="35" t="s">
        <v>441</v>
      </c>
      <c r="S1845" s="35" t="str">
        <f>MID(Tabla1[[#This Row],[Aplicación]],6,2)</f>
        <v>11</v>
      </c>
      <c r="T1845" s="35" t="str">
        <f>VLOOKUP(Tabla1[[#This Row],[AREA]],Hoja1!A:B,2,FALSE)</f>
        <v>11. Salud pública y seguridad ciudadana</v>
      </c>
      <c r="U1845" s="35" t="str">
        <f>MID(Tabla1[[#This Row],[Aplicación]],9,4)</f>
        <v>3111</v>
      </c>
      <c r="V1845" s="35" t="str">
        <f>VLOOKUP(Tabla1[[#This Row],[PROGRAMA]],Hoja1!A:B,2,FALSE)</f>
        <v>3111. Protección de la salubridad pública</v>
      </c>
      <c r="W1845" s="35" t="str">
        <f>MID(Tabla1[[#This Row],[Aplicación]],14,2)</f>
        <v>22</v>
      </c>
      <c r="X1845" s="35" t="str">
        <f>MID(Tabla1[[#This Row],[Aplicación]],14,6)</f>
        <v>22706</v>
      </c>
    </row>
    <row r="1846" spans="1:24" x14ac:dyDescent="0.25">
      <c r="A1846" s="49">
        <v>220209000791</v>
      </c>
      <c r="B1846" s="50" t="s">
        <v>9</v>
      </c>
      <c r="C1846" s="57">
        <v>44562</v>
      </c>
      <c r="D1846" s="49">
        <v>22022000312</v>
      </c>
      <c r="E1846" s="50" t="s">
        <v>1730</v>
      </c>
      <c r="F1846" s="58">
        <v>51895.6</v>
      </c>
      <c r="G1846" s="50" t="s">
        <v>152</v>
      </c>
      <c r="H1846" s="50" t="s">
        <v>815</v>
      </c>
      <c r="I1846" s="49" t="s">
        <v>107</v>
      </c>
      <c r="J1846" s="50" t="s">
        <v>553</v>
      </c>
      <c r="K1846" s="50" t="s">
        <v>109</v>
      </c>
      <c r="L1846" s="50" t="s">
        <v>12</v>
      </c>
      <c r="M1846" s="50" t="s">
        <v>13</v>
      </c>
      <c r="N1846" s="50" t="s">
        <v>14</v>
      </c>
      <c r="O1846" s="48" t="s">
        <v>620</v>
      </c>
      <c r="P1846" s="45" t="s">
        <v>453</v>
      </c>
      <c r="Q1846" s="35" t="str">
        <f>MID(Tabla1[[#This Row],[Aplicación]],14,1)</f>
        <v>2</v>
      </c>
      <c r="R1846" s="35" t="s">
        <v>441</v>
      </c>
      <c r="S1846" s="35" t="str">
        <f>MID(Tabla1[[#This Row],[Aplicación]],6,2)</f>
        <v>03</v>
      </c>
      <c r="T1846" s="35" t="str">
        <f>VLOOKUP(Tabla1[[#This Row],[AREA]],Hoja1!A:B,2,FALSE)</f>
        <v>03. Participación ciudadana y deportes</v>
      </c>
      <c r="U1846" s="35" t="str">
        <f>MID(Tabla1[[#This Row],[Aplicación]],9,4)</f>
        <v>9241</v>
      </c>
      <c r="V1846" s="35" t="str">
        <f>VLOOKUP(Tabla1[[#This Row],[PROGRAMA]],Hoja1!A:B,2,FALSE)</f>
        <v>9241. Participación ciudadana</v>
      </c>
      <c r="W1846" s="35" t="str">
        <f>MID(Tabla1[[#This Row],[Aplicación]],14,2)</f>
        <v>22</v>
      </c>
      <c r="X1846" s="35" t="str">
        <f>MID(Tabla1[[#This Row],[Aplicación]],14,6)</f>
        <v>22701</v>
      </c>
    </row>
    <row r="1847" spans="1:24" x14ac:dyDescent="0.25">
      <c r="A1847" s="49">
        <v>220220009355</v>
      </c>
      <c r="B1847" s="50" t="s">
        <v>9</v>
      </c>
      <c r="C1847" s="57">
        <v>44636</v>
      </c>
      <c r="D1847" s="49">
        <v>22022002780</v>
      </c>
      <c r="E1847" s="50" t="s">
        <v>1473</v>
      </c>
      <c r="F1847" s="58">
        <v>372.29</v>
      </c>
      <c r="G1847" s="50" t="s">
        <v>255</v>
      </c>
      <c r="H1847" s="50" t="s">
        <v>3243</v>
      </c>
      <c r="I1847" s="49" t="s">
        <v>107</v>
      </c>
      <c r="J1847" s="50" t="s">
        <v>552</v>
      </c>
      <c r="K1847" s="50" t="s">
        <v>109</v>
      </c>
      <c r="L1847" s="50" t="s">
        <v>12</v>
      </c>
      <c r="M1847" s="50" t="s">
        <v>10</v>
      </c>
      <c r="N1847" s="50" t="s">
        <v>11</v>
      </c>
      <c r="O1847" s="48" t="s">
        <v>632</v>
      </c>
      <c r="P1847" s="45" t="s">
        <v>453</v>
      </c>
      <c r="Q1847" s="35" t="str">
        <f>MID(Tabla1[[#This Row],[Aplicación]],14,1)</f>
        <v>2</v>
      </c>
      <c r="R1847" s="35" t="s">
        <v>441</v>
      </c>
      <c r="S1847" s="35" t="str">
        <f>MID(Tabla1[[#This Row],[Aplicación]],6,2)</f>
        <v>06</v>
      </c>
      <c r="T1847" s="35" t="str">
        <f>VLOOKUP(Tabla1[[#This Row],[AREA]],Hoja1!A:B,2,FALSE)</f>
        <v>06. Educación, infancia, juventud e igualdad</v>
      </c>
      <c r="U1847" s="35" t="str">
        <f>MID(Tabla1[[#This Row],[Aplicación]],9,4)</f>
        <v>2315</v>
      </c>
      <c r="V1847" s="35" t="str">
        <f>VLOOKUP(Tabla1[[#This Row],[PROGRAMA]],Hoja1!A:B,2,FALSE)</f>
        <v>2315. Políticas de Igualdad e infancia</v>
      </c>
      <c r="W1847" s="35" t="str">
        <f>MID(Tabla1[[#This Row],[Aplicación]],14,2)</f>
        <v>21</v>
      </c>
      <c r="X1847" s="35" t="str">
        <f>MID(Tabla1[[#This Row],[Aplicación]],14,6)</f>
        <v>213</v>
      </c>
    </row>
    <row r="1848" spans="1:24" x14ac:dyDescent="0.25">
      <c r="A1848" s="49">
        <v>220220005218</v>
      </c>
      <c r="B1848" s="50" t="s">
        <v>9</v>
      </c>
      <c r="C1848" s="57">
        <v>44614</v>
      </c>
      <c r="D1848" s="49">
        <v>22022002306</v>
      </c>
      <c r="E1848" s="50" t="s">
        <v>2275</v>
      </c>
      <c r="F1848" s="58">
        <v>363</v>
      </c>
      <c r="G1848" s="50" t="s">
        <v>56</v>
      </c>
      <c r="H1848" s="50" t="s">
        <v>3244</v>
      </c>
      <c r="I1848" s="49" t="s">
        <v>107</v>
      </c>
      <c r="J1848" s="50" t="s">
        <v>109</v>
      </c>
      <c r="K1848" s="50" t="s">
        <v>109</v>
      </c>
      <c r="L1848" s="50" t="s">
        <v>12</v>
      </c>
      <c r="M1848" s="50" t="s">
        <v>10</v>
      </c>
      <c r="N1848" s="50" t="s">
        <v>11</v>
      </c>
      <c r="O1848" s="48" t="s">
        <v>632</v>
      </c>
      <c r="P1848" s="45" t="s">
        <v>453</v>
      </c>
      <c r="Q1848" s="35" t="str">
        <f>MID(Tabla1[[#This Row],[Aplicación]],14,1)</f>
        <v>2</v>
      </c>
      <c r="R1848" s="35" t="s">
        <v>441</v>
      </c>
      <c r="S1848" s="35" t="str">
        <f>MID(Tabla1[[#This Row],[Aplicación]],6,2)</f>
        <v>06</v>
      </c>
      <c r="T1848" s="35" t="str">
        <f>VLOOKUP(Tabla1[[#This Row],[AREA]],Hoja1!A:B,2,FALSE)</f>
        <v>06. Educación, infancia, juventud e igualdad</v>
      </c>
      <c r="U1848" s="35" t="str">
        <f>MID(Tabla1[[#This Row],[Aplicación]],9,4)</f>
        <v>2315</v>
      </c>
      <c r="V1848" s="35" t="str">
        <f>VLOOKUP(Tabla1[[#This Row],[PROGRAMA]],Hoja1!A:B,2,FALSE)</f>
        <v>2315. Políticas de Igualdad e infancia</v>
      </c>
      <c r="W1848" s="35" t="str">
        <f>MID(Tabla1[[#This Row],[Aplicación]],14,2)</f>
        <v>22</v>
      </c>
      <c r="X1848" s="35" t="str">
        <f>MID(Tabla1[[#This Row],[Aplicación]],14,6)</f>
        <v>22100</v>
      </c>
    </row>
    <row r="1849" spans="1:24" x14ac:dyDescent="0.25">
      <c r="A1849" s="49">
        <v>220220010303</v>
      </c>
      <c r="B1849" s="50" t="s">
        <v>9</v>
      </c>
      <c r="C1849" s="57">
        <v>44641</v>
      </c>
      <c r="D1849" s="49">
        <v>22022002722</v>
      </c>
      <c r="E1849" s="50" t="s">
        <v>2299</v>
      </c>
      <c r="F1849" s="58">
        <v>605</v>
      </c>
      <c r="G1849" s="50" t="s">
        <v>1139</v>
      </c>
      <c r="H1849" s="50" t="s">
        <v>3245</v>
      </c>
      <c r="I1849" s="49" t="s">
        <v>107</v>
      </c>
      <c r="J1849" s="50" t="s">
        <v>109</v>
      </c>
      <c r="K1849" s="50" t="s">
        <v>109</v>
      </c>
      <c r="L1849" s="50" t="s">
        <v>12</v>
      </c>
      <c r="M1849" s="50" t="s">
        <v>13</v>
      </c>
      <c r="N1849" s="50" t="s">
        <v>14</v>
      </c>
      <c r="O1849" s="48" t="s">
        <v>631</v>
      </c>
      <c r="P1849" s="45" t="s">
        <v>453</v>
      </c>
      <c r="Q1849" s="35" t="str">
        <f>MID(Tabla1[[#This Row],[Aplicación]],14,1)</f>
        <v>2</v>
      </c>
      <c r="R1849" s="35" t="s">
        <v>441</v>
      </c>
      <c r="S1849" s="35" t="str">
        <f>MID(Tabla1[[#This Row],[Aplicación]],6,2)</f>
        <v>01</v>
      </c>
      <c r="T1849" s="35" t="str">
        <f>VLOOKUP(Tabla1[[#This Row],[AREA]],Hoja1!A:B,2,FALSE)</f>
        <v>01. Alcaldía</v>
      </c>
      <c r="U1849" s="35" t="str">
        <f>MID(Tabla1[[#This Row],[Aplicación]],9,4)</f>
        <v>9207</v>
      </c>
      <c r="V1849" s="35" t="str">
        <f>VLOOKUP(Tabla1[[#This Row],[PROGRAMA]],Hoja1!A:B,2,FALSE)</f>
        <v>9207. Gobierno y relaciones</v>
      </c>
      <c r="W1849" s="35" t="str">
        <f>MID(Tabla1[[#This Row],[Aplicación]],14,2)</f>
        <v>22</v>
      </c>
      <c r="X1849" s="35" t="str">
        <f>MID(Tabla1[[#This Row],[Aplicación]],14,6)</f>
        <v>22602</v>
      </c>
    </row>
    <row r="1850" spans="1:24" x14ac:dyDescent="0.25">
      <c r="A1850" s="49">
        <v>220220009339</v>
      </c>
      <c r="B1850" s="50" t="s">
        <v>9</v>
      </c>
      <c r="C1850" s="57">
        <v>44636</v>
      </c>
      <c r="D1850" s="49">
        <v>22022002588</v>
      </c>
      <c r="E1850" s="50" t="s">
        <v>2275</v>
      </c>
      <c r="F1850" s="58">
        <v>363</v>
      </c>
      <c r="G1850" s="50" t="s">
        <v>56</v>
      </c>
      <c r="H1850" s="50" t="s">
        <v>3246</v>
      </c>
      <c r="I1850" s="49" t="s">
        <v>107</v>
      </c>
      <c r="J1850" s="50" t="s">
        <v>109</v>
      </c>
      <c r="K1850" s="50" t="s">
        <v>109</v>
      </c>
      <c r="L1850" s="50" t="s">
        <v>12</v>
      </c>
      <c r="M1850" s="50" t="s">
        <v>10</v>
      </c>
      <c r="N1850" s="50" t="s">
        <v>11</v>
      </c>
      <c r="O1850" s="48" t="s">
        <v>632</v>
      </c>
      <c r="P1850" s="45" t="s">
        <v>453</v>
      </c>
      <c r="Q1850" s="35" t="str">
        <f>MID(Tabla1[[#This Row],[Aplicación]],14,1)</f>
        <v>2</v>
      </c>
      <c r="R1850" s="35" t="s">
        <v>441</v>
      </c>
      <c r="S1850" s="35" t="str">
        <f>MID(Tabla1[[#This Row],[Aplicación]],6,2)</f>
        <v>06</v>
      </c>
      <c r="T1850" s="35" t="str">
        <f>VLOOKUP(Tabla1[[#This Row],[AREA]],Hoja1!A:B,2,FALSE)</f>
        <v>06. Educación, infancia, juventud e igualdad</v>
      </c>
      <c r="U1850" s="35" t="str">
        <f>MID(Tabla1[[#This Row],[Aplicación]],9,4)</f>
        <v>2315</v>
      </c>
      <c r="V1850" s="35" t="str">
        <f>VLOOKUP(Tabla1[[#This Row],[PROGRAMA]],Hoja1!A:B,2,FALSE)</f>
        <v>2315. Políticas de Igualdad e infancia</v>
      </c>
      <c r="W1850" s="35" t="str">
        <f>MID(Tabla1[[#This Row],[Aplicación]],14,2)</f>
        <v>22</v>
      </c>
      <c r="X1850" s="35" t="str">
        <f>MID(Tabla1[[#This Row],[Aplicación]],14,6)</f>
        <v>22100</v>
      </c>
    </row>
    <row r="1851" spans="1:24" x14ac:dyDescent="0.25">
      <c r="A1851" s="49">
        <v>220220006306</v>
      </c>
      <c r="B1851" s="50" t="s">
        <v>172</v>
      </c>
      <c r="C1851" s="57">
        <v>44617</v>
      </c>
      <c r="D1851" s="49">
        <v>22022002149</v>
      </c>
      <c r="E1851" s="50" t="s">
        <v>3247</v>
      </c>
      <c r="F1851" s="58">
        <v>405.24</v>
      </c>
      <c r="G1851" s="50" t="s">
        <v>817</v>
      </c>
      <c r="H1851" s="50" t="s">
        <v>3248</v>
      </c>
      <c r="I1851" s="49" t="s">
        <v>173</v>
      </c>
      <c r="J1851" s="50" t="s">
        <v>109</v>
      </c>
      <c r="K1851" s="50" t="s">
        <v>109</v>
      </c>
      <c r="L1851" s="50" t="s">
        <v>15</v>
      </c>
      <c r="M1851" s="50" t="s">
        <v>13</v>
      </c>
      <c r="N1851" s="50" t="s">
        <v>14</v>
      </c>
      <c r="O1851" s="48" t="s">
        <v>631</v>
      </c>
      <c r="P1851" s="45" t="s">
        <v>453</v>
      </c>
      <c r="Q1851" s="35" t="str">
        <f>MID(Tabla1[[#This Row],[Aplicación]],14,1)</f>
        <v>6</v>
      </c>
      <c r="R1851" s="35" t="s">
        <v>442</v>
      </c>
      <c r="S1851" s="35" t="str">
        <f>MID(Tabla1[[#This Row],[Aplicación]],6,2)</f>
        <v>06</v>
      </c>
      <c r="T1851" s="35" t="str">
        <f>VLOOKUP(Tabla1[[#This Row],[AREA]],Hoja1!A:B,2,FALSE)</f>
        <v>06. Educación, infancia, juventud e igualdad</v>
      </c>
      <c r="U1851" s="35" t="str">
        <f>MID(Tabla1[[#This Row],[Aplicación]],9,4)</f>
        <v>3321</v>
      </c>
      <c r="V1851" s="35" t="str">
        <f>VLOOKUP(Tabla1[[#This Row],[PROGRAMA]],Hoja1!A:B,2,FALSE)</f>
        <v>3321. Bibliotecas públicas</v>
      </c>
      <c r="W1851" s="35" t="str">
        <f>MID(Tabla1[[#This Row],[Aplicación]],14,2)</f>
        <v>62</v>
      </c>
      <c r="X1851" s="35" t="str">
        <f>MID(Tabla1[[#This Row],[Aplicación]],14,6)</f>
        <v>629</v>
      </c>
    </row>
    <row r="1852" spans="1:24" x14ac:dyDescent="0.25">
      <c r="A1852" s="49">
        <v>220210069589</v>
      </c>
      <c r="B1852" s="50" t="s">
        <v>9</v>
      </c>
      <c r="C1852" s="57">
        <v>44620</v>
      </c>
      <c r="D1852" s="49">
        <v>22021007380</v>
      </c>
      <c r="E1852" s="50" t="s">
        <v>3249</v>
      </c>
      <c r="F1852" s="58">
        <v>350.9</v>
      </c>
      <c r="G1852" s="50" t="s">
        <v>142</v>
      </c>
      <c r="H1852" s="50" t="s">
        <v>1259</v>
      </c>
      <c r="I1852" s="49" t="s">
        <v>107</v>
      </c>
      <c r="J1852" s="50" t="s">
        <v>108</v>
      </c>
      <c r="K1852" s="50" t="s">
        <v>108</v>
      </c>
      <c r="L1852" s="50" t="s">
        <v>15</v>
      </c>
      <c r="M1852" s="50" t="s">
        <v>10</v>
      </c>
      <c r="N1852" s="50" t="s">
        <v>11</v>
      </c>
      <c r="O1852" s="48" t="s">
        <v>632</v>
      </c>
      <c r="P1852" s="45" t="s">
        <v>453</v>
      </c>
      <c r="Q1852" s="35" t="str">
        <f>MID(Tabla1[[#This Row],[Aplicación]],14,1)</f>
        <v>6</v>
      </c>
      <c r="R1852" s="35" t="s">
        <v>442</v>
      </c>
      <c r="S1852" s="35" t="str">
        <f>MID(Tabla1[[#This Row],[Aplicación]],6,2)</f>
        <v>03</v>
      </c>
      <c r="T1852" s="35" t="str">
        <f>VLOOKUP(Tabla1[[#This Row],[AREA]],Hoja1!A:B,2,FALSE)</f>
        <v>03. Participación ciudadana y deportes</v>
      </c>
      <c r="U1852" s="35" t="str">
        <f>MID(Tabla1[[#This Row],[Aplicación]],9,4)</f>
        <v>9241</v>
      </c>
      <c r="V1852" s="35" t="str">
        <f>VLOOKUP(Tabla1[[#This Row],[PROGRAMA]],Hoja1!A:B,2,FALSE)</f>
        <v>9241. Participación ciudadana</v>
      </c>
      <c r="W1852" s="35" t="str">
        <f>MID(Tabla1[[#This Row],[Aplicación]],14,2)</f>
        <v>63</v>
      </c>
      <c r="X1852" s="35" t="str">
        <f>MID(Tabla1[[#This Row],[Aplicación]],14,6)</f>
        <v>633</v>
      </c>
    </row>
    <row r="1853" spans="1:24" x14ac:dyDescent="0.25">
      <c r="A1853" s="49">
        <v>220220013420</v>
      </c>
      <c r="B1853" s="50" t="s">
        <v>9</v>
      </c>
      <c r="C1853" s="57">
        <v>44651</v>
      </c>
      <c r="D1853" s="49">
        <v>22022003036</v>
      </c>
      <c r="E1853" s="50" t="s">
        <v>1629</v>
      </c>
      <c r="F1853" s="58">
        <v>350</v>
      </c>
      <c r="G1853" s="50" t="s">
        <v>3250</v>
      </c>
      <c r="H1853" s="50" t="s">
        <v>3251</v>
      </c>
      <c r="I1853" s="49" t="s">
        <v>107</v>
      </c>
      <c r="J1853" s="50" t="s">
        <v>108</v>
      </c>
      <c r="K1853" s="50" t="s">
        <v>108</v>
      </c>
      <c r="L1853" s="50" t="s">
        <v>12</v>
      </c>
      <c r="M1853" s="50" t="s">
        <v>10</v>
      </c>
      <c r="N1853" s="50" t="s">
        <v>11</v>
      </c>
      <c r="O1853" s="48" t="s">
        <v>632</v>
      </c>
      <c r="P1853" s="45" t="s">
        <v>453</v>
      </c>
      <c r="Q1853" s="35" t="str">
        <f>MID(Tabla1[[#This Row],[Aplicación]],14,1)</f>
        <v>2</v>
      </c>
      <c r="R1853" s="35" t="s">
        <v>441</v>
      </c>
      <c r="S1853" s="35" t="str">
        <f>MID(Tabla1[[#This Row],[Aplicación]],6,2)</f>
        <v>06</v>
      </c>
      <c r="T1853" s="35" t="str">
        <f>VLOOKUP(Tabla1[[#This Row],[AREA]],Hoja1!A:B,2,FALSE)</f>
        <v>06. Educación, infancia, juventud e igualdad</v>
      </c>
      <c r="U1853" s="35" t="str">
        <f>MID(Tabla1[[#This Row],[Aplicación]],9,4)</f>
        <v>2315</v>
      </c>
      <c r="V1853" s="35" t="str">
        <f>VLOOKUP(Tabla1[[#This Row],[PROGRAMA]],Hoja1!A:B,2,FALSE)</f>
        <v>2315. Políticas de Igualdad e infancia</v>
      </c>
      <c r="W1853" s="35" t="str">
        <f>MID(Tabla1[[#This Row],[Aplicación]],14,2)</f>
        <v>22</v>
      </c>
      <c r="X1853" s="35" t="str">
        <f>MID(Tabla1[[#This Row],[Aplicación]],14,6)</f>
        <v>22611</v>
      </c>
    </row>
    <row r="1854" spans="1:24" x14ac:dyDescent="0.25">
      <c r="A1854" s="49">
        <v>220220006376</v>
      </c>
      <c r="B1854" s="50" t="s">
        <v>9</v>
      </c>
      <c r="C1854" s="57">
        <v>44617</v>
      </c>
      <c r="D1854" s="49">
        <v>22022002408</v>
      </c>
      <c r="E1854" s="50" t="s">
        <v>2412</v>
      </c>
      <c r="F1854" s="58">
        <v>338.8</v>
      </c>
      <c r="G1854" s="50" t="s">
        <v>1296</v>
      </c>
      <c r="H1854" s="50" t="s">
        <v>3252</v>
      </c>
      <c r="I1854" s="49" t="s">
        <v>107</v>
      </c>
      <c r="J1854" s="50" t="s">
        <v>109</v>
      </c>
      <c r="K1854" s="50" t="s">
        <v>109</v>
      </c>
      <c r="L1854" s="50" t="s">
        <v>12</v>
      </c>
      <c r="M1854" s="50" t="s">
        <v>10</v>
      </c>
      <c r="N1854" s="50" t="s">
        <v>11</v>
      </c>
      <c r="O1854" s="48" t="s">
        <v>632</v>
      </c>
      <c r="P1854" s="45" t="s">
        <v>453</v>
      </c>
      <c r="Q1854" s="35" t="str">
        <f>MID(Tabla1[[#This Row],[Aplicación]],14,1)</f>
        <v>2</v>
      </c>
      <c r="R1854" s="35" t="s">
        <v>441</v>
      </c>
      <c r="S1854" s="35" t="str">
        <f>MID(Tabla1[[#This Row],[Aplicación]],6,2)</f>
        <v>05</v>
      </c>
      <c r="T1854" s="35" t="str">
        <f>VLOOKUP(Tabla1[[#This Row],[AREA]],Hoja1!A:B,2,FALSE)</f>
        <v>05. Innovación, desarrollo económico, empleo y comercio</v>
      </c>
      <c r="U1854" s="35" t="str">
        <f>MID(Tabla1[[#This Row],[Aplicación]],9,4)</f>
        <v>4331</v>
      </c>
      <c r="V1854" s="35" t="str">
        <f>VLOOKUP(Tabla1[[#This Row],[PROGRAMA]],Hoja1!A:B,2,FALSE)</f>
        <v>4331. Desarrollo empresarial</v>
      </c>
      <c r="W1854" s="35" t="str">
        <f>MID(Tabla1[[#This Row],[Aplicación]],14,2)</f>
        <v>21</v>
      </c>
      <c r="X1854" s="35" t="str">
        <f>MID(Tabla1[[#This Row],[Aplicación]],14,6)</f>
        <v>213</v>
      </c>
    </row>
    <row r="1855" spans="1:24" x14ac:dyDescent="0.25">
      <c r="A1855" s="49">
        <v>220220005786</v>
      </c>
      <c r="B1855" s="50" t="s">
        <v>9</v>
      </c>
      <c r="C1855" s="57">
        <v>44615</v>
      </c>
      <c r="D1855" s="49">
        <v>22022002358</v>
      </c>
      <c r="E1855" s="50" t="s">
        <v>2034</v>
      </c>
      <c r="F1855" s="58">
        <v>336.43</v>
      </c>
      <c r="G1855" s="50" t="s">
        <v>56</v>
      </c>
      <c r="H1855" s="50" t="s">
        <v>3253</v>
      </c>
      <c r="I1855" s="49" t="s">
        <v>107</v>
      </c>
      <c r="J1855" s="50" t="s">
        <v>109</v>
      </c>
      <c r="K1855" s="50" t="s">
        <v>109</v>
      </c>
      <c r="L1855" s="50" t="s">
        <v>12</v>
      </c>
      <c r="M1855" s="50" t="s">
        <v>10</v>
      </c>
      <c r="N1855" s="50" t="s">
        <v>11</v>
      </c>
      <c r="O1855" s="48" t="s">
        <v>632</v>
      </c>
      <c r="P1855" s="45" t="s">
        <v>453</v>
      </c>
      <c r="Q1855" s="35" t="str">
        <f>MID(Tabla1[[#This Row],[Aplicación]],14,1)</f>
        <v>2</v>
      </c>
      <c r="R1855" s="35" t="s">
        <v>441</v>
      </c>
      <c r="S1855" s="35" t="str">
        <f>MID(Tabla1[[#This Row],[Aplicación]],6,2)</f>
        <v>06</v>
      </c>
      <c r="T1855" s="35" t="str">
        <f>VLOOKUP(Tabla1[[#This Row],[AREA]],Hoja1!A:B,2,FALSE)</f>
        <v>06. Educación, infancia, juventud e igualdad</v>
      </c>
      <c r="U1855" s="35" t="str">
        <f>MID(Tabla1[[#This Row],[Aplicación]],9,4)</f>
        <v>3232</v>
      </c>
      <c r="V1855" s="35" t="str">
        <f>VLOOKUP(Tabla1[[#This Row],[PROGRAMA]],Hoja1!A:B,2,FALSE)</f>
        <v>3232. Conservación y mantenimiento centros educación infantil y primaria</v>
      </c>
      <c r="W1855" s="35" t="str">
        <f>MID(Tabla1[[#This Row],[Aplicación]],14,2)</f>
        <v>21</v>
      </c>
      <c r="X1855" s="35" t="str">
        <f>MID(Tabla1[[#This Row],[Aplicación]],14,6)</f>
        <v>212</v>
      </c>
    </row>
    <row r="1856" spans="1:24" x14ac:dyDescent="0.25">
      <c r="A1856" s="49">
        <v>220220005215</v>
      </c>
      <c r="B1856" s="50" t="s">
        <v>9</v>
      </c>
      <c r="C1856" s="57">
        <v>44614</v>
      </c>
      <c r="D1856" s="49">
        <v>22022002273</v>
      </c>
      <c r="E1856" s="50" t="s">
        <v>3030</v>
      </c>
      <c r="F1856" s="58">
        <v>334.5</v>
      </c>
      <c r="G1856" s="50" t="s">
        <v>1025</v>
      </c>
      <c r="H1856" s="50" t="s">
        <v>3254</v>
      </c>
      <c r="I1856" s="49" t="s">
        <v>107</v>
      </c>
      <c r="J1856" s="50" t="s">
        <v>109</v>
      </c>
      <c r="K1856" s="50" t="s">
        <v>109</v>
      </c>
      <c r="L1856" s="50" t="s">
        <v>15</v>
      </c>
      <c r="M1856" s="50" t="s">
        <v>10</v>
      </c>
      <c r="N1856" s="50" t="s">
        <v>11</v>
      </c>
      <c r="O1856" s="48" t="s">
        <v>632</v>
      </c>
      <c r="P1856" s="45" t="s">
        <v>453</v>
      </c>
      <c r="Q1856" s="35" t="str">
        <f>MID(Tabla1[[#This Row],[Aplicación]],14,1)</f>
        <v>2</v>
      </c>
      <c r="R1856" s="35" t="s">
        <v>441</v>
      </c>
      <c r="S1856" s="35" t="str">
        <f>MID(Tabla1[[#This Row],[Aplicación]],6,2)</f>
        <v>10</v>
      </c>
      <c r="T1856" s="35" t="str">
        <f>VLOOKUP(Tabla1[[#This Row],[AREA]],Hoja1!A:B,2,FALSE)</f>
        <v>10. Servicios sociales y mediación comunitaria</v>
      </c>
      <c r="U1856" s="35" t="str">
        <f>MID(Tabla1[[#This Row],[Aplicación]],9,4)</f>
        <v>2313</v>
      </c>
      <c r="V1856" s="35" t="str">
        <f>VLOOKUP(Tabla1[[#This Row],[PROGRAMA]],Hoja1!A:B,2,FALSE)</f>
        <v>2313. Dirección del área de servicios sociales</v>
      </c>
      <c r="W1856" s="35" t="str">
        <f>MID(Tabla1[[#This Row],[Aplicación]],14,2)</f>
        <v>22</v>
      </c>
      <c r="X1856" s="35" t="str">
        <f>MID(Tabla1[[#This Row],[Aplicación]],14,6)</f>
        <v>22699</v>
      </c>
    </row>
    <row r="1857" spans="1:24" x14ac:dyDescent="0.25">
      <c r="A1857" s="49">
        <v>220220000352</v>
      </c>
      <c r="B1857" s="50" t="s">
        <v>9</v>
      </c>
      <c r="C1857" s="57">
        <v>44585</v>
      </c>
      <c r="D1857" s="49">
        <v>22022001410</v>
      </c>
      <c r="E1857" s="50" t="s">
        <v>1629</v>
      </c>
      <c r="F1857" s="58">
        <v>333.96</v>
      </c>
      <c r="G1857" s="50" t="s">
        <v>3255</v>
      </c>
      <c r="H1857" s="50" t="s">
        <v>3256</v>
      </c>
      <c r="I1857" s="49" t="s">
        <v>107</v>
      </c>
      <c r="J1857" s="50" t="s">
        <v>109</v>
      </c>
      <c r="K1857" s="50" t="s">
        <v>109</v>
      </c>
      <c r="L1857" s="50" t="s">
        <v>12</v>
      </c>
      <c r="M1857" s="50" t="s">
        <v>10</v>
      </c>
      <c r="N1857" s="50" t="s">
        <v>11</v>
      </c>
      <c r="O1857" s="48" t="s">
        <v>632</v>
      </c>
      <c r="P1857" s="45" t="s">
        <v>453</v>
      </c>
      <c r="Q1857" s="35" t="str">
        <f>MID(Tabla1[[#This Row],[Aplicación]],14,1)</f>
        <v>2</v>
      </c>
      <c r="R1857" s="35" t="s">
        <v>441</v>
      </c>
      <c r="S1857" s="35" t="str">
        <f>MID(Tabla1[[#This Row],[Aplicación]],6,2)</f>
        <v>06</v>
      </c>
      <c r="T1857" s="35" t="str">
        <f>VLOOKUP(Tabla1[[#This Row],[AREA]],Hoja1!A:B,2,FALSE)</f>
        <v>06. Educación, infancia, juventud e igualdad</v>
      </c>
      <c r="U1857" s="35" t="str">
        <f>MID(Tabla1[[#This Row],[Aplicación]],9,4)</f>
        <v>2315</v>
      </c>
      <c r="V1857" s="35" t="str">
        <f>VLOOKUP(Tabla1[[#This Row],[PROGRAMA]],Hoja1!A:B,2,FALSE)</f>
        <v>2315. Políticas de Igualdad e infancia</v>
      </c>
      <c r="W1857" s="35" t="str">
        <f>MID(Tabla1[[#This Row],[Aplicación]],14,2)</f>
        <v>22</v>
      </c>
      <c r="X1857" s="35" t="str">
        <f>MID(Tabla1[[#This Row],[Aplicación]],14,6)</f>
        <v>22611</v>
      </c>
    </row>
    <row r="1858" spans="1:24" x14ac:dyDescent="0.25">
      <c r="A1858" s="49">
        <v>220220008283</v>
      </c>
      <c r="B1858" s="50" t="s">
        <v>9</v>
      </c>
      <c r="C1858" s="57">
        <v>44630</v>
      </c>
      <c r="D1858" s="49">
        <v>22022002696</v>
      </c>
      <c r="E1858" s="50" t="s">
        <v>1606</v>
      </c>
      <c r="F1858" s="58">
        <v>321.73</v>
      </c>
      <c r="G1858" s="50" t="s">
        <v>3257</v>
      </c>
      <c r="H1858" s="50" t="s">
        <v>3258</v>
      </c>
      <c r="I1858" s="49" t="s">
        <v>107</v>
      </c>
      <c r="J1858" s="50" t="s">
        <v>109</v>
      </c>
      <c r="K1858" s="50" t="s">
        <v>109</v>
      </c>
      <c r="L1858" s="50" t="s">
        <v>12</v>
      </c>
      <c r="M1858" s="50" t="s">
        <v>10</v>
      </c>
      <c r="N1858" s="50" t="s">
        <v>11</v>
      </c>
      <c r="O1858" s="48" t="s">
        <v>632</v>
      </c>
      <c r="P1858" s="45" t="s">
        <v>453</v>
      </c>
      <c r="Q1858" s="35" t="str">
        <f>MID(Tabla1[[#This Row],[Aplicación]],14,1)</f>
        <v>2</v>
      </c>
      <c r="R1858" s="35" t="s">
        <v>441</v>
      </c>
      <c r="S1858" s="35" t="str">
        <f>MID(Tabla1[[#This Row],[Aplicación]],6,2)</f>
        <v>11</v>
      </c>
      <c r="T1858" s="35" t="str">
        <f>VLOOKUP(Tabla1[[#This Row],[AREA]],Hoja1!A:B,2,FALSE)</f>
        <v>11. Salud pública y seguridad ciudadana</v>
      </c>
      <c r="U1858" s="35" t="str">
        <f>MID(Tabla1[[#This Row],[Aplicación]],9,4)</f>
        <v>1361</v>
      </c>
      <c r="V1858" s="35" t="str">
        <f>VLOOKUP(Tabla1[[#This Row],[PROGRAMA]],Hoja1!A:B,2,FALSE)</f>
        <v>1361. Prevención y extinción de incencios</v>
      </c>
      <c r="W1858" s="35" t="str">
        <f>MID(Tabla1[[#This Row],[Aplicación]],14,2)</f>
        <v>22</v>
      </c>
      <c r="X1858" s="35" t="str">
        <f>MID(Tabla1[[#This Row],[Aplicación]],14,6)</f>
        <v>22199</v>
      </c>
    </row>
    <row r="1859" spans="1:24" x14ac:dyDescent="0.25">
      <c r="A1859" s="49">
        <v>220220008635</v>
      </c>
      <c r="B1859" s="50" t="s">
        <v>9</v>
      </c>
      <c r="C1859" s="57">
        <v>44631</v>
      </c>
      <c r="D1859" s="49">
        <v>22022002742</v>
      </c>
      <c r="E1859" s="50" t="s">
        <v>2099</v>
      </c>
      <c r="F1859" s="58">
        <v>319.44</v>
      </c>
      <c r="G1859" s="50" t="s">
        <v>3259</v>
      </c>
      <c r="H1859" s="50" t="s">
        <v>3260</v>
      </c>
      <c r="I1859" s="49" t="s">
        <v>107</v>
      </c>
      <c r="J1859" s="50" t="s">
        <v>109</v>
      </c>
      <c r="K1859" s="50" t="s">
        <v>109</v>
      </c>
      <c r="L1859" s="50" t="s">
        <v>15</v>
      </c>
      <c r="M1859" s="50" t="s">
        <v>10</v>
      </c>
      <c r="N1859" s="50" t="s">
        <v>11</v>
      </c>
      <c r="O1859" s="48" t="s">
        <v>632</v>
      </c>
      <c r="P1859" s="45" t="s">
        <v>453</v>
      </c>
      <c r="Q1859" s="35" t="str">
        <f>MID(Tabla1[[#This Row],[Aplicación]],14,1)</f>
        <v>2</v>
      </c>
      <c r="R1859" s="35" t="s">
        <v>441</v>
      </c>
      <c r="S1859" s="35" t="str">
        <f>MID(Tabla1[[#This Row],[Aplicación]],6,2)</f>
        <v>11</v>
      </c>
      <c r="T1859" s="35" t="str">
        <f>VLOOKUP(Tabla1[[#This Row],[AREA]],Hoja1!A:B,2,FALSE)</f>
        <v>11. Salud pública y seguridad ciudadana</v>
      </c>
      <c r="U1859" s="35" t="str">
        <f>MID(Tabla1[[#This Row],[Aplicación]],9,4)</f>
        <v>1621</v>
      </c>
      <c r="V1859" s="35" t="str">
        <f>VLOOKUP(Tabla1[[#This Row],[PROGRAMA]],Hoja1!A:B,2,FALSE)</f>
        <v>1621. Servicio de limpieza</v>
      </c>
      <c r="W1859" s="35" t="str">
        <f>MID(Tabla1[[#This Row],[Aplicación]],14,2)</f>
        <v>22</v>
      </c>
      <c r="X1859" s="35" t="str">
        <f>MID(Tabla1[[#This Row],[Aplicación]],14,6)</f>
        <v>22104</v>
      </c>
    </row>
    <row r="1860" spans="1:24" x14ac:dyDescent="0.25">
      <c r="A1860" s="49">
        <v>220220005811</v>
      </c>
      <c r="B1860" s="50" t="s">
        <v>9</v>
      </c>
      <c r="C1860" s="57">
        <v>44615</v>
      </c>
      <c r="D1860" s="49">
        <v>22022002414</v>
      </c>
      <c r="E1860" s="50" t="s">
        <v>1742</v>
      </c>
      <c r="F1860" s="58">
        <v>314.77</v>
      </c>
      <c r="G1860" s="50" t="s">
        <v>139</v>
      </c>
      <c r="H1860" s="50" t="s">
        <v>3261</v>
      </c>
      <c r="I1860" s="49" t="s">
        <v>107</v>
      </c>
      <c r="J1860" s="50" t="s">
        <v>109</v>
      </c>
      <c r="K1860" s="50" t="s">
        <v>108</v>
      </c>
      <c r="L1860" s="50" t="s">
        <v>15</v>
      </c>
      <c r="M1860" s="50" t="s">
        <v>10</v>
      </c>
      <c r="N1860" s="50" t="s">
        <v>11</v>
      </c>
      <c r="O1860" s="48" t="s">
        <v>632</v>
      </c>
      <c r="P1860" s="45" t="s">
        <v>453</v>
      </c>
      <c r="Q1860" s="35" t="str">
        <f>MID(Tabla1[[#This Row],[Aplicación]],14,1)</f>
        <v>2</v>
      </c>
      <c r="R1860" s="35" t="s">
        <v>441</v>
      </c>
      <c r="S1860" s="35" t="str">
        <f>MID(Tabla1[[#This Row],[Aplicación]],6,2)</f>
        <v>03</v>
      </c>
      <c r="T1860" s="35" t="str">
        <f>VLOOKUP(Tabla1[[#This Row],[AREA]],Hoja1!A:B,2,FALSE)</f>
        <v>03. Participación ciudadana y deportes</v>
      </c>
      <c r="U1860" s="35" t="str">
        <f>MID(Tabla1[[#This Row],[Aplicación]],9,4)</f>
        <v>9241</v>
      </c>
      <c r="V1860" s="35" t="str">
        <f>VLOOKUP(Tabla1[[#This Row],[PROGRAMA]],Hoja1!A:B,2,FALSE)</f>
        <v>9241. Participación ciudadana</v>
      </c>
      <c r="W1860" s="35" t="str">
        <f>MID(Tabla1[[#This Row],[Aplicación]],14,2)</f>
        <v>21</v>
      </c>
      <c r="X1860" s="35" t="str">
        <f>MID(Tabla1[[#This Row],[Aplicación]],14,6)</f>
        <v>213</v>
      </c>
    </row>
    <row r="1861" spans="1:24" x14ac:dyDescent="0.25">
      <c r="A1861" s="49">
        <v>220219000538</v>
      </c>
      <c r="B1861" s="50" t="s">
        <v>9</v>
      </c>
      <c r="C1861" s="57">
        <v>44562</v>
      </c>
      <c r="D1861" s="49">
        <v>22022001999</v>
      </c>
      <c r="E1861" s="50" t="s">
        <v>1676</v>
      </c>
      <c r="F1861" s="58">
        <v>4742.75</v>
      </c>
      <c r="G1861" s="50" t="s">
        <v>1147</v>
      </c>
      <c r="H1861" s="50" t="s">
        <v>1148</v>
      </c>
      <c r="I1861" s="49" t="s">
        <v>107</v>
      </c>
      <c r="J1861" s="50" t="s">
        <v>1149</v>
      </c>
      <c r="K1861" s="50" t="s">
        <v>1149</v>
      </c>
      <c r="L1861" s="50" t="s">
        <v>15</v>
      </c>
      <c r="M1861" s="50" t="s">
        <v>13</v>
      </c>
      <c r="N1861" s="50" t="s">
        <v>16</v>
      </c>
      <c r="O1861" s="48" t="s">
        <v>620</v>
      </c>
      <c r="P1861" s="45" t="s">
        <v>453</v>
      </c>
      <c r="Q1861" s="35" t="str">
        <f>MID(Tabla1[[#This Row],[Aplicación]],14,1)</f>
        <v>6</v>
      </c>
      <c r="R1861" s="35" t="s">
        <v>442</v>
      </c>
      <c r="S1861" s="35" t="str">
        <f>MID(Tabla1[[#This Row],[Aplicación]],6,2)</f>
        <v>04</v>
      </c>
      <c r="T1861" s="35" t="str">
        <f>VLOOKUP(Tabla1[[#This Row],[AREA]],Hoja1!A:B,2,FALSE)</f>
        <v>04. Planificación y recursos</v>
      </c>
      <c r="U1861" s="35" t="str">
        <f>MID(Tabla1[[#This Row],[Aplicación]],9,4)</f>
        <v>9204</v>
      </c>
      <c r="V1861" s="35" t="str">
        <f>VLOOKUP(Tabla1[[#This Row],[PROGRAMA]],Hoja1!A:B,2,FALSE)</f>
        <v>9204. Tecnologías de la información y comunicación</v>
      </c>
      <c r="W1861" s="35" t="str">
        <f>MID(Tabla1[[#This Row],[Aplicación]],14,2)</f>
        <v>64</v>
      </c>
      <c r="X1861" s="35" t="str">
        <f>MID(Tabla1[[#This Row],[Aplicación]],14,6)</f>
        <v>641</v>
      </c>
    </row>
    <row r="1862" spans="1:24" x14ac:dyDescent="0.25">
      <c r="A1862" s="49">
        <v>220220013427</v>
      </c>
      <c r="B1862" s="50" t="s">
        <v>9</v>
      </c>
      <c r="C1862" s="57">
        <v>44651</v>
      </c>
      <c r="D1862" s="49">
        <v>22022003059</v>
      </c>
      <c r="E1862" s="50" t="s">
        <v>2084</v>
      </c>
      <c r="F1862" s="58">
        <v>143.19999999999999</v>
      </c>
      <c r="G1862" s="50" t="s">
        <v>795</v>
      </c>
      <c r="H1862" s="50" t="s">
        <v>3262</v>
      </c>
      <c r="I1862" s="49" t="s">
        <v>107</v>
      </c>
      <c r="J1862" s="50" t="s">
        <v>109</v>
      </c>
      <c r="K1862" s="50" t="s">
        <v>109</v>
      </c>
      <c r="L1862" s="50" t="s">
        <v>15</v>
      </c>
      <c r="M1862" s="50" t="s">
        <v>10</v>
      </c>
      <c r="N1862" s="50" t="s">
        <v>11</v>
      </c>
      <c r="O1862" s="48" t="s">
        <v>632</v>
      </c>
      <c r="P1862" s="45" t="s">
        <v>453</v>
      </c>
      <c r="Q1862" s="35" t="str">
        <f>MID(Tabla1[[#This Row],[Aplicación]],14,1)</f>
        <v>2</v>
      </c>
      <c r="R1862" s="35" t="s">
        <v>441</v>
      </c>
      <c r="S1862" s="35" t="str">
        <f>MID(Tabla1[[#This Row],[Aplicación]],6,2)</f>
        <v>10</v>
      </c>
      <c r="T1862" s="35" t="str">
        <f>VLOOKUP(Tabla1[[#This Row],[AREA]],Hoja1!A:B,2,FALSE)</f>
        <v>10. Servicios sociales y mediación comunitaria</v>
      </c>
      <c r="U1862" s="35" t="str">
        <f>MID(Tabla1[[#This Row],[Aplicación]],9,4)</f>
        <v>2312</v>
      </c>
      <c r="V1862" s="35" t="str">
        <f>VLOOKUP(Tabla1[[#This Row],[PROGRAMA]],Hoja1!A:B,2,FALSE)</f>
        <v>2312. Iniciativas sociales</v>
      </c>
      <c r="W1862" s="35" t="str">
        <f>MID(Tabla1[[#This Row],[Aplicación]],14,2)</f>
        <v>22</v>
      </c>
      <c r="X1862" s="35" t="str">
        <f>MID(Tabla1[[#This Row],[Aplicación]],14,6)</f>
        <v>22199</v>
      </c>
    </row>
    <row r="1863" spans="1:24" x14ac:dyDescent="0.25">
      <c r="A1863" s="49">
        <v>220220009358</v>
      </c>
      <c r="B1863" s="50" t="s">
        <v>9</v>
      </c>
      <c r="C1863" s="57">
        <v>44636</v>
      </c>
      <c r="D1863" s="49">
        <v>22022002791</v>
      </c>
      <c r="E1863" s="50" t="s">
        <v>3263</v>
      </c>
      <c r="F1863" s="58">
        <v>314.54000000000002</v>
      </c>
      <c r="G1863" s="50" t="s">
        <v>3213</v>
      </c>
      <c r="H1863" s="50" t="s">
        <v>3264</v>
      </c>
      <c r="I1863" s="49" t="s">
        <v>107</v>
      </c>
      <c r="J1863" s="50" t="s">
        <v>109</v>
      </c>
      <c r="K1863" s="50" t="s">
        <v>109</v>
      </c>
      <c r="L1863" s="50" t="s">
        <v>15</v>
      </c>
      <c r="M1863" s="50" t="s">
        <v>10</v>
      </c>
      <c r="N1863" s="50" t="s">
        <v>11</v>
      </c>
      <c r="O1863" s="48" t="s">
        <v>632</v>
      </c>
      <c r="P1863" s="45" t="s">
        <v>453</v>
      </c>
      <c r="Q1863" s="35" t="str">
        <f>MID(Tabla1[[#This Row],[Aplicación]],14,1)</f>
        <v>6</v>
      </c>
      <c r="R1863" s="35" t="s">
        <v>442</v>
      </c>
      <c r="S1863" s="35" t="str">
        <f>MID(Tabla1[[#This Row],[Aplicación]],6,2)</f>
        <v>06</v>
      </c>
      <c r="T1863" s="35" t="str">
        <f>VLOOKUP(Tabla1[[#This Row],[AREA]],Hoja1!A:B,2,FALSE)</f>
        <v>06. Educación, infancia, juventud e igualdad</v>
      </c>
      <c r="U1863" s="35" t="str">
        <f>MID(Tabla1[[#This Row],[Aplicación]],9,4)</f>
        <v>3231</v>
      </c>
      <c r="V1863" s="35" t="str">
        <f>VLOOKUP(Tabla1[[#This Row],[PROGRAMA]],Hoja1!A:B,2,FALSE)</f>
        <v>3231. Escuelas infantiles</v>
      </c>
      <c r="W1863" s="35" t="str">
        <f>MID(Tabla1[[#This Row],[Aplicación]],14,2)</f>
        <v>63</v>
      </c>
      <c r="X1863" s="35" t="str">
        <f>MID(Tabla1[[#This Row],[Aplicación]],14,6)</f>
        <v>633</v>
      </c>
    </row>
    <row r="1864" spans="1:24" x14ac:dyDescent="0.25">
      <c r="A1864" s="49">
        <v>220220005776</v>
      </c>
      <c r="B1864" s="50" t="s">
        <v>9</v>
      </c>
      <c r="C1864" s="57">
        <v>44615</v>
      </c>
      <c r="D1864" s="49">
        <v>22022002330</v>
      </c>
      <c r="E1864" s="50" t="s">
        <v>1571</v>
      </c>
      <c r="F1864" s="58">
        <v>312.85000000000002</v>
      </c>
      <c r="G1864" s="50" t="s">
        <v>44</v>
      </c>
      <c r="H1864" s="50" t="s">
        <v>3265</v>
      </c>
      <c r="I1864" s="49" t="s">
        <v>107</v>
      </c>
      <c r="J1864" s="50" t="s">
        <v>109</v>
      </c>
      <c r="K1864" s="50" t="s">
        <v>109</v>
      </c>
      <c r="L1864" s="50" t="s">
        <v>12</v>
      </c>
      <c r="M1864" s="50" t="s">
        <v>10</v>
      </c>
      <c r="N1864" s="50" t="s">
        <v>11</v>
      </c>
      <c r="O1864" s="48" t="s">
        <v>632</v>
      </c>
      <c r="P1864" s="45" t="s">
        <v>453</v>
      </c>
      <c r="Q1864" s="35" t="str">
        <f>MID(Tabla1[[#This Row],[Aplicación]],14,1)</f>
        <v>2</v>
      </c>
      <c r="R1864" s="35" t="s">
        <v>441</v>
      </c>
      <c r="S1864" s="35" t="str">
        <f>MID(Tabla1[[#This Row],[Aplicación]],6,2)</f>
        <v>11</v>
      </c>
      <c r="T1864" s="35" t="str">
        <f>VLOOKUP(Tabla1[[#This Row],[AREA]],Hoja1!A:B,2,FALSE)</f>
        <v>11. Salud pública y seguridad ciudadana</v>
      </c>
      <c r="U1864" s="35" t="str">
        <f>MID(Tabla1[[#This Row],[Aplicación]],9,4)</f>
        <v>3111</v>
      </c>
      <c r="V1864" s="35" t="str">
        <f>VLOOKUP(Tabla1[[#This Row],[PROGRAMA]],Hoja1!A:B,2,FALSE)</f>
        <v>3111. Protección de la salubridad pública</v>
      </c>
      <c r="W1864" s="35" t="str">
        <f>MID(Tabla1[[#This Row],[Aplicación]],14,2)</f>
        <v>21</v>
      </c>
      <c r="X1864" s="35" t="str">
        <f>MID(Tabla1[[#This Row],[Aplicación]],14,6)</f>
        <v>213</v>
      </c>
    </row>
    <row r="1865" spans="1:24" x14ac:dyDescent="0.25">
      <c r="A1865" s="49">
        <v>220220012368</v>
      </c>
      <c r="B1865" s="50" t="s">
        <v>9</v>
      </c>
      <c r="C1865" s="57">
        <v>44643</v>
      </c>
      <c r="D1865" s="49">
        <v>22022002732</v>
      </c>
      <c r="E1865" s="50" t="s">
        <v>1579</v>
      </c>
      <c r="F1865" s="58">
        <v>306.69</v>
      </c>
      <c r="G1865" s="50" t="s">
        <v>211</v>
      </c>
      <c r="H1865" s="50" t="s">
        <v>3266</v>
      </c>
      <c r="I1865" s="49" t="s">
        <v>107</v>
      </c>
      <c r="J1865" s="50" t="s">
        <v>109</v>
      </c>
      <c r="K1865" s="50" t="s">
        <v>109</v>
      </c>
      <c r="L1865" s="50" t="s">
        <v>15</v>
      </c>
      <c r="M1865" s="50" t="s">
        <v>10</v>
      </c>
      <c r="N1865" s="50" t="s">
        <v>11</v>
      </c>
      <c r="O1865" s="48" t="s">
        <v>632</v>
      </c>
      <c r="P1865" s="45" t="s">
        <v>453</v>
      </c>
      <c r="Q1865" s="35" t="str">
        <f>MID(Tabla1[[#This Row],[Aplicación]],14,1)</f>
        <v>2</v>
      </c>
      <c r="R1865" s="35" t="s">
        <v>441</v>
      </c>
      <c r="S1865" s="35" t="str">
        <f>MID(Tabla1[[#This Row],[Aplicación]],6,2)</f>
        <v>10</v>
      </c>
      <c r="T1865" s="35" t="str">
        <f>VLOOKUP(Tabla1[[#This Row],[AREA]],Hoja1!A:B,2,FALSE)</f>
        <v>10. Servicios sociales y mediación comunitaria</v>
      </c>
      <c r="U1865" s="35" t="str">
        <f>MID(Tabla1[[#This Row],[Aplicación]],9,4)</f>
        <v>2412</v>
      </c>
      <c r="V1865" s="35" t="str">
        <f>VLOOKUP(Tabla1[[#This Row],[PROGRAMA]],Hoja1!A:B,2,FALSE)</f>
        <v>2412. Formación para el empleo</v>
      </c>
      <c r="W1865" s="35" t="str">
        <f>MID(Tabla1[[#This Row],[Aplicación]],14,2)</f>
        <v>22</v>
      </c>
      <c r="X1865" s="35" t="str">
        <f>MID(Tabla1[[#This Row],[Aplicación]],14,6)</f>
        <v>22199</v>
      </c>
    </row>
    <row r="1866" spans="1:24" x14ac:dyDescent="0.25">
      <c r="A1866" s="49">
        <v>220220012886</v>
      </c>
      <c r="B1866" s="50" t="s">
        <v>9</v>
      </c>
      <c r="C1866" s="57">
        <v>44645</v>
      </c>
      <c r="D1866" s="49">
        <v>22022003039</v>
      </c>
      <c r="E1866" s="50" t="s">
        <v>1496</v>
      </c>
      <c r="F1866" s="58">
        <v>306.5</v>
      </c>
      <c r="G1866" s="50" t="s">
        <v>3267</v>
      </c>
      <c r="H1866" s="50" t="s">
        <v>3268</v>
      </c>
      <c r="I1866" s="49" t="s">
        <v>107</v>
      </c>
      <c r="J1866" s="50" t="s">
        <v>544</v>
      </c>
      <c r="K1866" s="55" t="s">
        <v>109</v>
      </c>
      <c r="L1866" s="50" t="s">
        <v>12</v>
      </c>
      <c r="M1866" s="50" t="s">
        <v>10</v>
      </c>
      <c r="N1866" s="50" t="s">
        <v>11</v>
      </c>
      <c r="O1866" s="48" t="s">
        <v>632</v>
      </c>
      <c r="P1866" s="45" t="s">
        <v>453</v>
      </c>
      <c r="Q1866" s="35" t="str">
        <f>MID(Tabla1[[#This Row],[Aplicación]],14,1)</f>
        <v>2</v>
      </c>
      <c r="R1866" s="35" t="s">
        <v>441</v>
      </c>
      <c r="S1866" s="35" t="str">
        <f>MID(Tabla1[[#This Row],[Aplicación]],6,2)</f>
        <v>10</v>
      </c>
      <c r="T1866" s="35" t="str">
        <f>VLOOKUP(Tabla1[[#This Row],[AREA]],Hoja1!A:B,2,FALSE)</f>
        <v>10. Servicios sociales y mediación comunitaria</v>
      </c>
      <c r="U1866" s="35" t="str">
        <f>MID(Tabla1[[#This Row],[Aplicación]],9,4)</f>
        <v>2311</v>
      </c>
      <c r="V1866" s="35" t="str">
        <f>VLOOKUP(Tabla1[[#This Row],[PROGRAMA]],Hoja1!A:B,2,FALSE)</f>
        <v>2311. Intervención social</v>
      </c>
      <c r="W1866" s="35" t="str">
        <f>MID(Tabla1[[#This Row],[Aplicación]],14,2)</f>
        <v>21</v>
      </c>
      <c r="X1866" s="35" t="str">
        <f>MID(Tabla1[[#This Row],[Aplicación]],14,6)</f>
        <v>213</v>
      </c>
    </row>
    <row r="1867" spans="1:24" x14ac:dyDescent="0.25">
      <c r="A1867" s="49">
        <v>220220013427</v>
      </c>
      <c r="B1867" s="50" t="s">
        <v>9</v>
      </c>
      <c r="C1867" s="57">
        <v>44651</v>
      </c>
      <c r="D1867" s="49">
        <v>22022003058</v>
      </c>
      <c r="E1867" s="50" t="s">
        <v>2084</v>
      </c>
      <c r="F1867" s="58">
        <v>108.9</v>
      </c>
      <c r="G1867" s="50" t="s">
        <v>795</v>
      </c>
      <c r="H1867" s="50" t="s">
        <v>3262</v>
      </c>
      <c r="I1867" s="49" t="s">
        <v>107</v>
      </c>
      <c r="J1867" s="50" t="s">
        <v>109</v>
      </c>
      <c r="K1867" s="50" t="s">
        <v>109</v>
      </c>
      <c r="L1867" s="50" t="s">
        <v>15</v>
      </c>
      <c r="M1867" s="50" t="s">
        <v>10</v>
      </c>
      <c r="N1867" s="50" t="s">
        <v>11</v>
      </c>
      <c r="O1867" s="48" t="s">
        <v>632</v>
      </c>
      <c r="P1867" s="45" t="s">
        <v>453</v>
      </c>
      <c r="Q1867" s="35" t="str">
        <f>MID(Tabla1[[#This Row],[Aplicación]],14,1)</f>
        <v>2</v>
      </c>
      <c r="R1867" s="35" t="s">
        <v>441</v>
      </c>
      <c r="S1867" s="35" t="str">
        <f>MID(Tabla1[[#This Row],[Aplicación]],6,2)</f>
        <v>10</v>
      </c>
      <c r="T1867" s="35" t="str">
        <f>VLOOKUP(Tabla1[[#This Row],[AREA]],Hoja1!A:B,2,FALSE)</f>
        <v>10. Servicios sociales y mediación comunitaria</v>
      </c>
      <c r="U1867" s="35" t="str">
        <f>MID(Tabla1[[#This Row],[Aplicación]],9,4)</f>
        <v>2312</v>
      </c>
      <c r="V1867" s="35" t="str">
        <f>VLOOKUP(Tabla1[[#This Row],[PROGRAMA]],Hoja1!A:B,2,FALSE)</f>
        <v>2312. Iniciativas sociales</v>
      </c>
      <c r="W1867" s="35" t="str">
        <f>MID(Tabla1[[#This Row],[Aplicación]],14,2)</f>
        <v>22</v>
      </c>
      <c r="X1867" s="35" t="str">
        <f>MID(Tabla1[[#This Row],[Aplicación]],14,6)</f>
        <v>22199</v>
      </c>
    </row>
    <row r="1868" spans="1:24" x14ac:dyDescent="0.25">
      <c r="A1868" s="49">
        <v>220209000690</v>
      </c>
      <c r="B1868" s="50" t="s">
        <v>9</v>
      </c>
      <c r="C1868" s="57">
        <v>44562</v>
      </c>
      <c r="D1868" s="49">
        <v>22022000244</v>
      </c>
      <c r="E1868" s="50" t="s">
        <v>1632</v>
      </c>
      <c r="F1868" s="58">
        <v>52213.98</v>
      </c>
      <c r="G1868" s="50" t="s">
        <v>149</v>
      </c>
      <c r="H1868" s="50" t="s">
        <v>816</v>
      </c>
      <c r="I1868" s="49" t="s">
        <v>107</v>
      </c>
      <c r="J1868" s="50" t="s">
        <v>527</v>
      </c>
      <c r="K1868" s="50" t="s">
        <v>150</v>
      </c>
      <c r="L1868" s="50" t="s">
        <v>12</v>
      </c>
      <c r="M1868" s="50" t="s">
        <v>13</v>
      </c>
      <c r="N1868" s="50" t="s">
        <v>14</v>
      </c>
      <c r="O1868" s="48" t="s">
        <v>620</v>
      </c>
      <c r="P1868" s="45" t="s">
        <v>453</v>
      </c>
      <c r="Q1868" s="35" t="str">
        <f>MID(Tabla1[[#This Row],[Aplicación]],14,1)</f>
        <v>2</v>
      </c>
      <c r="R1868" s="35" t="s">
        <v>441</v>
      </c>
      <c r="S1868" s="35" t="str">
        <f>MID(Tabla1[[#This Row],[Aplicación]],6,2)</f>
        <v>02</v>
      </c>
      <c r="T1868" s="35" t="str">
        <f>VLOOKUP(Tabla1[[#This Row],[AREA]],Hoja1!A:B,2,FALSE)</f>
        <v>02. Planeamiento urbanístico y vivienda</v>
      </c>
      <c r="U1868" s="35" t="str">
        <f>MID(Tabla1[[#This Row],[Aplicación]],9,4)</f>
        <v>9332</v>
      </c>
      <c r="V1868" s="35" t="str">
        <f>VLOOKUP(Tabla1[[#This Row],[PROGRAMA]],Hoja1!A:B,2,FALSE)</f>
        <v>9332. Mantenimiento de edificios e instalaciones municipales</v>
      </c>
      <c r="W1868" s="35" t="str">
        <f>MID(Tabla1[[#This Row],[Aplicación]],14,2)</f>
        <v>22</v>
      </c>
      <c r="X1868" s="35" t="str">
        <f>MID(Tabla1[[#This Row],[Aplicación]],14,6)</f>
        <v>22700</v>
      </c>
    </row>
    <row r="1869" spans="1:24" x14ac:dyDescent="0.25">
      <c r="A1869" s="49">
        <v>220220008965</v>
      </c>
      <c r="B1869" s="50" t="s">
        <v>9</v>
      </c>
      <c r="C1869" s="57">
        <v>44635</v>
      </c>
      <c r="D1869" s="49">
        <v>22022002595</v>
      </c>
      <c r="E1869" s="50" t="s">
        <v>2063</v>
      </c>
      <c r="F1869" s="58">
        <v>304</v>
      </c>
      <c r="G1869" s="50" t="s">
        <v>832</v>
      </c>
      <c r="H1869" s="50" t="s">
        <v>3269</v>
      </c>
      <c r="I1869" s="49" t="s">
        <v>107</v>
      </c>
      <c r="J1869" s="50" t="s">
        <v>108</v>
      </c>
      <c r="K1869" s="50" t="s">
        <v>108</v>
      </c>
      <c r="L1869" s="50" t="s">
        <v>15</v>
      </c>
      <c r="M1869" s="50" t="s">
        <v>10</v>
      </c>
      <c r="N1869" s="50" t="s">
        <v>11</v>
      </c>
      <c r="O1869" s="48" t="s">
        <v>632</v>
      </c>
      <c r="P1869" s="45" t="s">
        <v>453</v>
      </c>
      <c r="Q1869" s="35" t="str">
        <f>MID(Tabla1[[#This Row],[Aplicación]],14,1)</f>
        <v>2</v>
      </c>
      <c r="R1869" s="35" t="s">
        <v>441</v>
      </c>
      <c r="S1869" s="35" t="str">
        <f>MID(Tabla1[[#This Row],[Aplicación]],6,2)</f>
        <v>01</v>
      </c>
      <c r="T1869" s="35" t="str">
        <f>VLOOKUP(Tabla1[[#This Row],[AREA]],Hoja1!A:B,2,FALSE)</f>
        <v>01. Alcaldía</v>
      </c>
      <c r="U1869" s="35" t="str">
        <f>MID(Tabla1[[#This Row],[Aplicación]],9,4)</f>
        <v>9206</v>
      </c>
      <c r="V1869" s="35" t="str">
        <f>VLOOKUP(Tabla1[[#This Row],[PROGRAMA]],Hoja1!A:B,2,FALSE)</f>
        <v>9206. Archivo municipal</v>
      </c>
      <c r="W1869" s="35" t="str">
        <f>MID(Tabla1[[#This Row],[Aplicación]],14,2)</f>
        <v>22</v>
      </c>
      <c r="X1869" s="35" t="str">
        <f>MID(Tabla1[[#This Row],[Aplicación]],14,6)</f>
        <v>22001</v>
      </c>
    </row>
    <row r="1870" spans="1:24" x14ac:dyDescent="0.25">
      <c r="A1870" s="49">
        <v>220220005203</v>
      </c>
      <c r="B1870" s="50" t="s">
        <v>9</v>
      </c>
      <c r="C1870" s="57">
        <v>44614</v>
      </c>
      <c r="D1870" s="49">
        <v>22022002181</v>
      </c>
      <c r="E1870" s="50" t="s">
        <v>2063</v>
      </c>
      <c r="F1870" s="58">
        <v>300.56</v>
      </c>
      <c r="G1870" s="50" t="s">
        <v>814</v>
      </c>
      <c r="H1870" s="50" t="s">
        <v>3270</v>
      </c>
      <c r="I1870" s="49" t="s">
        <v>107</v>
      </c>
      <c r="J1870" s="50" t="s">
        <v>108</v>
      </c>
      <c r="K1870" s="50" t="s">
        <v>108</v>
      </c>
      <c r="L1870" s="50" t="s">
        <v>15</v>
      </c>
      <c r="M1870" s="50" t="s">
        <v>10</v>
      </c>
      <c r="N1870" s="50" t="s">
        <v>11</v>
      </c>
      <c r="O1870" s="48" t="s">
        <v>632</v>
      </c>
      <c r="P1870" s="45" t="s">
        <v>453</v>
      </c>
      <c r="Q1870" s="35" t="str">
        <f>MID(Tabla1[[#This Row],[Aplicación]],14,1)</f>
        <v>2</v>
      </c>
      <c r="R1870" s="35" t="s">
        <v>441</v>
      </c>
      <c r="S1870" s="35" t="str">
        <f>MID(Tabla1[[#This Row],[Aplicación]],6,2)</f>
        <v>01</v>
      </c>
      <c r="T1870" s="35" t="str">
        <f>VLOOKUP(Tabla1[[#This Row],[AREA]],Hoja1!A:B,2,FALSE)</f>
        <v>01. Alcaldía</v>
      </c>
      <c r="U1870" s="35" t="str">
        <f>MID(Tabla1[[#This Row],[Aplicación]],9,4)</f>
        <v>9206</v>
      </c>
      <c r="V1870" s="35" t="str">
        <f>VLOOKUP(Tabla1[[#This Row],[PROGRAMA]],Hoja1!A:B,2,FALSE)</f>
        <v>9206. Archivo municipal</v>
      </c>
      <c r="W1870" s="35" t="str">
        <f>MID(Tabla1[[#This Row],[Aplicación]],14,2)</f>
        <v>22</v>
      </c>
      <c r="X1870" s="35" t="str">
        <f>MID(Tabla1[[#This Row],[Aplicación]],14,6)</f>
        <v>22001</v>
      </c>
    </row>
    <row r="1871" spans="1:24" x14ac:dyDescent="0.25">
      <c r="A1871" s="49">
        <v>220220002260</v>
      </c>
      <c r="B1871" s="50" t="s">
        <v>9</v>
      </c>
      <c r="C1871" s="57">
        <v>44592</v>
      </c>
      <c r="D1871" s="49">
        <v>22022001699</v>
      </c>
      <c r="E1871" s="50" t="s">
        <v>3083</v>
      </c>
      <c r="F1871" s="58">
        <v>300</v>
      </c>
      <c r="G1871" s="50" t="s">
        <v>224</v>
      </c>
      <c r="H1871" s="50" t="s">
        <v>3084</v>
      </c>
      <c r="I1871" s="49" t="s">
        <v>107</v>
      </c>
      <c r="J1871" s="50" t="s">
        <v>109</v>
      </c>
      <c r="K1871" s="50" t="s">
        <v>109</v>
      </c>
      <c r="L1871" s="50" t="s">
        <v>15</v>
      </c>
      <c r="M1871" s="50" t="s">
        <v>10</v>
      </c>
      <c r="N1871" s="50" t="s">
        <v>11</v>
      </c>
      <c r="O1871" s="48" t="s">
        <v>632</v>
      </c>
      <c r="P1871" s="45" t="s">
        <v>453</v>
      </c>
      <c r="Q1871" s="35" t="str">
        <f>MID(Tabla1[[#This Row],[Aplicación]],14,1)</f>
        <v>2</v>
      </c>
      <c r="R1871" s="35" t="s">
        <v>441</v>
      </c>
      <c r="S1871" s="35" t="str">
        <f>MID(Tabla1[[#This Row],[Aplicación]],6,2)</f>
        <v>10</v>
      </c>
      <c r="T1871" s="35" t="str">
        <f>VLOOKUP(Tabla1[[#This Row],[AREA]],Hoja1!A:B,2,FALSE)</f>
        <v>10. Servicios sociales y mediación comunitaria</v>
      </c>
      <c r="U1871" s="35" t="str">
        <f>MID(Tabla1[[#This Row],[Aplicación]],9,4)</f>
        <v>2412</v>
      </c>
      <c r="V1871" s="35" t="str">
        <f>VLOOKUP(Tabla1[[#This Row],[PROGRAMA]],Hoja1!A:B,2,FALSE)</f>
        <v>2412. Formación para el empleo</v>
      </c>
      <c r="W1871" s="35" t="str">
        <f>MID(Tabla1[[#This Row],[Aplicación]],14,2)</f>
        <v>22</v>
      </c>
      <c r="X1871" s="35" t="str">
        <f>MID(Tabla1[[#This Row],[Aplicación]],14,6)</f>
        <v>22110</v>
      </c>
    </row>
    <row r="1872" spans="1:24" x14ac:dyDescent="0.25">
      <c r="A1872" s="49">
        <v>220220000427</v>
      </c>
      <c r="B1872" s="50" t="s">
        <v>9</v>
      </c>
      <c r="C1872" s="57">
        <v>44586</v>
      </c>
      <c r="D1872" s="49">
        <v>22022001619</v>
      </c>
      <c r="E1872" s="50" t="s">
        <v>2220</v>
      </c>
      <c r="F1872" s="58">
        <v>3000</v>
      </c>
      <c r="G1872" s="50" t="s">
        <v>30</v>
      </c>
      <c r="H1872" s="50" t="s">
        <v>3271</v>
      </c>
      <c r="I1872" s="49" t="s">
        <v>107</v>
      </c>
      <c r="J1872" s="50" t="s">
        <v>108</v>
      </c>
      <c r="K1872" s="50" t="s">
        <v>108</v>
      </c>
      <c r="L1872" s="50" t="s">
        <v>15</v>
      </c>
      <c r="M1872" s="50" t="s">
        <v>10</v>
      </c>
      <c r="N1872" s="50" t="s">
        <v>11</v>
      </c>
      <c r="O1872" s="48" t="s">
        <v>632</v>
      </c>
      <c r="P1872" s="45" t="s">
        <v>453</v>
      </c>
      <c r="Q1872" s="35" t="str">
        <f>MID(Tabla1[[#This Row],[Aplicación]],14,1)</f>
        <v>2</v>
      </c>
      <c r="R1872" s="35" t="s">
        <v>441</v>
      </c>
      <c r="S1872" s="35" t="str">
        <f>MID(Tabla1[[#This Row],[Aplicación]],6,2)</f>
        <v>08</v>
      </c>
      <c r="T1872" s="35" t="str">
        <f>VLOOKUP(Tabla1[[#This Row],[AREA]],Hoja1!A:B,2,FALSE)</f>
        <v>08. Movilidad y espacio urbano</v>
      </c>
      <c r="U1872" s="35" t="str">
        <f>MID(Tabla1[[#This Row],[Aplicación]],9,4)</f>
        <v>1532</v>
      </c>
      <c r="V1872" s="35" t="str">
        <f>VLOOKUP(Tabla1[[#This Row],[PROGRAMA]],Hoja1!A:B,2,FALSE)</f>
        <v>1532. Pavimentación vias públicas y otros servicios urbanísticos</v>
      </c>
      <c r="W1872" s="35" t="str">
        <f>MID(Tabla1[[#This Row],[Aplicación]],14,2)</f>
        <v>22</v>
      </c>
      <c r="X1872" s="35" t="str">
        <f>MID(Tabla1[[#This Row],[Aplicación]],14,6)</f>
        <v>22103</v>
      </c>
    </row>
    <row r="1873" spans="1:24" x14ac:dyDescent="0.25">
      <c r="A1873" s="49">
        <v>220220002775</v>
      </c>
      <c r="B1873" s="50" t="s">
        <v>9</v>
      </c>
      <c r="C1873" s="57">
        <v>44600</v>
      </c>
      <c r="D1873" s="49">
        <v>22022001917</v>
      </c>
      <c r="E1873" s="50" t="s">
        <v>1943</v>
      </c>
      <c r="F1873" s="58">
        <v>275.27999999999997</v>
      </c>
      <c r="G1873" s="50" t="s">
        <v>1242</v>
      </c>
      <c r="H1873" s="50" t="s">
        <v>3272</v>
      </c>
      <c r="I1873" s="49" t="s">
        <v>107</v>
      </c>
      <c r="J1873" s="50" t="s">
        <v>109</v>
      </c>
      <c r="K1873" s="50" t="s">
        <v>109</v>
      </c>
      <c r="L1873" s="50" t="s">
        <v>15</v>
      </c>
      <c r="M1873" s="50" t="s">
        <v>10</v>
      </c>
      <c r="N1873" s="50" t="s">
        <v>11</v>
      </c>
      <c r="O1873" s="48" t="s">
        <v>632</v>
      </c>
      <c r="P1873" s="45" t="s">
        <v>453</v>
      </c>
      <c r="Q1873" s="35" t="str">
        <f>MID(Tabla1[[#This Row],[Aplicación]],14,1)</f>
        <v>2</v>
      </c>
      <c r="R1873" s="35" t="s">
        <v>441</v>
      </c>
      <c r="S1873" s="35" t="str">
        <f>MID(Tabla1[[#This Row],[Aplicación]],6,2)</f>
        <v>10</v>
      </c>
      <c r="T1873" s="35" t="str">
        <f>VLOOKUP(Tabla1[[#This Row],[AREA]],Hoja1!A:B,2,FALSE)</f>
        <v>10. Servicios sociales y mediación comunitaria</v>
      </c>
      <c r="U1873" s="35" t="str">
        <f>MID(Tabla1[[#This Row],[Aplicación]],9,4)</f>
        <v>2312</v>
      </c>
      <c r="V1873" s="35" t="str">
        <f>VLOOKUP(Tabla1[[#This Row],[PROGRAMA]],Hoja1!A:B,2,FALSE)</f>
        <v>2312. Iniciativas sociales</v>
      </c>
      <c r="W1873" s="35" t="str">
        <f>MID(Tabla1[[#This Row],[Aplicación]],14,2)</f>
        <v>22</v>
      </c>
      <c r="X1873" s="35" t="str">
        <f>MID(Tabla1[[#This Row],[Aplicación]],14,6)</f>
        <v>22699</v>
      </c>
    </row>
    <row r="1874" spans="1:24" x14ac:dyDescent="0.25">
      <c r="A1874" s="49">
        <v>220209000230</v>
      </c>
      <c r="B1874" s="50" t="s">
        <v>9</v>
      </c>
      <c r="C1874" s="57">
        <v>44562</v>
      </c>
      <c r="D1874" s="49">
        <v>22022000180</v>
      </c>
      <c r="E1874" s="50" t="s">
        <v>3273</v>
      </c>
      <c r="F1874" s="58">
        <v>20158.330000000002</v>
      </c>
      <c r="G1874" s="50" t="s">
        <v>819</v>
      </c>
      <c r="H1874" s="50" t="s">
        <v>3274</v>
      </c>
      <c r="I1874" s="49" t="s">
        <v>107</v>
      </c>
      <c r="J1874" s="50" t="s">
        <v>128</v>
      </c>
      <c r="K1874" s="50" t="s">
        <v>128</v>
      </c>
      <c r="L1874" s="50" t="s">
        <v>12</v>
      </c>
      <c r="M1874" s="50" t="s">
        <v>13</v>
      </c>
      <c r="N1874" s="50" t="s">
        <v>14</v>
      </c>
      <c r="O1874" s="48" t="s">
        <v>620</v>
      </c>
      <c r="P1874" s="45" t="s">
        <v>453</v>
      </c>
      <c r="Q1874" s="35" t="str">
        <f>MID(Tabla1[[#This Row],[Aplicación]],14,1)</f>
        <v>2</v>
      </c>
      <c r="R1874" s="35" t="s">
        <v>441</v>
      </c>
      <c r="S1874" s="35" t="str">
        <f>MID(Tabla1[[#This Row],[Aplicación]],6,2)</f>
        <v>07</v>
      </c>
      <c r="T1874" s="35" t="str">
        <f>VLOOKUP(Tabla1[[#This Row],[AREA]],Hoja1!A:B,2,FALSE)</f>
        <v>07. Medio ambiente y desarrollo sostenible</v>
      </c>
      <c r="U1874" s="35" t="str">
        <f>MID(Tabla1[[#This Row],[Aplicación]],9,4)</f>
        <v>1701</v>
      </c>
      <c r="V1874" s="35" t="str">
        <f>VLOOKUP(Tabla1[[#This Row],[PROGRAMA]],Hoja1!A:B,2,FALSE)</f>
        <v>1701. Dirección del área de medio ambiente</v>
      </c>
      <c r="W1874" s="35" t="str">
        <f>MID(Tabla1[[#This Row],[Aplicación]],14,2)</f>
        <v>22</v>
      </c>
      <c r="X1874" s="35" t="str">
        <f>MID(Tabla1[[#This Row],[Aplicación]],14,6)</f>
        <v>22706</v>
      </c>
    </row>
    <row r="1875" spans="1:24" x14ac:dyDescent="0.25">
      <c r="A1875" s="49">
        <v>220219000709</v>
      </c>
      <c r="B1875" s="50" t="s">
        <v>9</v>
      </c>
      <c r="C1875" s="57">
        <v>44562</v>
      </c>
      <c r="D1875" s="49">
        <v>22022000575</v>
      </c>
      <c r="E1875" s="50" t="s">
        <v>2400</v>
      </c>
      <c r="F1875" s="58">
        <v>3200</v>
      </c>
      <c r="G1875" s="50" t="s">
        <v>31</v>
      </c>
      <c r="H1875" s="50" t="s">
        <v>3275</v>
      </c>
      <c r="I1875" s="49" t="s">
        <v>107</v>
      </c>
      <c r="J1875" s="50" t="s">
        <v>109</v>
      </c>
      <c r="K1875" s="50" t="s">
        <v>109</v>
      </c>
      <c r="L1875" s="50" t="s">
        <v>12</v>
      </c>
      <c r="M1875" s="50" t="s">
        <v>10</v>
      </c>
      <c r="N1875" s="50" t="s">
        <v>11</v>
      </c>
      <c r="O1875" s="48" t="s">
        <v>632</v>
      </c>
      <c r="P1875" s="45" t="s">
        <v>453</v>
      </c>
      <c r="Q1875" s="35" t="str">
        <f>MID(Tabla1[[#This Row],[Aplicación]],14,1)</f>
        <v>2</v>
      </c>
      <c r="R1875" s="35" t="s">
        <v>441</v>
      </c>
      <c r="S1875" s="35" t="str">
        <f>MID(Tabla1[[#This Row],[Aplicación]],6,2)</f>
        <v>10</v>
      </c>
      <c r="T1875" s="35" t="str">
        <f>VLOOKUP(Tabla1[[#This Row],[AREA]],Hoja1!A:B,2,FALSE)</f>
        <v>10. Servicios sociales y mediación comunitaria</v>
      </c>
      <c r="U1875" s="35" t="str">
        <f>MID(Tabla1[[#This Row],[Aplicación]],9,4)</f>
        <v>2316</v>
      </c>
      <c r="V1875" s="35" t="str">
        <f>VLOOKUP(Tabla1[[#This Row],[PROGRAMA]],Hoja1!A:B,2,FALSE)</f>
        <v>2316. Mediación comunitaria</v>
      </c>
      <c r="W1875" s="35" t="str">
        <f>MID(Tabla1[[#This Row],[Aplicación]],14,2)</f>
        <v>22</v>
      </c>
      <c r="X1875" s="35" t="str">
        <f>MID(Tabla1[[#This Row],[Aplicación]],14,6)</f>
        <v>22616</v>
      </c>
    </row>
    <row r="1876" spans="1:24" x14ac:dyDescent="0.25">
      <c r="A1876" s="49">
        <v>220220002775</v>
      </c>
      <c r="B1876" s="50" t="s">
        <v>9</v>
      </c>
      <c r="C1876" s="57">
        <v>44600</v>
      </c>
      <c r="D1876" s="49">
        <v>22022001916</v>
      </c>
      <c r="E1876" s="50" t="s">
        <v>1943</v>
      </c>
      <c r="F1876" s="58">
        <v>275.27</v>
      </c>
      <c r="G1876" s="50" t="s">
        <v>1242</v>
      </c>
      <c r="H1876" s="50" t="s">
        <v>3272</v>
      </c>
      <c r="I1876" s="49" t="s">
        <v>107</v>
      </c>
      <c r="J1876" s="50" t="s">
        <v>109</v>
      </c>
      <c r="K1876" s="50" t="s">
        <v>109</v>
      </c>
      <c r="L1876" s="50" t="s">
        <v>15</v>
      </c>
      <c r="M1876" s="50" t="s">
        <v>10</v>
      </c>
      <c r="N1876" s="50" t="s">
        <v>11</v>
      </c>
      <c r="O1876" s="48" t="s">
        <v>632</v>
      </c>
      <c r="P1876" s="45" t="s">
        <v>453</v>
      </c>
      <c r="Q1876" s="35" t="str">
        <f>MID(Tabla1[[#This Row],[Aplicación]],14,1)</f>
        <v>2</v>
      </c>
      <c r="R1876" s="35" t="s">
        <v>441</v>
      </c>
      <c r="S1876" s="35" t="str">
        <f>MID(Tabla1[[#This Row],[Aplicación]],6,2)</f>
        <v>10</v>
      </c>
      <c r="T1876" s="35" t="str">
        <f>VLOOKUP(Tabla1[[#This Row],[AREA]],Hoja1!A:B,2,FALSE)</f>
        <v>10. Servicios sociales y mediación comunitaria</v>
      </c>
      <c r="U1876" s="35" t="str">
        <f>MID(Tabla1[[#This Row],[Aplicación]],9,4)</f>
        <v>2312</v>
      </c>
      <c r="V1876" s="35" t="str">
        <f>VLOOKUP(Tabla1[[#This Row],[PROGRAMA]],Hoja1!A:B,2,FALSE)</f>
        <v>2312. Iniciativas sociales</v>
      </c>
      <c r="W1876" s="35" t="str">
        <f>MID(Tabla1[[#This Row],[Aplicación]],14,2)</f>
        <v>22</v>
      </c>
      <c r="X1876" s="35" t="str">
        <f>MID(Tabla1[[#This Row],[Aplicación]],14,6)</f>
        <v>22699</v>
      </c>
    </row>
    <row r="1877" spans="1:24" x14ac:dyDescent="0.25">
      <c r="A1877" s="49">
        <v>220220007924</v>
      </c>
      <c r="B1877" s="50" t="s">
        <v>9</v>
      </c>
      <c r="C1877" s="57">
        <v>44627</v>
      </c>
      <c r="D1877" s="49">
        <v>22022002559</v>
      </c>
      <c r="E1877" s="50" t="s">
        <v>2744</v>
      </c>
      <c r="F1877" s="58">
        <v>275</v>
      </c>
      <c r="G1877" s="50" t="s">
        <v>3276</v>
      </c>
      <c r="H1877" s="50" t="s">
        <v>3277</v>
      </c>
      <c r="I1877" s="49" t="s">
        <v>107</v>
      </c>
      <c r="J1877" s="50" t="s">
        <v>109</v>
      </c>
      <c r="K1877" s="50" t="s">
        <v>109</v>
      </c>
      <c r="L1877" s="50" t="s">
        <v>12</v>
      </c>
      <c r="M1877" s="50" t="s">
        <v>10</v>
      </c>
      <c r="N1877" s="50" t="s">
        <v>11</v>
      </c>
      <c r="O1877" s="48" t="s">
        <v>632</v>
      </c>
      <c r="P1877" s="45" t="s">
        <v>453</v>
      </c>
      <c r="Q1877" s="35" t="str">
        <f>MID(Tabla1[[#This Row],[Aplicación]],14,1)</f>
        <v>2</v>
      </c>
      <c r="R1877" s="35" t="s">
        <v>441</v>
      </c>
      <c r="S1877" s="35" t="str">
        <f>MID(Tabla1[[#This Row],[Aplicación]],6,2)</f>
        <v>01</v>
      </c>
      <c r="T1877" s="35" t="str">
        <f>VLOOKUP(Tabla1[[#This Row],[AREA]],Hoja1!A:B,2,FALSE)</f>
        <v>01. Alcaldía</v>
      </c>
      <c r="U1877" s="35" t="str">
        <f>MID(Tabla1[[#This Row],[Aplicación]],9,4)</f>
        <v>9207</v>
      </c>
      <c r="V1877" s="35" t="str">
        <f>VLOOKUP(Tabla1[[#This Row],[PROGRAMA]],Hoja1!A:B,2,FALSE)</f>
        <v>9207. Gobierno y relaciones</v>
      </c>
      <c r="W1877" s="35" t="str">
        <f>MID(Tabla1[[#This Row],[Aplicación]],14,2)</f>
        <v>22</v>
      </c>
      <c r="X1877" s="35" t="str">
        <f>MID(Tabla1[[#This Row],[Aplicación]],14,6)</f>
        <v>22699</v>
      </c>
    </row>
    <row r="1878" spans="1:24" x14ac:dyDescent="0.25">
      <c r="A1878" s="49">
        <v>220210078791</v>
      </c>
      <c r="B1878" s="50" t="s">
        <v>9</v>
      </c>
      <c r="C1878" s="57">
        <v>44620</v>
      </c>
      <c r="D1878" s="49">
        <v>22021007321</v>
      </c>
      <c r="E1878" s="50" t="s">
        <v>1410</v>
      </c>
      <c r="F1878" s="58">
        <v>268.29000000000002</v>
      </c>
      <c r="G1878" s="50" t="s">
        <v>932</v>
      </c>
      <c r="H1878" s="50" t="s">
        <v>1245</v>
      </c>
      <c r="I1878" s="49" t="s">
        <v>107</v>
      </c>
      <c r="J1878" s="50" t="s">
        <v>109</v>
      </c>
      <c r="K1878" s="50" t="s">
        <v>109</v>
      </c>
      <c r="L1878" s="50" t="s">
        <v>12</v>
      </c>
      <c r="M1878" s="50" t="s">
        <v>10</v>
      </c>
      <c r="N1878" s="50" t="s">
        <v>11</v>
      </c>
      <c r="O1878" s="48" t="s">
        <v>632</v>
      </c>
      <c r="P1878" s="45" t="s">
        <v>453</v>
      </c>
      <c r="Q1878" s="35" t="str">
        <f>MID(Tabla1[[#This Row],[Aplicación]],14,1)</f>
        <v>6</v>
      </c>
      <c r="R1878" s="35" t="s">
        <v>442</v>
      </c>
      <c r="S1878" s="35" t="str">
        <f>MID(Tabla1[[#This Row],[Aplicación]],6,2)</f>
        <v>03</v>
      </c>
      <c r="T1878" s="35" t="str">
        <f>VLOOKUP(Tabla1[[#This Row],[AREA]],Hoja1!A:B,2,FALSE)</f>
        <v>03. Participación ciudadana y deportes</v>
      </c>
      <c r="U1878" s="35" t="str">
        <f>MID(Tabla1[[#This Row],[Aplicación]],9,4)</f>
        <v>9241</v>
      </c>
      <c r="V1878" s="35" t="str">
        <f>VLOOKUP(Tabla1[[#This Row],[PROGRAMA]],Hoja1!A:B,2,FALSE)</f>
        <v>9241. Participación ciudadana</v>
      </c>
      <c r="W1878" s="35" t="str">
        <f>MID(Tabla1[[#This Row],[Aplicación]],14,2)</f>
        <v>63</v>
      </c>
      <c r="X1878" s="35" t="str">
        <f>MID(Tabla1[[#This Row],[Aplicación]],14,6)</f>
        <v>632</v>
      </c>
    </row>
    <row r="1879" spans="1:24" x14ac:dyDescent="0.25">
      <c r="A1879" s="49">
        <v>220220003530</v>
      </c>
      <c r="B1879" s="50" t="s">
        <v>9</v>
      </c>
      <c r="C1879" s="57">
        <v>44606</v>
      </c>
      <c r="D1879" s="49">
        <v>22022002274</v>
      </c>
      <c r="E1879" s="50" t="s">
        <v>2222</v>
      </c>
      <c r="F1879" s="58">
        <v>200</v>
      </c>
      <c r="G1879" s="50" t="s">
        <v>30</v>
      </c>
      <c r="H1879" s="50" t="s">
        <v>3278</v>
      </c>
      <c r="I1879" s="49" t="s">
        <v>107</v>
      </c>
      <c r="J1879" s="50" t="s">
        <v>108</v>
      </c>
      <c r="K1879" s="50" t="s">
        <v>108</v>
      </c>
      <c r="L1879" s="50" t="s">
        <v>15</v>
      </c>
      <c r="M1879" s="50" t="s">
        <v>10</v>
      </c>
      <c r="N1879" s="50" t="s">
        <v>11</v>
      </c>
      <c r="O1879" s="48" t="s">
        <v>632</v>
      </c>
      <c r="P1879" s="45" t="s">
        <v>453</v>
      </c>
      <c r="Q1879" s="35" t="str">
        <f>MID(Tabla1[[#This Row],[Aplicación]],14,1)</f>
        <v>2</v>
      </c>
      <c r="R1879" s="35" t="s">
        <v>441</v>
      </c>
      <c r="S1879" s="35" t="str">
        <f>MID(Tabla1[[#This Row],[Aplicación]],6,2)</f>
        <v>11</v>
      </c>
      <c r="T1879" s="35" t="str">
        <f>VLOOKUP(Tabla1[[#This Row],[AREA]],Hoja1!A:B,2,FALSE)</f>
        <v>11. Salud pública y seguridad ciudadana</v>
      </c>
      <c r="U1879" s="35" t="str">
        <f>MID(Tabla1[[#This Row],[Aplicación]],9,4)</f>
        <v>3111</v>
      </c>
      <c r="V1879" s="35" t="str">
        <f>VLOOKUP(Tabla1[[#This Row],[PROGRAMA]],Hoja1!A:B,2,FALSE)</f>
        <v>3111. Protección de la salubridad pública</v>
      </c>
      <c r="W1879" s="35" t="str">
        <f>MID(Tabla1[[#This Row],[Aplicación]],14,2)</f>
        <v>22</v>
      </c>
      <c r="X1879" s="35" t="str">
        <f>MID(Tabla1[[#This Row],[Aplicación]],14,6)</f>
        <v>22103</v>
      </c>
    </row>
    <row r="1880" spans="1:24" x14ac:dyDescent="0.25">
      <c r="A1880" s="49">
        <v>220220000348</v>
      </c>
      <c r="B1880" s="50" t="s">
        <v>9</v>
      </c>
      <c r="C1880" s="57">
        <v>44585</v>
      </c>
      <c r="D1880" s="49">
        <v>22022001264</v>
      </c>
      <c r="E1880" s="50" t="s">
        <v>2400</v>
      </c>
      <c r="F1880" s="58">
        <v>628.6</v>
      </c>
      <c r="G1880" s="50" t="s">
        <v>999</v>
      </c>
      <c r="H1880" s="50" t="s">
        <v>3279</v>
      </c>
      <c r="I1880" s="49" t="s">
        <v>107</v>
      </c>
      <c r="J1880" s="50" t="s">
        <v>109</v>
      </c>
      <c r="K1880" s="50" t="s">
        <v>109</v>
      </c>
      <c r="L1880" s="50" t="s">
        <v>12</v>
      </c>
      <c r="M1880" s="50" t="s">
        <v>10</v>
      </c>
      <c r="N1880" s="50" t="s">
        <v>11</v>
      </c>
      <c r="O1880" s="48" t="s">
        <v>632</v>
      </c>
      <c r="P1880" s="45" t="s">
        <v>453</v>
      </c>
      <c r="Q1880" s="35" t="str">
        <f>MID(Tabla1[[#This Row],[Aplicación]],14,1)</f>
        <v>2</v>
      </c>
      <c r="R1880" s="35" t="s">
        <v>441</v>
      </c>
      <c r="S1880" s="35" t="str">
        <f>MID(Tabla1[[#This Row],[Aplicación]],6,2)</f>
        <v>10</v>
      </c>
      <c r="T1880" s="35" t="str">
        <f>VLOOKUP(Tabla1[[#This Row],[AREA]],Hoja1!A:B,2,FALSE)</f>
        <v>10. Servicios sociales y mediación comunitaria</v>
      </c>
      <c r="U1880" s="35" t="str">
        <f>MID(Tabla1[[#This Row],[Aplicación]],9,4)</f>
        <v>2316</v>
      </c>
      <c r="V1880" s="35" t="str">
        <f>VLOOKUP(Tabla1[[#This Row],[PROGRAMA]],Hoja1!A:B,2,FALSE)</f>
        <v>2316. Mediación comunitaria</v>
      </c>
      <c r="W1880" s="35" t="str">
        <f>MID(Tabla1[[#This Row],[Aplicación]],14,2)</f>
        <v>22</v>
      </c>
      <c r="X1880" s="35" t="str">
        <f>MID(Tabla1[[#This Row],[Aplicación]],14,6)</f>
        <v>22616</v>
      </c>
    </row>
    <row r="1881" spans="1:24" x14ac:dyDescent="0.25">
      <c r="A1881" s="49">
        <v>220209000693</v>
      </c>
      <c r="B1881" s="50" t="s">
        <v>9</v>
      </c>
      <c r="C1881" s="57">
        <v>44562</v>
      </c>
      <c r="D1881" s="49">
        <v>22022000246</v>
      </c>
      <c r="E1881" s="50" t="s">
        <v>2765</v>
      </c>
      <c r="F1881" s="58">
        <v>96000</v>
      </c>
      <c r="G1881" s="50" t="s">
        <v>30</v>
      </c>
      <c r="H1881" s="50" t="s">
        <v>780</v>
      </c>
      <c r="I1881" s="49" t="s">
        <v>107</v>
      </c>
      <c r="J1881" s="50" t="s">
        <v>108</v>
      </c>
      <c r="K1881" s="50" t="s">
        <v>108</v>
      </c>
      <c r="L1881" s="50" t="s">
        <v>15</v>
      </c>
      <c r="M1881" s="50" t="s">
        <v>13</v>
      </c>
      <c r="N1881" s="50" t="s">
        <v>14</v>
      </c>
      <c r="O1881" s="48" t="s">
        <v>620</v>
      </c>
      <c r="P1881" s="45" t="s">
        <v>453</v>
      </c>
      <c r="Q1881" s="35" t="str">
        <f>MID(Tabla1[[#This Row],[Aplicación]],14,1)</f>
        <v>2</v>
      </c>
      <c r="R1881" s="35" t="s">
        <v>441</v>
      </c>
      <c r="S1881" s="35" t="str">
        <f>MID(Tabla1[[#This Row],[Aplicación]],6,2)</f>
        <v>11</v>
      </c>
      <c r="T1881" s="35" t="str">
        <f>VLOOKUP(Tabla1[[#This Row],[AREA]],Hoja1!A:B,2,FALSE)</f>
        <v>11. Salud pública y seguridad ciudadana</v>
      </c>
      <c r="U1881" s="35" t="str">
        <f>MID(Tabla1[[#This Row],[Aplicación]],9,4)</f>
        <v>1321</v>
      </c>
      <c r="V1881" s="35" t="str">
        <f>VLOOKUP(Tabla1[[#This Row],[PROGRAMA]],Hoja1!A:B,2,FALSE)</f>
        <v>1321. Policía municipal</v>
      </c>
      <c r="W1881" s="35" t="str">
        <f>MID(Tabla1[[#This Row],[Aplicación]],14,2)</f>
        <v>22</v>
      </c>
      <c r="X1881" s="35" t="str">
        <f>MID(Tabla1[[#This Row],[Aplicación]],14,6)</f>
        <v>22103</v>
      </c>
    </row>
    <row r="1882" spans="1:24" x14ac:dyDescent="0.25">
      <c r="A1882" s="49">
        <v>220209000692</v>
      </c>
      <c r="B1882" s="50" t="s">
        <v>9</v>
      </c>
      <c r="C1882" s="57">
        <v>44562</v>
      </c>
      <c r="D1882" s="49">
        <v>22022000245</v>
      </c>
      <c r="E1882" s="50" t="s">
        <v>2767</v>
      </c>
      <c r="F1882" s="58">
        <v>50000</v>
      </c>
      <c r="G1882" s="50" t="s">
        <v>30</v>
      </c>
      <c r="H1882" s="50" t="s">
        <v>789</v>
      </c>
      <c r="I1882" s="49" t="s">
        <v>107</v>
      </c>
      <c r="J1882" s="50" t="s">
        <v>108</v>
      </c>
      <c r="K1882" s="50" t="s">
        <v>108</v>
      </c>
      <c r="L1882" s="50" t="s">
        <v>15</v>
      </c>
      <c r="M1882" s="50" t="s">
        <v>13</v>
      </c>
      <c r="N1882" s="50" t="s">
        <v>14</v>
      </c>
      <c r="O1882" s="48" t="s">
        <v>620</v>
      </c>
      <c r="P1882" s="45" t="s">
        <v>453</v>
      </c>
      <c r="Q1882" s="35" t="str">
        <f>MID(Tabla1[[#This Row],[Aplicación]],14,1)</f>
        <v>2</v>
      </c>
      <c r="R1882" s="35" t="s">
        <v>441</v>
      </c>
      <c r="S1882" s="35" t="str">
        <f>MID(Tabla1[[#This Row],[Aplicación]],6,2)</f>
        <v>07</v>
      </c>
      <c r="T1882" s="35" t="str">
        <f>VLOOKUP(Tabla1[[#This Row],[AREA]],Hoja1!A:B,2,FALSE)</f>
        <v>07. Medio ambiente y desarrollo sostenible</v>
      </c>
      <c r="U1882" s="35" t="str">
        <f>MID(Tabla1[[#This Row],[Aplicación]],9,4)</f>
        <v>1711</v>
      </c>
      <c r="V1882" s="35" t="str">
        <f>VLOOKUP(Tabla1[[#This Row],[PROGRAMA]],Hoja1!A:B,2,FALSE)</f>
        <v>1711. Parques y jardines</v>
      </c>
      <c r="W1882" s="35" t="str">
        <f>MID(Tabla1[[#This Row],[Aplicación]],14,2)</f>
        <v>22</v>
      </c>
      <c r="X1882" s="35" t="str">
        <f>MID(Tabla1[[#This Row],[Aplicación]],14,6)</f>
        <v>22103</v>
      </c>
    </row>
    <row r="1883" spans="1:24" x14ac:dyDescent="0.25">
      <c r="A1883" s="49">
        <v>220210083630</v>
      </c>
      <c r="B1883" s="50" t="s">
        <v>9</v>
      </c>
      <c r="C1883" s="57">
        <v>44620</v>
      </c>
      <c r="D1883" s="49">
        <v>22021008172</v>
      </c>
      <c r="E1883" s="50" t="s">
        <v>1602</v>
      </c>
      <c r="F1883" s="58">
        <v>248.94</v>
      </c>
      <c r="G1883" s="50" t="s">
        <v>102</v>
      </c>
      <c r="H1883" s="50" t="s">
        <v>1338</v>
      </c>
      <c r="I1883" s="49" t="s">
        <v>107</v>
      </c>
      <c r="J1883" s="50" t="s">
        <v>108</v>
      </c>
      <c r="K1883" s="50" t="s">
        <v>108</v>
      </c>
      <c r="L1883" s="50" t="s">
        <v>12</v>
      </c>
      <c r="M1883" s="50" t="s">
        <v>10</v>
      </c>
      <c r="N1883" s="50" t="s">
        <v>11</v>
      </c>
      <c r="O1883" s="48" t="s">
        <v>632</v>
      </c>
      <c r="P1883" s="45" t="s">
        <v>453</v>
      </c>
      <c r="Q1883" s="35" t="str">
        <f>MID(Tabla1[[#This Row],[Aplicación]],14,1)</f>
        <v>6</v>
      </c>
      <c r="R1883" s="35" t="s">
        <v>442</v>
      </c>
      <c r="S1883" s="35" t="str">
        <f>MID(Tabla1[[#This Row],[Aplicación]],6,2)</f>
        <v>05</v>
      </c>
      <c r="T1883" s="35" t="str">
        <f>VLOOKUP(Tabla1[[#This Row],[AREA]],Hoja1!A:B,2,FALSE)</f>
        <v>05. Innovación, desarrollo económico, empleo y comercio</v>
      </c>
      <c r="U1883" s="35" t="str">
        <f>MID(Tabla1[[#This Row],[Aplicación]],9,4)</f>
        <v>4331</v>
      </c>
      <c r="V1883" s="35" t="str">
        <f>VLOOKUP(Tabla1[[#This Row],[PROGRAMA]],Hoja1!A:B,2,FALSE)</f>
        <v>4331. Desarrollo empresarial</v>
      </c>
      <c r="W1883" s="35" t="str">
        <f>MID(Tabla1[[#This Row],[Aplicación]],14,2)</f>
        <v>60</v>
      </c>
      <c r="X1883" s="35" t="str">
        <f>MID(Tabla1[[#This Row],[Aplicación]],14,6)</f>
        <v>609</v>
      </c>
    </row>
    <row r="1884" spans="1:24" x14ac:dyDescent="0.25">
      <c r="A1884" s="49">
        <v>220220002394</v>
      </c>
      <c r="B1884" s="50" t="s">
        <v>26</v>
      </c>
      <c r="C1884" s="57">
        <v>44594</v>
      </c>
      <c r="D1884" s="49">
        <v>22022001260</v>
      </c>
      <c r="E1884" s="50" t="s">
        <v>3280</v>
      </c>
      <c r="F1884" s="58">
        <v>244.31</v>
      </c>
      <c r="G1884" s="50" t="s">
        <v>804</v>
      </c>
      <c r="H1884" s="50" t="s">
        <v>3281</v>
      </c>
      <c r="I1884" s="49" t="s">
        <v>197</v>
      </c>
      <c r="J1884" s="50" t="s">
        <v>109</v>
      </c>
      <c r="K1884" s="50" t="s">
        <v>109</v>
      </c>
      <c r="L1884" s="50" t="s">
        <v>12</v>
      </c>
      <c r="M1884" s="50" t="s">
        <v>13</v>
      </c>
      <c r="N1884" s="50" t="s">
        <v>14</v>
      </c>
      <c r="O1884" s="48" t="s">
        <v>631</v>
      </c>
      <c r="P1884" s="45" t="s">
        <v>453</v>
      </c>
      <c r="Q1884" s="35" t="str">
        <f>MID(Tabla1[[#This Row],[Aplicación]],14,1)</f>
        <v>2</v>
      </c>
      <c r="R1884" s="35" t="s">
        <v>441</v>
      </c>
      <c r="S1884" s="35" t="str">
        <f>MID(Tabla1[[#This Row],[Aplicación]],6,2)</f>
        <v>11</v>
      </c>
      <c r="T1884" s="35" t="str">
        <f>VLOOKUP(Tabla1[[#This Row],[AREA]],Hoja1!A:B,2,FALSE)</f>
        <v>11. Salud pública y seguridad ciudadana</v>
      </c>
      <c r="U1884" s="35" t="str">
        <f>MID(Tabla1[[#This Row],[Aplicación]],9,4)</f>
        <v>1351</v>
      </c>
      <c r="V1884" s="35" t="str">
        <f>VLOOKUP(Tabla1[[#This Row],[PROGRAMA]],Hoja1!A:B,2,FALSE)</f>
        <v>1351. Protección civil</v>
      </c>
      <c r="W1884" s="35" t="str">
        <f>MID(Tabla1[[#This Row],[Aplicación]],14,2)</f>
        <v>22</v>
      </c>
      <c r="X1884" s="35" t="str">
        <f>MID(Tabla1[[#This Row],[Aplicación]],14,6)</f>
        <v>224</v>
      </c>
    </row>
    <row r="1885" spans="1:24" x14ac:dyDescent="0.25">
      <c r="A1885" s="49">
        <v>220220012359</v>
      </c>
      <c r="B1885" s="50" t="s">
        <v>9</v>
      </c>
      <c r="C1885" s="57">
        <v>44643</v>
      </c>
      <c r="D1885" s="49">
        <v>22022002941</v>
      </c>
      <c r="E1885" s="50" t="s">
        <v>3282</v>
      </c>
      <c r="F1885" s="58">
        <v>239.99</v>
      </c>
      <c r="G1885" s="50" t="s">
        <v>503</v>
      </c>
      <c r="H1885" s="50" t="s">
        <v>3283</v>
      </c>
      <c r="I1885" s="49" t="s">
        <v>107</v>
      </c>
      <c r="J1885" s="50" t="s">
        <v>575</v>
      </c>
      <c r="K1885" s="50" t="s">
        <v>141</v>
      </c>
      <c r="L1885" s="50" t="s">
        <v>15</v>
      </c>
      <c r="M1885" s="50" t="s">
        <v>10</v>
      </c>
      <c r="N1885" s="50" t="s">
        <v>11</v>
      </c>
      <c r="O1885" s="48" t="s">
        <v>632</v>
      </c>
      <c r="P1885" s="45" t="s">
        <v>453</v>
      </c>
      <c r="Q1885" s="35" t="str">
        <f>MID(Tabla1[[#This Row],[Aplicación]],14,1)</f>
        <v>2</v>
      </c>
      <c r="R1885" s="35" t="s">
        <v>441</v>
      </c>
      <c r="S1885" s="35" t="str">
        <f>MID(Tabla1[[#This Row],[Aplicación]],6,2)</f>
        <v>02</v>
      </c>
      <c r="T1885" s="35" t="str">
        <f>VLOOKUP(Tabla1[[#This Row],[AREA]],Hoja1!A:B,2,FALSE)</f>
        <v>02. Planeamiento urbanístico y vivienda</v>
      </c>
      <c r="U1885" s="35" t="str">
        <f>MID(Tabla1[[#This Row],[Aplicación]],9,4)</f>
        <v>1501</v>
      </c>
      <c r="V1885" s="35" t="str">
        <f>VLOOKUP(Tabla1[[#This Row],[PROGRAMA]],Hoja1!A:B,2,FALSE)</f>
        <v>1501. Dirección del área de urbanismo</v>
      </c>
      <c r="W1885" s="35" t="str">
        <f>MID(Tabla1[[#This Row],[Aplicación]],14,2)</f>
        <v>22</v>
      </c>
      <c r="X1885" s="35" t="str">
        <f>MID(Tabla1[[#This Row],[Aplicación]],14,6)</f>
        <v>22602</v>
      </c>
    </row>
    <row r="1886" spans="1:24" x14ac:dyDescent="0.25">
      <c r="A1886" s="49">
        <v>220220006722</v>
      </c>
      <c r="B1886" s="50" t="s">
        <v>9</v>
      </c>
      <c r="C1886" s="57">
        <v>44620</v>
      </c>
      <c r="D1886" s="49">
        <v>22021000729</v>
      </c>
      <c r="E1886" s="50" t="s">
        <v>1390</v>
      </c>
      <c r="F1886" s="58">
        <v>238.75</v>
      </c>
      <c r="G1886" s="50" t="s">
        <v>102</v>
      </c>
      <c r="H1886" s="50" t="s">
        <v>746</v>
      </c>
      <c r="I1886" s="49" t="s">
        <v>107</v>
      </c>
      <c r="J1886" s="50" t="s">
        <v>108</v>
      </c>
      <c r="K1886" s="50" t="s">
        <v>108</v>
      </c>
      <c r="L1886" s="50" t="s">
        <v>12</v>
      </c>
      <c r="M1886" s="50" t="s">
        <v>10</v>
      </c>
      <c r="N1886" s="50" t="s">
        <v>11</v>
      </c>
      <c r="O1886" s="48" t="s">
        <v>632</v>
      </c>
      <c r="P1886" s="45" t="s">
        <v>453</v>
      </c>
      <c r="Q1886" s="35" t="str">
        <f>MID(Tabla1[[#This Row],[Aplicación]],14,1)</f>
        <v>6</v>
      </c>
      <c r="R1886" s="35" t="s">
        <v>442</v>
      </c>
      <c r="S1886" s="35" t="str">
        <f>MID(Tabla1[[#This Row],[Aplicación]],6,2)</f>
        <v>10</v>
      </c>
      <c r="T1886" s="35" t="str">
        <f>VLOOKUP(Tabla1[[#This Row],[AREA]],Hoja1!A:B,2,FALSE)</f>
        <v>10. Servicios sociales y mediación comunitaria</v>
      </c>
      <c r="U1886" s="35" t="str">
        <f>MID(Tabla1[[#This Row],[Aplicación]],9,4)</f>
        <v>2312</v>
      </c>
      <c r="V1886" s="35" t="str">
        <f>VLOOKUP(Tabla1[[#This Row],[PROGRAMA]],Hoja1!A:B,2,FALSE)</f>
        <v>2312. Iniciativas sociales</v>
      </c>
      <c r="W1886" s="35" t="str">
        <f>MID(Tabla1[[#This Row],[Aplicación]],14,2)</f>
        <v>62</v>
      </c>
      <c r="X1886" s="35" t="str">
        <f>MID(Tabla1[[#This Row],[Aplicación]],14,6)</f>
        <v>622</v>
      </c>
    </row>
    <row r="1887" spans="1:24" x14ac:dyDescent="0.25">
      <c r="A1887" s="49">
        <v>220220006727</v>
      </c>
      <c r="B1887" s="50" t="s">
        <v>9</v>
      </c>
      <c r="C1887" s="57">
        <v>44621</v>
      </c>
      <c r="D1887" s="49">
        <v>22022001176</v>
      </c>
      <c r="E1887" s="50" t="s">
        <v>2890</v>
      </c>
      <c r="F1887" s="58">
        <v>12000</v>
      </c>
      <c r="G1887" s="50" t="s">
        <v>30</v>
      </c>
      <c r="H1887" s="50" t="s">
        <v>3284</v>
      </c>
      <c r="I1887" s="49" t="s">
        <v>107</v>
      </c>
      <c r="J1887" s="50" t="s">
        <v>108</v>
      </c>
      <c r="K1887" s="50" t="s">
        <v>108</v>
      </c>
      <c r="L1887" s="50" t="s">
        <v>15</v>
      </c>
      <c r="M1887" s="50" t="s">
        <v>13</v>
      </c>
      <c r="N1887" s="50" t="s">
        <v>14</v>
      </c>
      <c r="O1887" s="48" t="s">
        <v>620</v>
      </c>
      <c r="P1887" s="45" t="s">
        <v>453</v>
      </c>
      <c r="Q1887" s="35" t="str">
        <f>MID(Tabla1[[#This Row],[Aplicación]],14,1)</f>
        <v>2</v>
      </c>
      <c r="R1887" s="35" t="s">
        <v>441</v>
      </c>
      <c r="S1887" s="35" t="str">
        <f>MID(Tabla1[[#This Row],[Aplicación]],6,2)</f>
        <v>02</v>
      </c>
      <c r="T1887" s="35" t="str">
        <f>VLOOKUP(Tabla1[[#This Row],[AREA]],Hoja1!A:B,2,FALSE)</f>
        <v>02. Planeamiento urbanístico y vivienda</v>
      </c>
      <c r="U1887" s="35" t="str">
        <f>MID(Tabla1[[#This Row],[Aplicación]],9,4)</f>
        <v>9332</v>
      </c>
      <c r="V1887" s="35" t="str">
        <f>VLOOKUP(Tabla1[[#This Row],[PROGRAMA]],Hoja1!A:B,2,FALSE)</f>
        <v>9332. Mantenimiento de edificios e instalaciones municipales</v>
      </c>
      <c r="W1887" s="35" t="str">
        <f>MID(Tabla1[[#This Row],[Aplicación]],14,2)</f>
        <v>22</v>
      </c>
      <c r="X1887" s="35" t="str">
        <f>MID(Tabla1[[#This Row],[Aplicación]],14,6)</f>
        <v>22103</v>
      </c>
    </row>
    <row r="1888" spans="1:24" x14ac:dyDescent="0.25">
      <c r="A1888" s="49">
        <v>220209000840</v>
      </c>
      <c r="B1888" s="50" t="s">
        <v>9</v>
      </c>
      <c r="C1888" s="57">
        <v>44620</v>
      </c>
      <c r="D1888" s="49">
        <v>22021001291</v>
      </c>
      <c r="E1888" s="50" t="s">
        <v>1602</v>
      </c>
      <c r="F1888" s="58">
        <v>236.62</v>
      </c>
      <c r="G1888" s="50" t="s">
        <v>102</v>
      </c>
      <c r="H1888" s="50" t="s">
        <v>747</v>
      </c>
      <c r="I1888" s="49" t="s">
        <v>107</v>
      </c>
      <c r="J1888" s="50" t="s">
        <v>108</v>
      </c>
      <c r="K1888" s="50" t="s">
        <v>108</v>
      </c>
      <c r="L1888" s="50" t="s">
        <v>12</v>
      </c>
      <c r="M1888" s="50" t="s">
        <v>10</v>
      </c>
      <c r="N1888" s="50" t="s">
        <v>11</v>
      </c>
      <c r="O1888" s="48" t="s">
        <v>632</v>
      </c>
      <c r="P1888" s="45" t="s">
        <v>453</v>
      </c>
      <c r="Q1888" s="35" t="str">
        <f>MID(Tabla1[[#This Row],[Aplicación]],14,1)</f>
        <v>6</v>
      </c>
      <c r="R1888" s="35" t="s">
        <v>442</v>
      </c>
      <c r="S1888" s="35" t="str">
        <f>MID(Tabla1[[#This Row],[Aplicación]],6,2)</f>
        <v>05</v>
      </c>
      <c r="T1888" s="35" t="str">
        <f>VLOOKUP(Tabla1[[#This Row],[AREA]],Hoja1!A:B,2,FALSE)</f>
        <v>05. Innovación, desarrollo económico, empleo y comercio</v>
      </c>
      <c r="U1888" s="35" t="str">
        <f>MID(Tabla1[[#This Row],[Aplicación]],9,4)</f>
        <v>4331</v>
      </c>
      <c r="V1888" s="35" t="str">
        <f>VLOOKUP(Tabla1[[#This Row],[PROGRAMA]],Hoja1!A:B,2,FALSE)</f>
        <v>4331. Desarrollo empresarial</v>
      </c>
      <c r="W1888" s="35" t="str">
        <f>MID(Tabla1[[#This Row],[Aplicación]],14,2)</f>
        <v>60</v>
      </c>
      <c r="X1888" s="35" t="str">
        <f>MID(Tabla1[[#This Row],[Aplicación]],14,6)</f>
        <v>609</v>
      </c>
    </row>
    <row r="1889" spans="1:24" x14ac:dyDescent="0.25">
      <c r="A1889" s="49">
        <v>220220005785</v>
      </c>
      <c r="B1889" s="50" t="s">
        <v>9</v>
      </c>
      <c r="C1889" s="57">
        <v>44615</v>
      </c>
      <c r="D1889" s="49">
        <v>22022002357</v>
      </c>
      <c r="E1889" s="50" t="s">
        <v>1714</v>
      </c>
      <c r="F1889" s="58">
        <v>200</v>
      </c>
      <c r="G1889" s="50" t="s">
        <v>44</v>
      </c>
      <c r="H1889" s="50" t="s">
        <v>3285</v>
      </c>
      <c r="I1889" s="49" t="s">
        <v>107</v>
      </c>
      <c r="J1889" s="50" t="s">
        <v>109</v>
      </c>
      <c r="K1889" s="50" t="s">
        <v>109</v>
      </c>
      <c r="L1889" s="50" t="s">
        <v>12</v>
      </c>
      <c r="M1889" s="50" t="s">
        <v>10</v>
      </c>
      <c r="N1889" s="50" t="s">
        <v>11</v>
      </c>
      <c r="O1889" s="48" t="s">
        <v>632</v>
      </c>
      <c r="P1889" s="45" t="s">
        <v>453</v>
      </c>
      <c r="Q1889" s="35" t="str">
        <f>MID(Tabla1[[#This Row],[Aplicación]],14,1)</f>
        <v>2</v>
      </c>
      <c r="R1889" s="35" t="s">
        <v>441</v>
      </c>
      <c r="S1889" s="35" t="str">
        <f>MID(Tabla1[[#This Row],[Aplicación]],6,2)</f>
        <v>06</v>
      </c>
      <c r="T1889" s="35" t="str">
        <f>VLOOKUP(Tabla1[[#This Row],[AREA]],Hoja1!A:B,2,FALSE)</f>
        <v>06. Educación, infancia, juventud e igualdad</v>
      </c>
      <c r="U1889" s="35" t="str">
        <f>MID(Tabla1[[#This Row],[Aplicación]],9,4)</f>
        <v>3231</v>
      </c>
      <c r="V1889" s="35" t="str">
        <f>VLOOKUP(Tabla1[[#This Row],[PROGRAMA]],Hoja1!A:B,2,FALSE)</f>
        <v>3231. Escuelas infantiles</v>
      </c>
      <c r="W1889" s="35" t="str">
        <f>MID(Tabla1[[#This Row],[Aplicación]],14,2)</f>
        <v>21</v>
      </c>
      <c r="X1889" s="35" t="str">
        <f>MID(Tabla1[[#This Row],[Aplicación]],14,6)</f>
        <v>213</v>
      </c>
    </row>
    <row r="1890" spans="1:24" x14ac:dyDescent="0.25">
      <c r="A1890" s="49">
        <v>220209000534</v>
      </c>
      <c r="B1890" s="50" t="s">
        <v>9</v>
      </c>
      <c r="C1890" s="57">
        <v>44562</v>
      </c>
      <c r="D1890" s="49">
        <v>22022000211</v>
      </c>
      <c r="E1890" s="50" t="s">
        <v>3173</v>
      </c>
      <c r="F1890" s="58">
        <v>4000</v>
      </c>
      <c r="G1890" s="50" t="s">
        <v>30</v>
      </c>
      <c r="H1890" s="50" t="s">
        <v>749</v>
      </c>
      <c r="I1890" s="49" t="s">
        <v>107</v>
      </c>
      <c r="J1890" s="50" t="s">
        <v>108</v>
      </c>
      <c r="K1890" s="50" t="s">
        <v>108</v>
      </c>
      <c r="L1890" s="50" t="s">
        <v>15</v>
      </c>
      <c r="M1890" s="50" t="s">
        <v>13</v>
      </c>
      <c r="N1890" s="50" t="s">
        <v>14</v>
      </c>
      <c r="O1890" s="48" t="s">
        <v>620</v>
      </c>
      <c r="P1890" s="45" t="s">
        <v>453</v>
      </c>
      <c r="Q1890" s="35" t="str">
        <f>MID(Tabla1[[#This Row],[Aplicación]],14,1)</f>
        <v>2</v>
      </c>
      <c r="R1890" s="35" t="s">
        <v>441</v>
      </c>
      <c r="S1890" s="35" t="str">
        <f>MID(Tabla1[[#This Row],[Aplicación]],6,2)</f>
        <v>10</v>
      </c>
      <c r="T1890" s="35" t="str">
        <f>VLOOKUP(Tabla1[[#This Row],[AREA]],Hoja1!A:B,2,FALSE)</f>
        <v>10. Servicios sociales y mediación comunitaria</v>
      </c>
      <c r="U1890" s="35" t="str">
        <f>MID(Tabla1[[#This Row],[Aplicación]],9,4)</f>
        <v>2412</v>
      </c>
      <c r="V1890" s="35" t="str">
        <f>VLOOKUP(Tabla1[[#This Row],[PROGRAMA]],Hoja1!A:B,2,FALSE)</f>
        <v>2412. Formación para el empleo</v>
      </c>
      <c r="W1890" s="35" t="str">
        <f>MID(Tabla1[[#This Row],[Aplicación]],14,2)</f>
        <v>22</v>
      </c>
      <c r="X1890" s="35" t="str">
        <f>MID(Tabla1[[#This Row],[Aplicación]],14,6)</f>
        <v>22103</v>
      </c>
    </row>
    <row r="1891" spans="1:24" x14ac:dyDescent="0.25">
      <c r="A1891" s="49">
        <v>220210050961</v>
      </c>
      <c r="B1891" s="50" t="s">
        <v>9</v>
      </c>
      <c r="C1891" s="57">
        <v>44620</v>
      </c>
      <c r="D1891" s="49">
        <v>22021006430</v>
      </c>
      <c r="E1891" s="50" t="s">
        <v>1665</v>
      </c>
      <c r="F1891" s="58">
        <v>1029.07</v>
      </c>
      <c r="G1891" s="50" t="s">
        <v>198</v>
      </c>
      <c r="H1891" s="50" t="s">
        <v>1150</v>
      </c>
      <c r="I1891" s="49" t="s">
        <v>107</v>
      </c>
      <c r="J1891" s="50" t="s">
        <v>576</v>
      </c>
      <c r="K1891" s="50" t="s">
        <v>141</v>
      </c>
      <c r="L1891" s="50" t="s">
        <v>15</v>
      </c>
      <c r="M1891" s="50" t="s">
        <v>13</v>
      </c>
      <c r="N1891" s="50" t="s">
        <v>14</v>
      </c>
      <c r="O1891" s="48" t="s">
        <v>631</v>
      </c>
      <c r="P1891" s="45" t="s">
        <v>453</v>
      </c>
      <c r="Q1891" s="35" t="str">
        <f>MID(Tabla1[[#This Row],[Aplicación]],14,1)</f>
        <v>6</v>
      </c>
      <c r="R1891" s="35" t="s">
        <v>442</v>
      </c>
      <c r="S1891" s="35" t="str">
        <f>MID(Tabla1[[#This Row],[Aplicación]],6,2)</f>
        <v>02</v>
      </c>
      <c r="T1891" s="35" t="str">
        <f>VLOOKUP(Tabla1[[#This Row],[AREA]],Hoja1!A:B,2,FALSE)</f>
        <v>02. Planeamiento urbanístico y vivienda</v>
      </c>
      <c r="U1891" s="35" t="str">
        <f>MID(Tabla1[[#This Row],[Aplicación]],9,4)</f>
        <v>9332</v>
      </c>
      <c r="V1891" s="35" t="str">
        <f>VLOOKUP(Tabla1[[#This Row],[PROGRAMA]],Hoja1!A:B,2,FALSE)</f>
        <v>9332. Mantenimiento de edificios e instalaciones municipales</v>
      </c>
      <c r="W1891" s="35" t="str">
        <f>MID(Tabla1[[#This Row],[Aplicación]],14,2)</f>
        <v>63</v>
      </c>
      <c r="X1891" s="35" t="str">
        <f>MID(Tabla1[[#This Row],[Aplicación]],14,6)</f>
        <v>632</v>
      </c>
    </row>
    <row r="1892" spans="1:24" x14ac:dyDescent="0.25">
      <c r="A1892" s="49">
        <v>220220001769</v>
      </c>
      <c r="B1892" s="50" t="s">
        <v>172</v>
      </c>
      <c r="C1892" s="57">
        <v>44588</v>
      </c>
      <c r="D1892" s="49">
        <v>22022001641</v>
      </c>
      <c r="E1892" s="50" t="s">
        <v>2034</v>
      </c>
      <c r="F1892" s="58">
        <v>888.47</v>
      </c>
      <c r="G1892" s="50" t="s">
        <v>198</v>
      </c>
      <c r="H1892" s="50" t="s">
        <v>3286</v>
      </c>
      <c r="I1892" s="49" t="s">
        <v>173</v>
      </c>
      <c r="J1892" s="50" t="s">
        <v>576</v>
      </c>
      <c r="K1892" s="50" t="s">
        <v>141</v>
      </c>
      <c r="L1892" s="50" t="s">
        <v>15</v>
      </c>
      <c r="M1892" s="50" t="s">
        <v>13</v>
      </c>
      <c r="N1892" s="50" t="s">
        <v>16</v>
      </c>
      <c r="O1892" s="48" t="s">
        <v>631</v>
      </c>
      <c r="P1892" s="45" t="s">
        <v>453</v>
      </c>
      <c r="Q1892" s="35" t="str">
        <f>MID(Tabla1[[#This Row],[Aplicación]],14,1)</f>
        <v>2</v>
      </c>
      <c r="R1892" s="35" t="s">
        <v>441</v>
      </c>
      <c r="S1892" s="35" t="str">
        <f>MID(Tabla1[[#This Row],[Aplicación]],6,2)</f>
        <v>06</v>
      </c>
      <c r="T1892" s="35" t="str">
        <f>VLOOKUP(Tabla1[[#This Row],[AREA]],Hoja1!A:B,2,FALSE)</f>
        <v>06. Educación, infancia, juventud e igualdad</v>
      </c>
      <c r="U1892" s="35" t="str">
        <f>MID(Tabla1[[#This Row],[Aplicación]],9,4)</f>
        <v>3232</v>
      </c>
      <c r="V1892" s="35" t="str">
        <f>VLOOKUP(Tabla1[[#This Row],[PROGRAMA]],Hoja1!A:B,2,FALSE)</f>
        <v>3232. Conservación y mantenimiento centros educación infantil y primaria</v>
      </c>
      <c r="W1892" s="35" t="str">
        <f>MID(Tabla1[[#This Row],[Aplicación]],14,2)</f>
        <v>21</v>
      </c>
      <c r="X1892" s="35" t="str">
        <f>MID(Tabla1[[#This Row],[Aplicación]],14,6)</f>
        <v>212</v>
      </c>
    </row>
    <row r="1893" spans="1:24" x14ac:dyDescent="0.25">
      <c r="A1893" s="49">
        <v>220220013201</v>
      </c>
      <c r="B1893" s="50" t="s">
        <v>172</v>
      </c>
      <c r="C1893" s="57">
        <v>44650</v>
      </c>
      <c r="D1893" s="49">
        <v>22022001623</v>
      </c>
      <c r="E1893" s="50" t="s">
        <v>1606</v>
      </c>
      <c r="F1893" s="58">
        <v>793.89</v>
      </c>
      <c r="G1893" s="50" t="s">
        <v>198</v>
      </c>
      <c r="H1893" s="50" t="s">
        <v>3287</v>
      </c>
      <c r="I1893" s="49" t="s">
        <v>173</v>
      </c>
      <c r="J1893" s="50" t="s">
        <v>576</v>
      </c>
      <c r="K1893" s="50" t="s">
        <v>141</v>
      </c>
      <c r="L1893" s="50" t="s">
        <v>15</v>
      </c>
      <c r="M1893" s="50" t="s">
        <v>13</v>
      </c>
      <c r="N1893" s="50" t="s">
        <v>14</v>
      </c>
      <c r="O1893" s="48" t="s">
        <v>631</v>
      </c>
      <c r="P1893" s="45" t="s">
        <v>453</v>
      </c>
      <c r="Q1893" s="35" t="str">
        <f>MID(Tabla1[[#This Row],[Aplicación]],14,1)</f>
        <v>2</v>
      </c>
      <c r="R1893" s="35" t="s">
        <v>441</v>
      </c>
      <c r="S1893" s="35" t="str">
        <f>MID(Tabla1[[#This Row],[Aplicación]],6,2)</f>
        <v>11</v>
      </c>
      <c r="T1893" s="35" t="str">
        <f>VLOOKUP(Tabla1[[#This Row],[AREA]],Hoja1!A:B,2,FALSE)</f>
        <v>11. Salud pública y seguridad ciudadana</v>
      </c>
      <c r="U1893" s="35" t="str">
        <f>MID(Tabla1[[#This Row],[Aplicación]],9,4)</f>
        <v>1361</v>
      </c>
      <c r="V1893" s="35" t="str">
        <f>VLOOKUP(Tabla1[[#This Row],[PROGRAMA]],Hoja1!A:B,2,FALSE)</f>
        <v>1361. Prevención y extinción de incencios</v>
      </c>
      <c r="W1893" s="35" t="str">
        <f>MID(Tabla1[[#This Row],[Aplicación]],14,2)</f>
        <v>22</v>
      </c>
      <c r="X1893" s="35" t="str">
        <f>MID(Tabla1[[#This Row],[Aplicación]],14,6)</f>
        <v>22199</v>
      </c>
    </row>
    <row r="1894" spans="1:24" x14ac:dyDescent="0.25">
      <c r="A1894" s="49">
        <v>220220006846</v>
      </c>
      <c r="B1894" s="50" t="s">
        <v>172</v>
      </c>
      <c r="C1894" s="57">
        <v>44622</v>
      </c>
      <c r="D1894" s="49">
        <v>22022001641</v>
      </c>
      <c r="E1894" s="50" t="s">
        <v>2034</v>
      </c>
      <c r="F1894" s="58">
        <v>564.30999999999995</v>
      </c>
      <c r="G1894" s="50" t="s">
        <v>198</v>
      </c>
      <c r="H1894" s="50" t="s">
        <v>3288</v>
      </c>
      <c r="I1894" s="49" t="s">
        <v>173</v>
      </c>
      <c r="J1894" s="50" t="s">
        <v>576</v>
      </c>
      <c r="K1894" s="50" t="s">
        <v>141</v>
      </c>
      <c r="L1894" s="50" t="s">
        <v>15</v>
      </c>
      <c r="M1894" s="50" t="s">
        <v>13</v>
      </c>
      <c r="N1894" s="50" t="s">
        <v>14</v>
      </c>
      <c r="O1894" s="48" t="s">
        <v>631</v>
      </c>
      <c r="P1894" s="45" t="s">
        <v>453</v>
      </c>
      <c r="Q1894" s="35" t="str">
        <f>MID(Tabla1[[#This Row],[Aplicación]],14,1)</f>
        <v>2</v>
      </c>
      <c r="R1894" s="35" t="s">
        <v>441</v>
      </c>
      <c r="S1894" s="35" t="str">
        <f>MID(Tabla1[[#This Row],[Aplicación]],6,2)</f>
        <v>06</v>
      </c>
      <c r="T1894" s="35" t="str">
        <f>VLOOKUP(Tabla1[[#This Row],[AREA]],Hoja1!A:B,2,FALSE)</f>
        <v>06. Educación, infancia, juventud e igualdad</v>
      </c>
      <c r="U1894" s="35" t="str">
        <f>MID(Tabla1[[#This Row],[Aplicación]],9,4)</f>
        <v>3232</v>
      </c>
      <c r="V1894" s="35" t="str">
        <f>VLOOKUP(Tabla1[[#This Row],[PROGRAMA]],Hoja1!A:B,2,FALSE)</f>
        <v>3232. Conservación y mantenimiento centros educación infantil y primaria</v>
      </c>
      <c r="W1894" s="35" t="str">
        <f>MID(Tabla1[[#This Row],[Aplicación]],14,2)</f>
        <v>21</v>
      </c>
      <c r="X1894" s="35" t="str">
        <f>MID(Tabla1[[#This Row],[Aplicación]],14,6)</f>
        <v>212</v>
      </c>
    </row>
    <row r="1895" spans="1:24" x14ac:dyDescent="0.25">
      <c r="A1895" s="49">
        <v>220220006745</v>
      </c>
      <c r="B1895" s="50" t="s">
        <v>172</v>
      </c>
      <c r="C1895" s="57">
        <v>44622</v>
      </c>
      <c r="D1895" s="49">
        <v>22022001623</v>
      </c>
      <c r="E1895" s="50" t="s">
        <v>1606</v>
      </c>
      <c r="F1895" s="58">
        <v>463.32</v>
      </c>
      <c r="G1895" s="50" t="s">
        <v>198</v>
      </c>
      <c r="H1895" s="50" t="s">
        <v>3289</v>
      </c>
      <c r="I1895" s="49" t="s">
        <v>173</v>
      </c>
      <c r="J1895" s="50" t="s">
        <v>576</v>
      </c>
      <c r="K1895" s="50" t="s">
        <v>141</v>
      </c>
      <c r="L1895" s="50" t="s">
        <v>15</v>
      </c>
      <c r="M1895" s="50" t="s">
        <v>13</v>
      </c>
      <c r="N1895" s="50" t="s">
        <v>14</v>
      </c>
      <c r="O1895" s="48" t="s">
        <v>631</v>
      </c>
      <c r="P1895" s="45" t="s">
        <v>453</v>
      </c>
      <c r="Q1895" s="35" t="str">
        <f>MID(Tabla1[[#This Row],[Aplicación]],14,1)</f>
        <v>2</v>
      </c>
      <c r="R1895" s="35" t="s">
        <v>441</v>
      </c>
      <c r="S1895" s="35" t="str">
        <f>MID(Tabla1[[#This Row],[Aplicación]],6,2)</f>
        <v>11</v>
      </c>
      <c r="T1895" s="35" t="str">
        <f>VLOOKUP(Tabla1[[#This Row],[AREA]],Hoja1!A:B,2,FALSE)</f>
        <v>11. Salud pública y seguridad ciudadana</v>
      </c>
      <c r="U1895" s="35" t="str">
        <f>MID(Tabla1[[#This Row],[Aplicación]],9,4)</f>
        <v>1361</v>
      </c>
      <c r="V1895" s="35" t="str">
        <f>VLOOKUP(Tabla1[[#This Row],[PROGRAMA]],Hoja1!A:B,2,FALSE)</f>
        <v>1361. Prevención y extinción de incencios</v>
      </c>
      <c r="W1895" s="35" t="str">
        <f>MID(Tabla1[[#This Row],[Aplicación]],14,2)</f>
        <v>22</v>
      </c>
      <c r="X1895" s="35" t="str">
        <f>MID(Tabla1[[#This Row],[Aplicación]],14,6)</f>
        <v>22199</v>
      </c>
    </row>
    <row r="1896" spans="1:24" x14ac:dyDescent="0.25">
      <c r="A1896" s="49">
        <v>220220010094</v>
      </c>
      <c r="B1896" s="50" t="s">
        <v>172</v>
      </c>
      <c r="C1896" s="57">
        <v>44638</v>
      </c>
      <c r="D1896" s="49">
        <v>22022001641</v>
      </c>
      <c r="E1896" s="50" t="s">
        <v>2034</v>
      </c>
      <c r="F1896" s="58">
        <v>458.25</v>
      </c>
      <c r="G1896" s="50" t="s">
        <v>198</v>
      </c>
      <c r="H1896" s="50" t="s">
        <v>3290</v>
      </c>
      <c r="I1896" s="49" t="s">
        <v>173</v>
      </c>
      <c r="J1896" s="50" t="s">
        <v>576</v>
      </c>
      <c r="K1896" s="50" t="s">
        <v>141</v>
      </c>
      <c r="L1896" s="50" t="s">
        <v>15</v>
      </c>
      <c r="M1896" s="50" t="s">
        <v>13</v>
      </c>
      <c r="N1896" s="50" t="s">
        <v>16</v>
      </c>
      <c r="O1896" s="48" t="s">
        <v>631</v>
      </c>
      <c r="P1896" s="45" t="s">
        <v>453</v>
      </c>
      <c r="Q1896" s="35" t="str">
        <f>MID(Tabla1[[#This Row],[Aplicación]],14,1)</f>
        <v>2</v>
      </c>
      <c r="R1896" s="35" t="s">
        <v>441</v>
      </c>
      <c r="S1896" s="35" t="str">
        <f>MID(Tabla1[[#This Row],[Aplicación]],6,2)</f>
        <v>06</v>
      </c>
      <c r="T1896" s="35" t="str">
        <f>VLOOKUP(Tabla1[[#This Row],[AREA]],Hoja1!A:B,2,FALSE)</f>
        <v>06. Educación, infancia, juventud e igualdad</v>
      </c>
      <c r="U1896" s="35" t="str">
        <f>MID(Tabla1[[#This Row],[Aplicación]],9,4)</f>
        <v>3232</v>
      </c>
      <c r="V1896" s="35" t="str">
        <f>VLOOKUP(Tabla1[[#This Row],[PROGRAMA]],Hoja1!A:B,2,FALSE)</f>
        <v>3232. Conservación y mantenimiento centros educación infantil y primaria</v>
      </c>
      <c r="W1896" s="35" t="str">
        <f>MID(Tabla1[[#This Row],[Aplicación]],14,2)</f>
        <v>21</v>
      </c>
      <c r="X1896" s="35" t="str">
        <f>MID(Tabla1[[#This Row],[Aplicación]],14,6)</f>
        <v>212</v>
      </c>
    </row>
    <row r="1897" spans="1:24" x14ac:dyDescent="0.25">
      <c r="A1897" s="49">
        <v>220220003189</v>
      </c>
      <c r="B1897" s="50" t="s">
        <v>172</v>
      </c>
      <c r="C1897" s="57">
        <v>44601</v>
      </c>
      <c r="D1897" s="49">
        <v>22022001641</v>
      </c>
      <c r="E1897" s="50" t="s">
        <v>2034</v>
      </c>
      <c r="F1897" s="58">
        <v>394.68</v>
      </c>
      <c r="G1897" s="50" t="s">
        <v>198</v>
      </c>
      <c r="H1897" s="50" t="s">
        <v>3291</v>
      </c>
      <c r="I1897" s="49" t="s">
        <v>173</v>
      </c>
      <c r="J1897" s="50" t="s">
        <v>576</v>
      </c>
      <c r="K1897" s="50" t="s">
        <v>141</v>
      </c>
      <c r="L1897" s="50" t="s">
        <v>15</v>
      </c>
      <c r="M1897" s="50" t="s">
        <v>13</v>
      </c>
      <c r="N1897" s="50" t="s">
        <v>16</v>
      </c>
      <c r="O1897" s="48" t="s">
        <v>631</v>
      </c>
      <c r="P1897" s="45" t="s">
        <v>453</v>
      </c>
      <c r="Q1897" s="35" t="str">
        <f>MID(Tabla1[[#This Row],[Aplicación]],14,1)</f>
        <v>2</v>
      </c>
      <c r="R1897" s="35" t="s">
        <v>441</v>
      </c>
      <c r="S1897" s="35" t="str">
        <f>MID(Tabla1[[#This Row],[Aplicación]],6,2)</f>
        <v>06</v>
      </c>
      <c r="T1897" s="35" t="str">
        <f>VLOOKUP(Tabla1[[#This Row],[AREA]],Hoja1!A:B,2,FALSE)</f>
        <v>06. Educación, infancia, juventud e igualdad</v>
      </c>
      <c r="U1897" s="35" t="str">
        <f>MID(Tabla1[[#This Row],[Aplicación]],9,4)</f>
        <v>3232</v>
      </c>
      <c r="V1897" s="35" t="str">
        <f>VLOOKUP(Tabla1[[#This Row],[PROGRAMA]],Hoja1!A:B,2,FALSE)</f>
        <v>3232. Conservación y mantenimiento centros educación infantil y primaria</v>
      </c>
      <c r="W1897" s="35" t="str">
        <f>MID(Tabla1[[#This Row],[Aplicación]],14,2)</f>
        <v>21</v>
      </c>
      <c r="X1897" s="35" t="str">
        <f>MID(Tabla1[[#This Row],[Aplicación]],14,6)</f>
        <v>212</v>
      </c>
    </row>
    <row r="1898" spans="1:24" x14ac:dyDescent="0.25">
      <c r="A1898" s="49">
        <v>220220005526</v>
      </c>
      <c r="B1898" s="50" t="s">
        <v>172</v>
      </c>
      <c r="C1898" s="57">
        <v>44614</v>
      </c>
      <c r="D1898" s="49">
        <v>22022001179</v>
      </c>
      <c r="E1898" s="50" t="s">
        <v>1653</v>
      </c>
      <c r="F1898" s="58">
        <v>315.70999999999998</v>
      </c>
      <c r="G1898" s="50" t="s">
        <v>198</v>
      </c>
      <c r="H1898" s="50" t="s">
        <v>3292</v>
      </c>
      <c r="I1898" s="49" t="s">
        <v>173</v>
      </c>
      <c r="J1898" s="50" t="s">
        <v>576</v>
      </c>
      <c r="K1898" s="50" t="s">
        <v>141</v>
      </c>
      <c r="L1898" s="50" t="s">
        <v>15</v>
      </c>
      <c r="M1898" s="50" t="s">
        <v>13</v>
      </c>
      <c r="N1898" s="50" t="s">
        <v>14</v>
      </c>
      <c r="O1898" s="48" t="s">
        <v>631</v>
      </c>
      <c r="P1898" s="45" t="s">
        <v>453</v>
      </c>
      <c r="Q1898" s="35" t="str">
        <f>MID(Tabla1[[#This Row],[Aplicación]],14,1)</f>
        <v>2</v>
      </c>
      <c r="R1898" s="35" t="s">
        <v>441</v>
      </c>
      <c r="S1898" s="35" t="str">
        <f>MID(Tabla1[[#This Row],[Aplicación]],6,2)</f>
        <v>10</v>
      </c>
      <c r="T1898" s="35" t="str">
        <f>VLOOKUP(Tabla1[[#This Row],[AREA]],Hoja1!A:B,2,FALSE)</f>
        <v>10. Servicios sociales y mediación comunitaria</v>
      </c>
      <c r="U1898" s="35" t="str">
        <f>MID(Tabla1[[#This Row],[Aplicación]],9,4)</f>
        <v>2311</v>
      </c>
      <c r="V1898" s="35" t="str">
        <f>VLOOKUP(Tabla1[[#This Row],[PROGRAMA]],Hoja1!A:B,2,FALSE)</f>
        <v>2311. Intervención social</v>
      </c>
      <c r="W1898" s="35" t="str">
        <f>MID(Tabla1[[#This Row],[Aplicación]],14,2)</f>
        <v>21</v>
      </c>
      <c r="X1898" s="35" t="str">
        <f>MID(Tabla1[[#This Row],[Aplicación]],14,6)</f>
        <v>212</v>
      </c>
    </row>
    <row r="1899" spans="1:24" x14ac:dyDescent="0.25">
      <c r="A1899" s="49">
        <v>220220004129</v>
      </c>
      <c r="B1899" s="50" t="s">
        <v>172</v>
      </c>
      <c r="C1899" s="57">
        <v>44610</v>
      </c>
      <c r="D1899" s="49">
        <v>22022001456</v>
      </c>
      <c r="E1899" s="50" t="s">
        <v>2012</v>
      </c>
      <c r="F1899" s="58">
        <v>308.88</v>
      </c>
      <c r="G1899" s="50" t="s">
        <v>198</v>
      </c>
      <c r="H1899" s="50" t="s">
        <v>3293</v>
      </c>
      <c r="I1899" s="49" t="s">
        <v>173</v>
      </c>
      <c r="J1899" s="50" t="s">
        <v>576</v>
      </c>
      <c r="K1899" s="50" t="s">
        <v>141</v>
      </c>
      <c r="L1899" s="50" t="s">
        <v>15</v>
      </c>
      <c r="M1899" s="50" t="s">
        <v>13</v>
      </c>
      <c r="N1899" s="50" t="s">
        <v>14</v>
      </c>
      <c r="O1899" s="48" t="s">
        <v>631</v>
      </c>
      <c r="P1899" s="45" t="s">
        <v>453</v>
      </c>
      <c r="Q1899" s="35" t="str">
        <f>MID(Tabla1[[#This Row],[Aplicación]],14,1)</f>
        <v>2</v>
      </c>
      <c r="R1899" s="35" t="s">
        <v>441</v>
      </c>
      <c r="S1899" s="35" t="str">
        <f>MID(Tabla1[[#This Row],[Aplicación]],6,2)</f>
        <v>11</v>
      </c>
      <c r="T1899" s="35" t="str">
        <f>VLOOKUP(Tabla1[[#This Row],[AREA]],Hoja1!A:B,2,FALSE)</f>
        <v>11. Salud pública y seguridad ciudadana</v>
      </c>
      <c r="U1899" s="35" t="str">
        <f>MID(Tabla1[[#This Row],[Aplicación]],9,4)</f>
        <v>1321</v>
      </c>
      <c r="V1899" s="35" t="str">
        <f>VLOOKUP(Tabla1[[#This Row],[PROGRAMA]],Hoja1!A:B,2,FALSE)</f>
        <v>1321. Policía municipal</v>
      </c>
      <c r="W1899" s="35" t="str">
        <f>MID(Tabla1[[#This Row],[Aplicación]],14,2)</f>
        <v>22</v>
      </c>
      <c r="X1899" s="35" t="str">
        <f>MID(Tabla1[[#This Row],[Aplicación]],14,6)</f>
        <v>22199</v>
      </c>
    </row>
    <row r="1900" spans="1:24" x14ac:dyDescent="0.25">
      <c r="A1900" s="49">
        <v>220220001756</v>
      </c>
      <c r="B1900" s="50" t="s">
        <v>172</v>
      </c>
      <c r="C1900" s="57">
        <v>44588</v>
      </c>
      <c r="D1900" s="49">
        <v>22022001640</v>
      </c>
      <c r="E1900" s="50" t="s">
        <v>1719</v>
      </c>
      <c r="F1900" s="58">
        <v>291.45</v>
      </c>
      <c r="G1900" s="50" t="s">
        <v>198</v>
      </c>
      <c r="H1900" s="50" t="s">
        <v>3294</v>
      </c>
      <c r="I1900" s="49" t="s">
        <v>173</v>
      </c>
      <c r="J1900" s="50" t="s">
        <v>576</v>
      </c>
      <c r="K1900" s="50" t="s">
        <v>141</v>
      </c>
      <c r="L1900" s="50" t="s">
        <v>15</v>
      </c>
      <c r="M1900" s="50" t="s">
        <v>13</v>
      </c>
      <c r="N1900" s="50" t="s">
        <v>16</v>
      </c>
      <c r="O1900" s="48" t="s">
        <v>631</v>
      </c>
      <c r="P1900" s="45" t="s">
        <v>453</v>
      </c>
      <c r="Q1900" s="35" t="str">
        <f>MID(Tabla1[[#This Row],[Aplicación]],14,1)</f>
        <v>2</v>
      </c>
      <c r="R1900" s="35" t="s">
        <v>441</v>
      </c>
      <c r="S1900" s="35" t="str">
        <f>MID(Tabla1[[#This Row],[Aplicación]],6,2)</f>
        <v>06</v>
      </c>
      <c r="T1900" s="35" t="str">
        <f>VLOOKUP(Tabla1[[#This Row],[AREA]],Hoja1!A:B,2,FALSE)</f>
        <v>06. Educación, infancia, juventud e igualdad</v>
      </c>
      <c r="U1900" s="35" t="str">
        <f>MID(Tabla1[[#This Row],[Aplicación]],9,4)</f>
        <v>3231</v>
      </c>
      <c r="V1900" s="35" t="str">
        <f>VLOOKUP(Tabla1[[#This Row],[PROGRAMA]],Hoja1!A:B,2,FALSE)</f>
        <v>3231. Escuelas infantiles</v>
      </c>
      <c r="W1900" s="35" t="str">
        <f>MID(Tabla1[[#This Row],[Aplicación]],14,2)</f>
        <v>21</v>
      </c>
      <c r="X1900" s="35" t="str">
        <f>MID(Tabla1[[#This Row],[Aplicación]],14,6)</f>
        <v>212</v>
      </c>
    </row>
    <row r="1901" spans="1:24" x14ac:dyDescent="0.25">
      <c r="A1901" s="49">
        <v>220220002404</v>
      </c>
      <c r="B1901" s="50" t="s">
        <v>172</v>
      </c>
      <c r="C1901" s="57">
        <v>44594</v>
      </c>
      <c r="D1901" s="49">
        <v>22022001184</v>
      </c>
      <c r="E1901" s="50" t="s">
        <v>2020</v>
      </c>
      <c r="F1901" s="58">
        <v>247.97</v>
      </c>
      <c r="G1901" s="50" t="s">
        <v>198</v>
      </c>
      <c r="H1901" s="50" t="s">
        <v>3295</v>
      </c>
      <c r="I1901" s="49" t="s">
        <v>173</v>
      </c>
      <c r="J1901" s="50" t="s">
        <v>576</v>
      </c>
      <c r="K1901" s="50" t="s">
        <v>141</v>
      </c>
      <c r="L1901" s="50" t="s">
        <v>15</v>
      </c>
      <c r="M1901" s="50" t="s">
        <v>13</v>
      </c>
      <c r="N1901" s="50" t="s">
        <v>14</v>
      </c>
      <c r="O1901" s="48" t="s">
        <v>631</v>
      </c>
      <c r="P1901" s="45" t="s">
        <v>453</v>
      </c>
      <c r="Q1901" s="35" t="str">
        <f>MID(Tabla1[[#This Row],[Aplicación]],14,1)</f>
        <v>2</v>
      </c>
      <c r="R1901" s="35" t="s">
        <v>441</v>
      </c>
      <c r="S1901" s="35" t="str">
        <f>MID(Tabla1[[#This Row],[Aplicación]],6,2)</f>
        <v>10</v>
      </c>
      <c r="T1901" s="35" t="str">
        <f>VLOOKUP(Tabla1[[#This Row],[AREA]],Hoja1!A:B,2,FALSE)</f>
        <v>10. Servicios sociales y mediación comunitaria</v>
      </c>
      <c r="U1901" s="35" t="str">
        <f>MID(Tabla1[[#This Row],[Aplicación]],9,4)</f>
        <v>2312</v>
      </c>
      <c r="V1901" s="35" t="str">
        <f>VLOOKUP(Tabla1[[#This Row],[PROGRAMA]],Hoja1!A:B,2,FALSE)</f>
        <v>2312. Iniciativas sociales</v>
      </c>
      <c r="W1901" s="35" t="str">
        <f>MID(Tabla1[[#This Row],[Aplicación]],14,2)</f>
        <v>21</v>
      </c>
      <c r="X1901" s="35" t="str">
        <f>MID(Tabla1[[#This Row],[Aplicación]],14,6)</f>
        <v>212</v>
      </c>
    </row>
    <row r="1902" spans="1:24" x14ac:dyDescent="0.25">
      <c r="A1902" s="49">
        <v>220220007073</v>
      </c>
      <c r="B1902" s="50" t="s">
        <v>172</v>
      </c>
      <c r="C1902" s="57">
        <v>44623</v>
      </c>
      <c r="D1902" s="49">
        <v>22022001650</v>
      </c>
      <c r="E1902" s="50" t="s">
        <v>2036</v>
      </c>
      <c r="F1902" s="58">
        <v>236.48</v>
      </c>
      <c r="G1902" s="50" t="s">
        <v>198</v>
      </c>
      <c r="H1902" s="50" t="s">
        <v>3296</v>
      </c>
      <c r="I1902" s="49" t="s">
        <v>173</v>
      </c>
      <c r="J1902" s="50" t="s">
        <v>576</v>
      </c>
      <c r="K1902" s="50" t="s">
        <v>141</v>
      </c>
      <c r="L1902" s="50" t="s">
        <v>15</v>
      </c>
      <c r="M1902" s="50" t="s">
        <v>13</v>
      </c>
      <c r="N1902" s="50" t="s">
        <v>14</v>
      </c>
      <c r="O1902" s="48" t="s">
        <v>631</v>
      </c>
      <c r="P1902" s="45" t="s">
        <v>453</v>
      </c>
      <c r="Q1902" s="35" t="str">
        <f>MID(Tabla1[[#This Row],[Aplicación]],14,1)</f>
        <v>2</v>
      </c>
      <c r="R1902" s="35" t="s">
        <v>441</v>
      </c>
      <c r="S1902" s="35" t="str">
        <f>MID(Tabla1[[#This Row],[Aplicación]],6,2)</f>
        <v>11</v>
      </c>
      <c r="T1902" s="35" t="str">
        <f>VLOOKUP(Tabla1[[#This Row],[AREA]],Hoja1!A:B,2,FALSE)</f>
        <v>11. Salud pública y seguridad ciudadana</v>
      </c>
      <c r="U1902" s="35" t="str">
        <f>MID(Tabla1[[#This Row],[Aplicación]],9,4)</f>
        <v>3111</v>
      </c>
      <c r="V1902" s="35" t="str">
        <f>VLOOKUP(Tabla1[[#This Row],[PROGRAMA]],Hoja1!A:B,2,FALSE)</f>
        <v>3111. Protección de la salubridad pública</v>
      </c>
      <c r="W1902" s="35" t="str">
        <f>MID(Tabla1[[#This Row],[Aplicación]],14,2)</f>
        <v>22</v>
      </c>
      <c r="X1902" s="35" t="str">
        <f>MID(Tabla1[[#This Row],[Aplicación]],14,6)</f>
        <v>22199</v>
      </c>
    </row>
    <row r="1903" spans="1:24" x14ac:dyDescent="0.25">
      <c r="A1903" s="49">
        <v>220220007204</v>
      </c>
      <c r="B1903" s="50" t="s">
        <v>172</v>
      </c>
      <c r="C1903" s="57">
        <v>44623</v>
      </c>
      <c r="D1903" s="49">
        <v>22022001626</v>
      </c>
      <c r="E1903" s="50" t="s">
        <v>1635</v>
      </c>
      <c r="F1903" s="58">
        <v>184.33</v>
      </c>
      <c r="G1903" s="50" t="s">
        <v>198</v>
      </c>
      <c r="H1903" s="50" t="s">
        <v>3297</v>
      </c>
      <c r="I1903" s="49" t="s">
        <v>173</v>
      </c>
      <c r="J1903" s="50" t="s">
        <v>576</v>
      </c>
      <c r="K1903" s="50" t="s">
        <v>141</v>
      </c>
      <c r="L1903" s="50" t="s">
        <v>15</v>
      </c>
      <c r="M1903" s="50" t="s">
        <v>13</v>
      </c>
      <c r="N1903" s="50" t="s">
        <v>16</v>
      </c>
      <c r="O1903" s="48" t="s">
        <v>631</v>
      </c>
      <c r="P1903" s="45" t="s">
        <v>453</v>
      </c>
      <c r="Q1903" s="35" t="str">
        <f>MID(Tabla1[[#This Row],[Aplicación]],14,1)</f>
        <v>2</v>
      </c>
      <c r="R1903" s="35" t="s">
        <v>441</v>
      </c>
      <c r="S1903" s="35" t="str">
        <f>MID(Tabla1[[#This Row],[Aplicación]],6,2)</f>
        <v>03</v>
      </c>
      <c r="T1903" s="35" t="str">
        <f>VLOOKUP(Tabla1[[#This Row],[AREA]],Hoja1!A:B,2,FALSE)</f>
        <v>03. Participación ciudadana y deportes</v>
      </c>
      <c r="U1903" s="35" t="str">
        <f>MID(Tabla1[[#This Row],[Aplicación]],9,4)</f>
        <v>9241</v>
      </c>
      <c r="V1903" s="35" t="str">
        <f>VLOOKUP(Tabla1[[#This Row],[PROGRAMA]],Hoja1!A:B,2,FALSE)</f>
        <v>9241. Participación ciudadana</v>
      </c>
      <c r="W1903" s="35" t="str">
        <f>MID(Tabla1[[#This Row],[Aplicación]],14,2)</f>
        <v>21</v>
      </c>
      <c r="X1903" s="35" t="str">
        <f>MID(Tabla1[[#This Row],[Aplicación]],14,6)</f>
        <v>212</v>
      </c>
    </row>
    <row r="1904" spans="1:24" x14ac:dyDescent="0.25">
      <c r="A1904" s="49">
        <v>220220012667</v>
      </c>
      <c r="B1904" s="50" t="s">
        <v>172</v>
      </c>
      <c r="C1904" s="57">
        <v>44644</v>
      </c>
      <c r="D1904" s="49">
        <v>22022001640</v>
      </c>
      <c r="E1904" s="50" t="s">
        <v>1719</v>
      </c>
      <c r="F1904" s="58">
        <v>171.58</v>
      </c>
      <c r="G1904" s="50" t="s">
        <v>198</v>
      </c>
      <c r="H1904" s="50" t="s">
        <v>3298</v>
      </c>
      <c r="I1904" s="49" t="s">
        <v>173</v>
      </c>
      <c r="J1904" s="50" t="s">
        <v>576</v>
      </c>
      <c r="K1904" s="50" t="s">
        <v>141</v>
      </c>
      <c r="L1904" s="50" t="s">
        <v>15</v>
      </c>
      <c r="M1904" s="50" t="s">
        <v>13</v>
      </c>
      <c r="N1904" s="50" t="s">
        <v>16</v>
      </c>
      <c r="O1904" s="48" t="s">
        <v>631</v>
      </c>
      <c r="P1904" s="45" t="s">
        <v>453</v>
      </c>
      <c r="Q1904" s="35" t="str">
        <f>MID(Tabla1[[#This Row],[Aplicación]],14,1)</f>
        <v>2</v>
      </c>
      <c r="R1904" s="35" t="s">
        <v>441</v>
      </c>
      <c r="S1904" s="35" t="str">
        <f>MID(Tabla1[[#This Row],[Aplicación]],6,2)</f>
        <v>06</v>
      </c>
      <c r="T1904" s="35" t="str">
        <f>VLOOKUP(Tabla1[[#This Row],[AREA]],Hoja1!A:B,2,FALSE)</f>
        <v>06. Educación, infancia, juventud e igualdad</v>
      </c>
      <c r="U1904" s="35" t="str">
        <f>MID(Tabla1[[#This Row],[Aplicación]],9,4)</f>
        <v>3231</v>
      </c>
      <c r="V1904" s="35" t="str">
        <f>VLOOKUP(Tabla1[[#This Row],[PROGRAMA]],Hoja1!A:B,2,FALSE)</f>
        <v>3231. Escuelas infantiles</v>
      </c>
      <c r="W1904" s="35" t="str">
        <f>MID(Tabla1[[#This Row],[Aplicación]],14,2)</f>
        <v>21</v>
      </c>
      <c r="X1904" s="35" t="str">
        <f>MID(Tabla1[[#This Row],[Aplicación]],14,6)</f>
        <v>212</v>
      </c>
    </row>
    <row r="1905" spans="1:24" x14ac:dyDescent="0.25">
      <c r="A1905" s="49">
        <v>220220012708</v>
      </c>
      <c r="B1905" s="50" t="s">
        <v>172</v>
      </c>
      <c r="C1905" s="57">
        <v>44644</v>
      </c>
      <c r="D1905" s="49">
        <v>22022001641</v>
      </c>
      <c r="E1905" s="50" t="s">
        <v>2034</v>
      </c>
      <c r="F1905" s="58">
        <v>160.52000000000001</v>
      </c>
      <c r="G1905" s="50" t="s">
        <v>198</v>
      </c>
      <c r="H1905" s="50" t="s">
        <v>3299</v>
      </c>
      <c r="I1905" s="49" t="s">
        <v>173</v>
      </c>
      <c r="J1905" s="50" t="s">
        <v>576</v>
      </c>
      <c r="K1905" s="50" t="s">
        <v>141</v>
      </c>
      <c r="L1905" s="50" t="s">
        <v>15</v>
      </c>
      <c r="M1905" s="50" t="s">
        <v>13</v>
      </c>
      <c r="N1905" s="50" t="s">
        <v>16</v>
      </c>
      <c r="O1905" s="48" t="s">
        <v>631</v>
      </c>
      <c r="P1905" s="45" t="s">
        <v>453</v>
      </c>
      <c r="Q1905" s="35" t="str">
        <f>MID(Tabla1[[#This Row],[Aplicación]],14,1)</f>
        <v>2</v>
      </c>
      <c r="R1905" s="35" t="s">
        <v>441</v>
      </c>
      <c r="S1905" s="35" t="str">
        <f>MID(Tabla1[[#This Row],[Aplicación]],6,2)</f>
        <v>06</v>
      </c>
      <c r="T1905" s="35" t="str">
        <f>VLOOKUP(Tabla1[[#This Row],[AREA]],Hoja1!A:B,2,FALSE)</f>
        <v>06. Educación, infancia, juventud e igualdad</v>
      </c>
      <c r="U1905" s="35" t="str">
        <f>MID(Tabla1[[#This Row],[Aplicación]],9,4)</f>
        <v>3232</v>
      </c>
      <c r="V1905" s="35" t="str">
        <f>VLOOKUP(Tabla1[[#This Row],[PROGRAMA]],Hoja1!A:B,2,FALSE)</f>
        <v>3232. Conservación y mantenimiento centros educación infantil y primaria</v>
      </c>
      <c r="W1905" s="35" t="str">
        <f>MID(Tabla1[[#This Row],[Aplicación]],14,2)</f>
        <v>21</v>
      </c>
      <c r="X1905" s="35" t="str">
        <f>MID(Tabla1[[#This Row],[Aplicación]],14,6)</f>
        <v>212</v>
      </c>
    </row>
    <row r="1906" spans="1:24" x14ac:dyDescent="0.25">
      <c r="A1906" s="49">
        <v>220220002474</v>
      </c>
      <c r="B1906" s="50" t="s">
        <v>172</v>
      </c>
      <c r="C1906" s="57">
        <v>44594</v>
      </c>
      <c r="D1906" s="49">
        <v>22022001626</v>
      </c>
      <c r="E1906" s="50" t="s">
        <v>1635</v>
      </c>
      <c r="F1906" s="58">
        <v>156.83000000000001</v>
      </c>
      <c r="G1906" s="50" t="s">
        <v>198</v>
      </c>
      <c r="H1906" s="50" t="s">
        <v>3300</v>
      </c>
      <c r="I1906" s="49" t="s">
        <v>173</v>
      </c>
      <c r="J1906" s="50" t="s">
        <v>576</v>
      </c>
      <c r="K1906" s="50" t="s">
        <v>141</v>
      </c>
      <c r="L1906" s="50" t="s">
        <v>15</v>
      </c>
      <c r="M1906" s="50" t="s">
        <v>13</v>
      </c>
      <c r="N1906" s="50" t="s">
        <v>16</v>
      </c>
      <c r="O1906" s="48" t="s">
        <v>631</v>
      </c>
      <c r="P1906" s="45" t="s">
        <v>453</v>
      </c>
      <c r="Q1906" s="35" t="str">
        <f>MID(Tabla1[[#This Row],[Aplicación]],14,1)</f>
        <v>2</v>
      </c>
      <c r="R1906" s="35" t="s">
        <v>441</v>
      </c>
      <c r="S1906" s="35" t="str">
        <f>MID(Tabla1[[#This Row],[Aplicación]],6,2)</f>
        <v>03</v>
      </c>
      <c r="T1906" s="35" t="str">
        <f>VLOOKUP(Tabla1[[#This Row],[AREA]],Hoja1!A:B,2,FALSE)</f>
        <v>03. Participación ciudadana y deportes</v>
      </c>
      <c r="U1906" s="35" t="str">
        <f>MID(Tabla1[[#This Row],[Aplicación]],9,4)</f>
        <v>9241</v>
      </c>
      <c r="V1906" s="35" t="str">
        <f>VLOOKUP(Tabla1[[#This Row],[PROGRAMA]],Hoja1!A:B,2,FALSE)</f>
        <v>9241. Participación ciudadana</v>
      </c>
      <c r="W1906" s="35" t="str">
        <f>MID(Tabla1[[#This Row],[Aplicación]],14,2)</f>
        <v>21</v>
      </c>
      <c r="X1906" s="35" t="str">
        <f>MID(Tabla1[[#This Row],[Aplicación]],14,6)</f>
        <v>212</v>
      </c>
    </row>
    <row r="1907" spans="1:24" x14ac:dyDescent="0.25">
      <c r="A1907" s="49">
        <v>220220013254</v>
      </c>
      <c r="B1907" s="50" t="s">
        <v>172</v>
      </c>
      <c r="C1907" s="57">
        <v>44650</v>
      </c>
      <c r="D1907" s="49">
        <v>22022002362</v>
      </c>
      <c r="E1907" s="50" t="s">
        <v>3301</v>
      </c>
      <c r="F1907" s="58">
        <v>149.91999999999999</v>
      </c>
      <c r="G1907" s="50" t="s">
        <v>198</v>
      </c>
      <c r="H1907" s="50" t="s">
        <v>3302</v>
      </c>
      <c r="I1907" s="49" t="s">
        <v>173</v>
      </c>
      <c r="J1907" s="50" t="s">
        <v>576</v>
      </c>
      <c r="K1907" s="50" t="s">
        <v>141</v>
      </c>
      <c r="L1907" s="50" t="s">
        <v>15</v>
      </c>
      <c r="M1907" s="50" t="s">
        <v>13</v>
      </c>
      <c r="N1907" s="50" t="s">
        <v>14</v>
      </c>
      <c r="O1907" s="48" t="s">
        <v>631</v>
      </c>
      <c r="P1907" s="45" t="s">
        <v>453</v>
      </c>
      <c r="Q1907" s="35" t="str">
        <f>MID(Tabla1[[#This Row],[Aplicación]],14,1)</f>
        <v>2</v>
      </c>
      <c r="R1907" s="35" t="s">
        <v>441</v>
      </c>
      <c r="S1907" s="35" t="str">
        <f>MID(Tabla1[[#This Row],[Aplicación]],6,2)</f>
        <v>07</v>
      </c>
      <c r="T1907" s="35" t="str">
        <f>VLOOKUP(Tabla1[[#This Row],[AREA]],Hoja1!A:B,2,FALSE)</f>
        <v>07. Medio ambiente y desarrollo sostenible</v>
      </c>
      <c r="U1907" s="35" t="str">
        <f>MID(Tabla1[[#This Row],[Aplicación]],9,4)</f>
        <v>1721</v>
      </c>
      <c r="V1907" s="35" t="str">
        <f>VLOOKUP(Tabla1[[#This Row],[PROGRAMA]],Hoja1!A:B,2,FALSE)</f>
        <v>1721. Protección del medio ambiente</v>
      </c>
      <c r="W1907" s="35" t="str">
        <f>MID(Tabla1[[#This Row],[Aplicación]],14,2)</f>
        <v>22</v>
      </c>
      <c r="X1907" s="35" t="str">
        <f>MID(Tabla1[[#This Row],[Aplicación]],14,6)</f>
        <v>22104</v>
      </c>
    </row>
    <row r="1908" spans="1:24" x14ac:dyDescent="0.25">
      <c r="A1908" s="49">
        <v>220220006874</v>
      </c>
      <c r="B1908" s="50" t="s">
        <v>172</v>
      </c>
      <c r="C1908" s="57">
        <v>44622</v>
      </c>
      <c r="D1908" s="49">
        <v>22022000030</v>
      </c>
      <c r="E1908" s="50" t="s">
        <v>2007</v>
      </c>
      <c r="F1908" s="58">
        <v>148.97999999999999</v>
      </c>
      <c r="G1908" s="50" t="s">
        <v>198</v>
      </c>
      <c r="H1908" s="50" t="s">
        <v>3303</v>
      </c>
      <c r="I1908" s="49" t="s">
        <v>173</v>
      </c>
      <c r="J1908" s="50" t="s">
        <v>576</v>
      </c>
      <c r="K1908" s="50" t="s">
        <v>141</v>
      </c>
      <c r="L1908" s="50" t="s">
        <v>15</v>
      </c>
      <c r="M1908" s="50" t="s">
        <v>13</v>
      </c>
      <c r="N1908" s="50" t="s">
        <v>14</v>
      </c>
      <c r="O1908" s="48" t="s">
        <v>631</v>
      </c>
      <c r="P1908" s="45" t="s">
        <v>453</v>
      </c>
      <c r="Q1908" s="35" t="str">
        <f>MID(Tabla1[[#This Row],[Aplicación]],14,1)</f>
        <v>2</v>
      </c>
      <c r="R1908" s="35" t="s">
        <v>441</v>
      </c>
      <c r="S1908" s="35" t="str">
        <f>MID(Tabla1[[#This Row],[Aplicación]],6,2)</f>
        <v>11</v>
      </c>
      <c r="T1908" s="35" t="str">
        <f>VLOOKUP(Tabla1[[#This Row],[AREA]],Hoja1!A:B,2,FALSE)</f>
        <v>11. Salud pública y seguridad ciudadana</v>
      </c>
      <c r="U1908" s="35" t="str">
        <f>MID(Tabla1[[#This Row],[Aplicación]],9,4)</f>
        <v>1621</v>
      </c>
      <c r="V1908" s="35" t="str">
        <f>VLOOKUP(Tabla1[[#This Row],[PROGRAMA]],Hoja1!A:B,2,FALSE)</f>
        <v>1621. Servicio de limpieza</v>
      </c>
      <c r="W1908" s="35" t="str">
        <f>MID(Tabla1[[#This Row],[Aplicación]],14,2)</f>
        <v>22</v>
      </c>
      <c r="X1908" s="35" t="str">
        <f>MID(Tabla1[[#This Row],[Aplicación]],14,6)</f>
        <v>22199</v>
      </c>
    </row>
    <row r="1909" spans="1:24" x14ac:dyDescent="0.25">
      <c r="A1909" s="49">
        <v>220220007185</v>
      </c>
      <c r="B1909" s="50" t="s">
        <v>172</v>
      </c>
      <c r="C1909" s="57">
        <v>44623</v>
      </c>
      <c r="D1909" s="49">
        <v>22022001640</v>
      </c>
      <c r="E1909" s="50" t="s">
        <v>1719</v>
      </c>
      <c r="F1909" s="58">
        <v>133.93</v>
      </c>
      <c r="G1909" s="50" t="s">
        <v>198</v>
      </c>
      <c r="H1909" s="50" t="s">
        <v>3304</v>
      </c>
      <c r="I1909" s="49" t="s">
        <v>173</v>
      </c>
      <c r="J1909" s="50" t="s">
        <v>576</v>
      </c>
      <c r="K1909" s="50" t="s">
        <v>141</v>
      </c>
      <c r="L1909" s="50" t="s">
        <v>15</v>
      </c>
      <c r="M1909" s="50" t="s">
        <v>13</v>
      </c>
      <c r="N1909" s="50" t="s">
        <v>16</v>
      </c>
      <c r="O1909" s="48" t="s">
        <v>631</v>
      </c>
      <c r="P1909" s="45" t="s">
        <v>453</v>
      </c>
      <c r="Q1909" s="35" t="str">
        <f>MID(Tabla1[[#This Row],[Aplicación]],14,1)</f>
        <v>2</v>
      </c>
      <c r="R1909" s="35" t="s">
        <v>441</v>
      </c>
      <c r="S1909" s="35" t="str">
        <f>MID(Tabla1[[#This Row],[Aplicación]],6,2)</f>
        <v>06</v>
      </c>
      <c r="T1909" s="35" t="str">
        <f>VLOOKUP(Tabla1[[#This Row],[AREA]],Hoja1!A:B,2,FALSE)</f>
        <v>06. Educación, infancia, juventud e igualdad</v>
      </c>
      <c r="U1909" s="35" t="str">
        <f>MID(Tabla1[[#This Row],[Aplicación]],9,4)</f>
        <v>3231</v>
      </c>
      <c r="V1909" s="35" t="str">
        <f>VLOOKUP(Tabla1[[#This Row],[PROGRAMA]],Hoja1!A:B,2,FALSE)</f>
        <v>3231. Escuelas infantiles</v>
      </c>
      <c r="W1909" s="35" t="str">
        <f>MID(Tabla1[[#This Row],[Aplicación]],14,2)</f>
        <v>21</v>
      </c>
      <c r="X1909" s="35" t="str">
        <f>MID(Tabla1[[#This Row],[Aplicación]],14,6)</f>
        <v>212</v>
      </c>
    </row>
    <row r="1910" spans="1:24" x14ac:dyDescent="0.25">
      <c r="A1910" s="49">
        <v>220220002460</v>
      </c>
      <c r="B1910" s="50" t="s">
        <v>172</v>
      </c>
      <c r="C1910" s="57">
        <v>44594</v>
      </c>
      <c r="D1910" s="49">
        <v>22022001641</v>
      </c>
      <c r="E1910" s="50" t="s">
        <v>2034</v>
      </c>
      <c r="F1910" s="58">
        <v>130.97999999999999</v>
      </c>
      <c r="G1910" s="50" t="s">
        <v>198</v>
      </c>
      <c r="H1910" s="50" t="s">
        <v>3305</v>
      </c>
      <c r="I1910" s="49" t="s">
        <v>173</v>
      </c>
      <c r="J1910" s="50" t="s">
        <v>576</v>
      </c>
      <c r="K1910" s="50" t="s">
        <v>141</v>
      </c>
      <c r="L1910" s="50" t="s">
        <v>15</v>
      </c>
      <c r="M1910" s="50" t="s">
        <v>13</v>
      </c>
      <c r="N1910" s="50" t="s">
        <v>14</v>
      </c>
      <c r="O1910" s="48" t="s">
        <v>631</v>
      </c>
      <c r="P1910" s="45" t="s">
        <v>453</v>
      </c>
      <c r="Q1910" s="35" t="str">
        <f>MID(Tabla1[[#This Row],[Aplicación]],14,1)</f>
        <v>2</v>
      </c>
      <c r="R1910" s="35" t="s">
        <v>441</v>
      </c>
      <c r="S1910" s="35" t="str">
        <f>MID(Tabla1[[#This Row],[Aplicación]],6,2)</f>
        <v>06</v>
      </c>
      <c r="T1910" s="35" t="str">
        <f>VLOOKUP(Tabla1[[#This Row],[AREA]],Hoja1!A:B,2,FALSE)</f>
        <v>06. Educación, infancia, juventud e igualdad</v>
      </c>
      <c r="U1910" s="35" t="str">
        <f>MID(Tabla1[[#This Row],[Aplicación]],9,4)</f>
        <v>3232</v>
      </c>
      <c r="V1910" s="35" t="str">
        <f>VLOOKUP(Tabla1[[#This Row],[PROGRAMA]],Hoja1!A:B,2,FALSE)</f>
        <v>3232. Conservación y mantenimiento centros educación infantil y primaria</v>
      </c>
      <c r="W1910" s="35" t="str">
        <f>MID(Tabla1[[#This Row],[Aplicación]],14,2)</f>
        <v>21</v>
      </c>
      <c r="X1910" s="35" t="str">
        <f>MID(Tabla1[[#This Row],[Aplicación]],14,6)</f>
        <v>212</v>
      </c>
    </row>
    <row r="1911" spans="1:24" x14ac:dyDescent="0.25">
      <c r="A1911" s="49">
        <v>220220005545</v>
      </c>
      <c r="B1911" s="50" t="s">
        <v>172</v>
      </c>
      <c r="C1911" s="57">
        <v>44614</v>
      </c>
      <c r="D1911" s="49">
        <v>22022001456</v>
      </c>
      <c r="E1911" s="50" t="s">
        <v>2012</v>
      </c>
      <c r="F1911" s="58">
        <v>81.92</v>
      </c>
      <c r="G1911" s="50" t="s">
        <v>198</v>
      </c>
      <c r="H1911" s="50" t="s">
        <v>3306</v>
      </c>
      <c r="I1911" s="49" t="s">
        <v>173</v>
      </c>
      <c r="J1911" s="50" t="s">
        <v>576</v>
      </c>
      <c r="K1911" s="50" t="s">
        <v>141</v>
      </c>
      <c r="L1911" s="50" t="s">
        <v>15</v>
      </c>
      <c r="M1911" s="50" t="s">
        <v>13</v>
      </c>
      <c r="N1911" s="50" t="s">
        <v>14</v>
      </c>
      <c r="O1911" s="48" t="s">
        <v>631</v>
      </c>
      <c r="P1911" s="45" t="s">
        <v>453</v>
      </c>
      <c r="Q1911" s="35" t="str">
        <f>MID(Tabla1[[#This Row],[Aplicación]],14,1)</f>
        <v>2</v>
      </c>
      <c r="R1911" s="35" t="s">
        <v>441</v>
      </c>
      <c r="S1911" s="35" t="str">
        <f>MID(Tabla1[[#This Row],[Aplicación]],6,2)</f>
        <v>11</v>
      </c>
      <c r="T1911" s="35" t="str">
        <f>VLOOKUP(Tabla1[[#This Row],[AREA]],Hoja1!A:B,2,FALSE)</f>
        <v>11. Salud pública y seguridad ciudadana</v>
      </c>
      <c r="U1911" s="35" t="str">
        <f>MID(Tabla1[[#This Row],[Aplicación]],9,4)</f>
        <v>1321</v>
      </c>
      <c r="V1911" s="35" t="str">
        <f>VLOOKUP(Tabla1[[#This Row],[PROGRAMA]],Hoja1!A:B,2,FALSE)</f>
        <v>1321. Policía municipal</v>
      </c>
      <c r="W1911" s="35" t="str">
        <f>MID(Tabla1[[#This Row],[Aplicación]],14,2)</f>
        <v>22</v>
      </c>
      <c r="X1911" s="35" t="str">
        <f>MID(Tabla1[[#This Row],[Aplicación]],14,6)</f>
        <v>22199</v>
      </c>
    </row>
    <row r="1912" spans="1:24" x14ac:dyDescent="0.25">
      <c r="A1912" s="49">
        <v>220220008611</v>
      </c>
      <c r="B1912" s="50" t="s">
        <v>172</v>
      </c>
      <c r="C1912" s="57">
        <v>44631</v>
      </c>
      <c r="D1912" s="49">
        <v>22022001640</v>
      </c>
      <c r="E1912" s="50" t="s">
        <v>1719</v>
      </c>
      <c r="F1912" s="58">
        <v>77.22</v>
      </c>
      <c r="G1912" s="50" t="s">
        <v>198</v>
      </c>
      <c r="H1912" s="50" t="s">
        <v>3307</v>
      </c>
      <c r="I1912" s="49" t="s">
        <v>173</v>
      </c>
      <c r="J1912" s="50" t="s">
        <v>576</v>
      </c>
      <c r="K1912" s="50" t="s">
        <v>141</v>
      </c>
      <c r="L1912" s="50" t="s">
        <v>15</v>
      </c>
      <c r="M1912" s="50" t="s">
        <v>13</v>
      </c>
      <c r="N1912" s="50" t="s">
        <v>16</v>
      </c>
      <c r="O1912" s="48" t="s">
        <v>631</v>
      </c>
      <c r="P1912" s="45" t="s">
        <v>453</v>
      </c>
      <c r="Q1912" s="35" t="str">
        <f>MID(Tabla1[[#This Row],[Aplicación]],14,1)</f>
        <v>2</v>
      </c>
      <c r="R1912" s="35" t="s">
        <v>441</v>
      </c>
      <c r="S1912" s="35" t="str">
        <f>MID(Tabla1[[#This Row],[Aplicación]],6,2)</f>
        <v>06</v>
      </c>
      <c r="T1912" s="35" t="str">
        <f>VLOOKUP(Tabla1[[#This Row],[AREA]],Hoja1!A:B,2,FALSE)</f>
        <v>06. Educación, infancia, juventud e igualdad</v>
      </c>
      <c r="U1912" s="35" t="str">
        <f>MID(Tabla1[[#This Row],[Aplicación]],9,4)</f>
        <v>3231</v>
      </c>
      <c r="V1912" s="35" t="str">
        <f>VLOOKUP(Tabla1[[#This Row],[PROGRAMA]],Hoja1!A:B,2,FALSE)</f>
        <v>3231. Escuelas infantiles</v>
      </c>
      <c r="W1912" s="35" t="str">
        <f>MID(Tabla1[[#This Row],[Aplicación]],14,2)</f>
        <v>21</v>
      </c>
      <c r="X1912" s="35" t="str">
        <f>MID(Tabla1[[#This Row],[Aplicación]],14,6)</f>
        <v>212</v>
      </c>
    </row>
    <row r="1913" spans="1:24" x14ac:dyDescent="0.25">
      <c r="A1913" s="49">
        <v>220220012755</v>
      </c>
      <c r="B1913" s="50" t="s">
        <v>172</v>
      </c>
      <c r="C1913" s="57">
        <v>44644</v>
      </c>
      <c r="D1913" s="49">
        <v>22022001626</v>
      </c>
      <c r="E1913" s="50" t="s">
        <v>1635</v>
      </c>
      <c r="F1913" s="58">
        <v>73.180000000000007</v>
      </c>
      <c r="G1913" s="50" t="s">
        <v>198</v>
      </c>
      <c r="H1913" s="50" t="s">
        <v>3308</v>
      </c>
      <c r="I1913" s="49" t="s">
        <v>173</v>
      </c>
      <c r="J1913" s="50" t="s">
        <v>576</v>
      </c>
      <c r="K1913" s="50" t="s">
        <v>141</v>
      </c>
      <c r="L1913" s="50" t="s">
        <v>15</v>
      </c>
      <c r="M1913" s="50" t="s">
        <v>13</v>
      </c>
      <c r="N1913" s="50" t="s">
        <v>16</v>
      </c>
      <c r="O1913" s="48" t="s">
        <v>631</v>
      </c>
      <c r="P1913" s="45" t="s">
        <v>453</v>
      </c>
      <c r="Q1913" s="35" t="str">
        <f>MID(Tabla1[[#This Row],[Aplicación]],14,1)</f>
        <v>2</v>
      </c>
      <c r="R1913" s="35" t="s">
        <v>441</v>
      </c>
      <c r="S1913" s="35" t="str">
        <f>MID(Tabla1[[#This Row],[Aplicación]],6,2)</f>
        <v>03</v>
      </c>
      <c r="T1913" s="35" t="str">
        <f>VLOOKUP(Tabla1[[#This Row],[AREA]],Hoja1!A:B,2,FALSE)</f>
        <v>03. Participación ciudadana y deportes</v>
      </c>
      <c r="U1913" s="35" t="str">
        <f>MID(Tabla1[[#This Row],[Aplicación]],9,4)</f>
        <v>9241</v>
      </c>
      <c r="V1913" s="35" t="str">
        <f>VLOOKUP(Tabla1[[#This Row],[PROGRAMA]],Hoja1!A:B,2,FALSE)</f>
        <v>9241. Participación ciudadana</v>
      </c>
      <c r="W1913" s="35" t="str">
        <f>MID(Tabla1[[#This Row],[Aplicación]],14,2)</f>
        <v>21</v>
      </c>
      <c r="X1913" s="35" t="str">
        <f>MID(Tabla1[[#This Row],[Aplicación]],14,6)</f>
        <v>212</v>
      </c>
    </row>
    <row r="1914" spans="1:24" x14ac:dyDescent="0.25">
      <c r="A1914" s="49">
        <v>220220008766</v>
      </c>
      <c r="B1914" s="50" t="s">
        <v>172</v>
      </c>
      <c r="C1914" s="57">
        <v>44634</v>
      </c>
      <c r="D1914" s="49">
        <v>22022001626</v>
      </c>
      <c r="E1914" s="50" t="s">
        <v>1635</v>
      </c>
      <c r="F1914" s="58">
        <v>71.150000000000006</v>
      </c>
      <c r="G1914" s="50" t="s">
        <v>198</v>
      </c>
      <c r="H1914" s="50" t="s">
        <v>3309</v>
      </c>
      <c r="I1914" s="49" t="s">
        <v>173</v>
      </c>
      <c r="J1914" s="50" t="s">
        <v>576</v>
      </c>
      <c r="K1914" s="50" t="s">
        <v>141</v>
      </c>
      <c r="L1914" s="50" t="s">
        <v>15</v>
      </c>
      <c r="M1914" s="50" t="s">
        <v>13</v>
      </c>
      <c r="N1914" s="50" t="s">
        <v>16</v>
      </c>
      <c r="O1914" s="48" t="s">
        <v>631</v>
      </c>
      <c r="P1914" s="45" t="s">
        <v>453</v>
      </c>
      <c r="Q1914" s="35" t="str">
        <f>MID(Tabla1[[#This Row],[Aplicación]],14,1)</f>
        <v>2</v>
      </c>
      <c r="R1914" s="35" t="s">
        <v>441</v>
      </c>
      <c r="S1914" s="35" t="str">
        <f>MID(Tabla1[[#This Row],[Aplicación]],6,2)</f>
        <v>03</v>
      </c>
      <c r="T1914" s="35" t="str">
        <f>VLOOKUP(Tabla1[[#This Row],[AREA]],Hoja1!A:B,2,FALSE)</f>
        <v>03. Participación ciudadana y deportes</v>
      </c>
      <c r="U1914" s="35" t="str">
        <f>MID(Tabla1[[#This Row],[Aplicación]],9,4)</f>
        <v>9241</v>
      </c>
      <c r="V1914" s="35" t="str">
        <f>VLOOKUP(Tabla1[[#This Row],[PROGRAMA]],Hoja1!A:B,2,FALSE)</f>
        <v>9241. Participación ciudadana</v>
      </c>
      <c r="W1914" s="35" t="str">
        <f>MID(Tabla1[[#This Row],[Aplicación]],14,2)</f>
        <v>21</v>
      </c>
      <c r="X1914" s="35" t="str">
        <f>MID(Tabla1[[#This Row],[Aplicación]],14,6)</f>
        <v>212</v>
      </c>
    </row>
    <row r="1915" spans="1:24" x14ac:dyDescent="0.25">
      <c r="A1915" s="49">
        <v>220220004085</v>
      </c>
      <c r="B1915" s="50" t="s">
        <v>172</v>
      </c>
      <c r="C1915" s="57">
        <v>44610</v>
      </c>
      <c r="D1915" s="49">
        <v>22022000030</v>
      </c>
      <c r="E1915" s="50" t="s">
        <v>2007</v>
      </c>
      <c r="F1915" s="58">
        <v>67.489999999999995</v>
      </c>
      <c r="G1915" s="50" t="s">
        <v>198</v>
      </c>
      <c r="H1915" s="50" t="s">
        <v>3310</v>
      </c>
      <c r="I1915" s="49" t="s">
        <v>173</v>
      </c>
      <c r="J1915" s="50" t="s">
        <v>576</v>
      </c>
      <c r="K1915" s="50" t="s">
        <v>141</v>
      </c>
      <c r="L1915" s="50" t="s">
        <v>15</v>
      </c>
      <c r="M1915" s="50" t="s">
        <v>13</v>
      </c>
      <c r="N1915" s="50" t="s">
        <v>14</v>
      </c>
      <c r="O1915" s="48" t="s">
        <v>631</v>
      </c>
      <c r="P1915" s="45" t="s">
        <v>453</v>
      </c>
      <c r="Q1915" s="35" t="str">
        <f>MID(Tabla1[[#This Row],[Aplicación]],14,1)</f>
        <v>2</v>
      </c>
      <c r="R1915" s="35" t="s">
        <v>441</v>
      </c>
      <c r="S1915" s="35" t="str">
        <f>MID(Tabla1[[#This Row],[Aplicación]],6,2)</f>
        <v>11</v>
      </c>
      <c r="T1915" s="35" t="str">
        <f>VLOOKUP(Tabla1[[#This Row],[AREA]],Hoja1!A:B,2,FALSE)</f>
        <v>11. Salud pública y seguridad ciudadana</v>
      </c>
      <c r="U1915" s="35" t="str">
        <f>MID(Tabla1[[#This Row],[Aplicación]],9,4)</f>
        <v>1621</v>
      </c>
      <c r="V1915" s="35" t="str">
        <f>VLOOKUP(Tabla1[[#This Row],[PROGRAMA]],Hoja1!A:B,2,FALSE)</f>
        <v>1621. Servicio de limpieza</v>
      </c>
      <c r="W1915" s="35" t="str">
        <f>MID(Tabla1[[#This Row],[Aplicación]],14,2)</f>
        <v>22</v>
      </c>
      <c r="X1915" s="35" t="str">
        <f>MID(Tabla1[[#This Row],[Aplicación]],14,6)</f>
        <v>22199</v>
      </c>
    </row>
    <row r="1916" spans="1:24" x14ac:dyDescent="0.25">
      <c r="A1916" s="49">
        <v>220220007044</v>
      </c>
      <c r="B1916" s="50" t="s">
        <v>172</v>
      </c>
      <c r="C1916" s="57">
        <v>44623</v>
      </c>
      <c r="D1916" s="49">
        <v>22022001183</v>
      </c>
      <c r="E1916" s="50" t="s">
        <v>2020</v>
      </c>
      <c r="F1916" s="58">
        <v>60.38</v>
      </c>
      <c r="G1916" s="50" t="s">
        <v>198</v>
      </c>
      <c r="H1916" s="50" t="s">
        <v>3311</v>
      </c>
      <c r="I1916" s="49" t="s">
        <v>173</v>
      </c>
      <c r="J1916" s="50" t="s">
        <v>576</v>
      </c>
      <c r="K1916" s="50" t="s">
        <v>141</v>
      </c>
      <c r="L1916" s="50" t="s">
        <v>15</v>
      </c>
      <c r="M1916" s="50" t="s">
        <v>13</v>
      </c>
      <c r="N1916" s="50" t="s">
        <v>14</v>
      </c>
      <c r="O1916" s="48" t="s">
        <v>631</v>
      </c>
      <c r="P1916" s="45" t="s">
        <v>453</v>
      </c>
      <c r="Q1916" s="35" t="str">
        <f>MID(Tabla1[[#This Row],[Aplicación]],14,1)</f>
        <v>2</v>
      </c>
      <c r="R1916" s="35" t="s">
        <v>441</v>
      </c>
      <c r="S1916" s="35" t="str">
        <f>MID(Tabla1[[#This Row],[Aplicación]],6,2)</f>
        <v>10</v>
      </c>
      <c r="T1916" s="35" t="str">
        <f>VLOOKUP(Tabla1[[#This Row],[AREA]],Hoja1!A:B,2,FALSE)</f>
        <v>10. Servicios sociales y mediación comunitaria</v>
      </c>
      <c r="U1916" s="35" t="str">
        <f>MID(Tabla1[[#This Row],[Aplicación]],9,4)</f>
        <v>2312</v>
      </c>
      <c r="V1916" s="35" t="str">
        <f>VLOOKUP(Tabla1[[#This Row],[PROGRAMA]],Hoja1!A:B,2,FALSE)</f>
        <v>2312. Iniciativas sociales</v>
      </c>
      <c r="W1916" s="35" t="str">
        <f>MID(Tabla1[[#This Row],[Aplicación]],14,2)</f>
        <v>21</v>
      </c>
      <c r="X1916" s="35" t="str">
        <f>MID(Tabla1[[#This Row],[Aplicación]],14,6)</f>
        <v>212</v>
      </c>
    </row>
    <row r="1917" spans="1:24" x14ac:dyDescent="0.25">
      <c r="A1917" s="49">
        <v>220220009918</v>
      </c>
      <c r="B1917" s="50" t="s">
        <v>172</v>
      </c>
      <c r="C1917" s="57">
        <v>44638</v>
      </c>
      <c r="D1917" s="49">
        <v>22022001184</v>
      </c>
      <c r="E1917" s="50" t="s">
        <v>2020</v>
      </c>
      <c r="F1917" s="58">
        <v>59.17</v>
      </c>
      <c r="G1917" s="50" t="s">
        <v>198</v>
      </c>
      <c r="H1917" s="50" t="s">
        <v>3312</v>
      </c>
      <c r="I1917" s="49" t="s">
        <v>173</v>
      </c>
      <c r="J1917" s="50" t="s">
        <v>576</v>
      </c>
      <c r="K1917" s="50" t="s">
        <v>141</v>
      </c>
      <c r="L1917" s="50" t="s">
        <v>15</v>
      </c>
      <c r="M1917" s="50" t="s">
        <v>13</v>
      </c>
      <c r="N1917" s="50" t="s">
        <v>14</v>
      </c>
      <c r="O1917" s="48" t="s">
        <v>631</v>
      </c>
      <c r="P1917" s="45" t="s">
        <v>453</v>
      </c>
      <c r="Q1917" s="35" t="str">
        <f>MID(Tabla1[[#This Row],[Aplicación]],14,1)</f>
        <v>2</v>
      </c>
      <c r="R1917" s="35" t="s">
        <v>441</v>
      </c>
      <c r="S1917" s="35" t="str">
        <f>MID(Tabla1[[#This Row],[Aplicación]],6,2)</f>
        <v>10</v>
      </c>
      <c r="T1917" s="35" t="str">
        <f>VLOOKUP(Tabla1[[#This Row],[AREA]],Hoja1!A:B,2,FALSE)</f>
        <v>10. Servicios sociales y mediación comunitaria</v>
      </c>
      <c r="U1917" s="35" t="str">
        <f>MID(Tabla1[[#This Row],[Aplicación]],9,4)</f>
        <v>2312</v>
      </c>
      <c r="V1917" s="35" t="str">
        <f>VLOOKUP(Tabla1[[#This Row],[PROGRAMA]],Hoja1!A:B,2,FALSE)</f>
        <v>2312. Iniciativas sociales</v>
      </c>
      <c r="W1917" s="35" t="str">
        <f>MID(Tabla1[[#This Row],[Aplicación]],14,2)</f>
        <v>21</v>
      </c>
      <c r="X1917" s="35" t="str">
        <f>MID(Tabla1[[#This Row],[Aplicación]],14,6)</f>
        <v>212</v>
      </c>
    </row>
    <row r="1918" spans="1:24" x14ac:dyDescent="0.25">
      <c r="A1918" s="49">
        <v>220220012733</v>
      </c>
      <c r="B1918" s="50" t="s">
        <v>172</v>
      </c>
      <c r="C1918" s="57">
        <v>44644</v>
      </c>
      <c r="D1918" s="49">
        <v>22022001450</v>
      </c>
      <c r="E1918" s="50" t="s">
        <v>1759</v>
      </c>
      <c r="F1918" s="58">
        <v>51.91</v>
      </c>
      <c r="G1918" s="50" t="s">
        <v>198</v>
      </c>
      <c r="H1918" s="50" t="s">
        <v>3313</v>
      </c>
      <c r="I1918" s="49" t="s">
        <v>173</v>
      </c>
      <c r="J1918" s="50" t="s">
        <v>576</v>
      </c>
      <c r="K1918" s="50" t="s">
        <v>141</v>
      </c>
      <c r="L1918" s="50" t="s">
        <v>15</v>
      </c>
      <c r="M1918" s="50" t="s">
        <v>13</v>
      </c>
      <c r="N1918" s="50" t="s">
        <v>14</v>
      </c>
      <c r="O1918" s="48" t="s">
        <v>631</v>
      </c>
      <c r="P1918" s="45" t="s">
        <v>453</v>
      </c>
      <c r="Q1918" s="35" t="str">
        <f>MID(Tabla1[[#This Row],[Aplicación]],14,1)</f>
        <v>2</v>
      </c>
      <c r="R1918" s="35" t="s">
        <v>441</v>
      </c>
      <c r="S1918" s="35" t="str">
        <f>MID(Tabla1[[#This Row],[Aplicación]],6,2)</f>
        <v>02</v>
      </c>
      <c r="T1918" s="35" t="str">
        <f>VLOOKUP(Tabla1[[#This Row],[AREA]],Hoja1!A:B,2,FALSE)</f>
        <v>02. Planeamiento urbanístico y vivienda</v>
      </c>
      <c r="U1918" s="35" t="str">
        <f>MID(Tabla1[[#This Row],[Aplicación]],9,4)</f>
        <v>9332</v>
      </c>
      <c r="V1918" s="35" t="str">
        <f>VLOOKUP(Tabla1[[#This Row],[PROGRAMA]],Hoja1!A:B,2,FALSE)</f>
        <v>9332. Mantenimiento de edificios e instalaciones municipales</v>
      </c>
      <c r="W1918" s="35" t="str">
        <f>MID(Tabla1[[#This Row],[Aplicación]],14,2)</f>
        <v>21</v>
      </c>
      <c r="X1918" s="35" t="str">
        <f>MID(Tabla1[[#This Row],[Aplicación]],14,6)</f>
        <v>213</v>
      </c>
    </row>
    <row r="1919" spans="1:24" x14ac:dyDescent="0.25">
      <c r="A1919" s="49">
        <v>220220002425</v>
      </c>
      <c r="B1919" s="50" t="s">
        <v>172</v>
      </c>
      <c r="C1919" s="57">
        <v>44594</v>
      </c>
      <c r="D1919" s="49">
        <v>22022001169</v>
      </c>
      <c r="E1919" s="50" t="s">
        <v>2045</v>
      </c>
      <c r="F1919" s="58">
        <v>45.21</v>
      </c>
      <c r="G1919" s="50" t="s">
        <v>198</v>
      </c>
      <c r="H1919" s="50" t="s">
        <v>3314</v>
      </c>
      <c r="I1919" s="49" t="s">
        <v>173</v>
      </c>
      <c r="J1919" s="50" t="s">
        <v>576</v>
      </c>
      <c r="K1919" s="50" t="s">
        <v>141</v>
      </c>
      <c r="L1919" s="50" t="s">
        <v>15</v>
      </c>
      <c r="M1919" s="50" t="s">
        <v>13</v>
      </c>
      <c r="N1919" s="50" t="s">
        <v>14</v>
      </c>
      <c r="O1919" s="48" t="s">
        <v>631</v>
      </c>
      <c r="P1919" s="45" t="s">
        <v>453</v>
      </c>
      <c r="Q1919" s="35" t="str">
        <f>MID(Tabla1[[#This Row],[Aplicación]],14,1)</f>
        <v>2</v>
      </c>
      <c r="R1919" s="35" t="s">
        <v>441</v>
      </c>
      <c r="S1919" s="35" t="str">
        <f>MID(Tabla1[[#This Row],[Aplicación]],6,2)</f>
        <v>10</v>
      </c>
      <c r="T1919" s="35" t="str">
        <f>VLOOKUP(Tabla1[[#This Row],[AREA]],Hoja1!A:B,2,FALSE)</f>
        <v>10. Servicios sociales y mediación comunitaria</v>
      </c>
      <c r="U1919" s="35" t="str">
        <f>MID(Tabla1[[#This Row],[Aplicación]],9,4)</f>
        <v>2412</v>
      </c>
      <c r="V1919" s="35" t="str">
        <f>VLOOKUP(Tabla1[[#This Row],[PROGRAMA]],Hoja1!A:B,2,FALSE)</f>
        <v>2412. Formación para el empleo</v>
      </c>
      <c r="W1919" s="35" t="str">
        <f>MID(Tabla1[[#This Row],[Aplicación]],14,2)</f>
        <v>21</v>
      </c>
      <c r="X1919" s="35" t="str">
        <f>MID(Tabla1[[#This Row],[Aplicación]],14,6)</f>
        <v>212</v>
      </c>
    </row>
    <row r="1920" spans="1:24" x14ac:dyDescent="0.25">
      <c r="A1920" s="49">
        <v>220220001762</v>
      </c>
      <c r="B1920" s="50" t="s">
        <v>172</v>
      </c>
      <c r="C1920" s="57">
        <v>44588</v>
      </c>
      <c r="D1920" s="49">
        <v>22022001640</v>
      </c>
      <c r="E1920" s="50" t="s">
        <v>1719</v>
      </c>
      <c r="F1920" s="58">
        <v>41.58</v>
      </c>
      <c r="G1920" s="50" t="s">
        <v>198</v>
      </c>
      <c r="H1920" s="50" t="s">
        <v>3315</v>
      </c>
      <c r="I1920" s="49" t="s">
        <v>173</v>
      </c>
      <c r="J1920" s="50" t="s">
        <v>576</v>
      </c>
      <c r="K1920" s="50" t="s">
        <v>141</v>
      </c>
      <c r="L1920" s="50" t="s">
        <v>15</v>
      </c>
      <c r="M1920" s="50" t="s">
        <v>13</v>
      </c>
      <c r="N1920" s="50" t="s">
        <v>16</v>
      </c>
      <c r="O1920" s="48" t="s">
        <v>631</v>
      </c>
      <c r="P1920" s="45" t="s">
        <v>453</v>
      </c>
      <c r="Q1920" s="35" t="str">
        <f>MID(Tabla1[[#This Row],[Aplicación]],14,1)</f>
        <v>2</v>
      </c>
      <c r="R1920" s="35" t="s">
        <v>441</v>
      </c>
      <c r="S1920" s="35" t="str">
        <f>MID(Tabla1[[#This Row],[Aplicación]],6,2)</f>
        <v>06</v>
      </c>
      <c r="T1920" s="35" t="str">
        <f>VLOOKUP(Tabla1[[#This Row],[AREA]],Hoja1!A:B,2,FALSE)</f>
        <v>06. Educación, infancia, juventud e igualdad</v>
      </c>
      <c r="U1920" s="35" t="str">
        <f>MID(Tabla1[[#This Row],[Aplicación]],9,4)</f>
        <v>3231</v>
      </c>
      <c r="V1920" s="35" t="str">
        <f>VLOOKUP(Tabla1[[#This Row],[PROGRAMA]],Hoja1!A:B,2,FALSE)</f>
        <v>3231. Escuelas infantiles</v>
      </c>
      <c r="W1920" s="35" t="str">
        <f>MID(Tabla1[[#This Row],[Aplicación]],14,2)</f>
        <v>21</v>
      </c>
      <c r="X1920" s="35" t="str">
        <f>MID(Tabla1[[#This Row],[Aplicación]],14,6)</f>
        <v>212</v>
      </c>
    </row>
    <row r="1921" spans="1:24" x14ac:dyDescent="0.25">
      <c r="A1921" s="49">
        <v>220220004192</v>
      </c>
      <c r="B1921" s="50" t="s">
        <v>172</v>
      </c>
      <c r="C1921" s="57">
        <v>44610</v>
      </c>
      <c r="D1921" s="49">
        <v>22022000030</v>
      </c>
      <c r="E1921" s="50" t="s">
        <v>2007</v>
      </c>
      <c r="F1921" s="58">
        <v>39.28</v>
      </c>
      <c r="G1921" s="50" t="s">
        <v>198</v>
      </c>
      <c r="H1921" s="50" t="s">
        <v>3316</v>
      </c>
      <c r="I1921" s="49" t="s">
        <v>173</v>
      </c>
      <c r="J1921" s="50" t="s">
        <v>576</v>
      </c>
      <c r="K1921" s="50" t="s">
        <v>141</v>
      </c>
      <c r="L1921" s="50" t="s">
        <v>15</v>
      </c>
      <c r="M1921" s="50" t="s">
        <v>13</v>
      </c>
      <c r="N1921" s="50" t="s">
        <v>14</v>
      </c>
      <c r="O1921" s="48" t="s">
        <v>631</v>
      </c>
      <c r="P1921" s="45" t="s">
        <v>453</v>
      </c>
      <c r="Q1921" s="35" t="str">
        <f>MID(Tabla1[[#This Row],[Aplicación]],14,1)</f>
        <v>2</v>
      </c>
      <c r="R1921" s="35" t="s">
        <v>441</v>
      </c>
      <c r="S1921" s="35" t="str">
        <f>MID(Tabla1[[#This Row],[Aplicación]],6,2)</f>
        <v>11</v>
      </c>
      <c r="T1921" s="35" t="str">
        <f>VLOOKUP(Tabla1[[#This Row],[AREA]],Hoja1!A:B,2,FALSE)</f>
        <v>11. Salud pública y seguridad ciudadana</v>
      </c>
      <c r="U1921" s="35" t="str">
        <f>MID(Tabla1[[#This Row],[Aplicación]],9,4)</f>
        <v>1621</v>
      </c>
      <c r="V1921" s="35" t="str">
        <f>VLOOKUP(Tabla1[[#This Row],[PROGRAMA]],Hoja1!A:B,2,FALSE)</f>
        <v>1621. Servicio de limpieza</v>
      </c>
      <c r="W1921" s="35" t="str">
        <f>MID(Tabla1[[#This Row],[Aplicación]],14,2)</f>
        <v>22</v>
      </c>
      <c r="X1921" s="35" t="str">
        <f>MID(Tabla1[[#This Row],[Aplicación]],14,6)</f>
        <v>22199</v>
      </c>
    </row>
    <row r="1922" spans="1:24" x14ac:dyDescent="0.25">
      <c r="A1922" s="49">
        <v>220220008716</v>
      </c>
      <c r="B1922" s="50" t="s">
        <v>172</v>
      </c>
      <c r="C1922" s="57">
        <v>44634</v>
      </c>
      <c r="D1922" s="49">
        <v>22022001456</v>
      </c>
      <c r="E1922" s="50" t="s">
        <v>2012</v>
      </c>
      <c r="F1922" s="58">
        <v>39.28</v>
      </c>
      <c r="G1922" s="50" t="s">
        <v>198</v>
      </c>
      <c r="H1922" s="50" t="s">
        <v>3317</v>
      </c>
      <c r="I1922" s="49" t="s">
        <v>173</v>
      </c>
      <c r="J1922" s="50" t="s">
        <v>576</v>
      </c>
      <c r="K1922" s="50" t="s">
        <v>141</v>
      </c>
      <c r="L1922" s="50" t="s">
        <v>15</v>
      </c>
      <c r="M1922" s="50" t="s">
        <v>13</v>
      </c>
      <c r="N1922" s="50" t="s">
        <v>14</v>
      </c>
      <c r="O1922" s="48" t="s">
        <v>631</v>
      </c>
      <c r="P1922" s="45" t="s">
        <v>453</v>
      </c>
      <c r="Q1922" s="35" t="str">
        <f>MID(Tabla1[[#This Row],[Aplicación]],14,1)</f>
        <v>2</v>
      </c>
      <c r="R1922" s="35" t="s">
        <v>441</v>
      </c>
      <c r="S1922" s="35" t="str">
        <f>MID(Tabla1[[#This Row],[Aplicación]],6,2)</f>
        <v>11</v>
      </c>
      <c r="T1922" s="35" t="str">
        <f>VLOOKUP(Tabla1[[#This Row],[AREA]],Hoja1!A:B,2,FALSE)</f>
        <v>11. Salud pública y seguridad ciudadana</v>
      </c>
      <c r="U1922" s="35" t="str">
        <f>MID(Tabla1[[#This Row],[Aplicación]],9,4)</f>
        <v>1321</v>
      </c>
      <c r="V1922" s="35" t="str">
        <f>VLOOKUP(Tabla1[[#This Row],[PROGRAMA]],Hoja1!A:B,2,FALSE)</f>
        <v>1321. Policía municipal</v>
      </c>
      <c r="W1922" s="35" t="str">
        <f>MID(Tabla1[[#This Row],[Aplicación]],14,2)</f>
        <v>22</v>
      </c>
      <c r="X1922" s="35" t="str">
        <f>MID(Tabla1[[#This Row],[Aplicación]],14,6)</f>
        <v>22199</v>
      </c>
    </row>
    <row r="1923" spans="1:24" x14ac:dyDescent="0.25">
      <c r="A1923" s="49">
        <v>220220002472</v>
      </c>
      <c r="B1923" s="50" t="s">
        <v>172</v>
      </c>
      <c r="C1923" s="57">
        <v>44594</v>
      </c>
      <c r="D1923" s="49">
        <v>22022001626</v>
      </c>
      <c r="E1923" s="50" t="s">
        <v>1635</v>
      </c>
      <c r="F1923" s="58">
        <v>38.72</v>
      </c>
      <c r="G1923" s="50" t="s">
        <v>198</v>
      </c>
      <c r="H1923" s="50" t="s">
        <v>3318</v>
      </c>
      <c r="I1923" s="49" t="s">
        <v>173</v>
      </c>
      <c r="J1923" s="50" t="s">
        <v>576</v>
      </c>
      <c r="K1923" s="50" t="s">
        <v>141</v>
      </c>
      <c r="L1923" s="50" t="s">
        <v>15</v>
      </c>
      <c r="M1923" s="50" t="s">
        <v>13</v>
      </c>
      <c r="N1923" s="50" t="s">
        <v>16</v>
      </c>
      <c r="O1923" s="48" t="s">
        <v>631</v>
      </c>
      <c r="P1923" s="45" t="s">
        <v>453</v>
      </c>
      <c r="Q1923" s="35" t="str">
        <f>MID(Tabla1[[#This Row],[Aplicación]],14,1)</f>
        <v>2</v>
      </c>
      <c r="R1923" s="35" t="s">
        <v>441</v>
      </c>
      <c r="S1923" s="35" t="str">
        <f>MID(Tabla1[[#This Row],[Aplicación]],6,2)</f>
        <v>03</v>
      </c>
      <c r="T1923" s="35" t="str">
        <f>VLOOKUP(Tabla1[[#This Row],[AREA]],Hoja1!A:B,2,FALSE)</f>
        <v>03. Participación ciudadana y deportes</v>
      </c>
      <c r="U1923" s="35" t="str">
        <f>MID(Tabla1[[#This Row],[Aplicación]],9,4)</f>
        <v>9241</v>
      </c>
      <c r="V1923" s="35" t="str">
        <f>VLOOKUP(Tabla1[[#This Row],[PROGRAMA]],Hoja1!A:B,2,FALSE)</f>
        <v>9241. Participación ciudadana</v>
      </c>
      <c r="W1923" s="35" t="str">
        <f>MID(Tabla1[[#This Row],[Aplicación]],14,2)</f>
        <v>21</v>
      </c>
      <c r="X1923" s="35" t="str">
        <f>MID(Tabla1[[#This Row],[Aplicación]],14,6)</f>
        <v>212</v>
      </c>
    </row>
    <row r="1924" spans="1:24" x14ac:dyDescent="0.25">
      <c r="A1924" s="49">
        <v>220220012672</v>
      </c>
      <c r="B1924" s="50" t="s">
        <v>172</v>
      </c>
      <c r="C1924" s="57">
        <v>44644</v>
      </c>
      <c r="D1924" s="49">
        <v>22022001456</v>
      </c>
      <c r="E1924" s="50" t="s">
        <v>2012</v>
      </c>
      <c r="F1924" s="58">
        <v>38.03</v>
      </c>
      <c r="G1924" s="50" t="s">
        <v>198</v>
      </c>
      <c r="H1924" s="50" t="s">
        <v>3319</v>
      </c>
      <c r="I1924" s="49" t="s">
        <v>173</v>
      </c>
      <c r="J1924" s="50" t="s">
        <v>576</v>
      </c>
      <c r="K1924" s="50" t="s">
        <v>141</v>
      </c>
      <c r="L1924" s="50" t="s">
        <v>15</v>
      </c>
      <c r="M1924" s="50" t="s">
        <v>13</v>
      </c>
      <c r="N1924" s="50" t="s">
        <v>14</v>
      </c>
      <c r="O1924" s="48" t="s">
        <v>631</v>
      </c>
      <c r="P1924" s="45" t="s">
        <v>453</v>
      </c>
      <c r="Q1924" s="35" t="str">
        <f>MID(Tabla1[[#This Row],[Aplicación]],14,1)</f>
        <v>2</v>
      </c>
      <c r="R1924" s="35" t="s">
        <v>441</v>
      </c>
      <c r="S1924" s="35" t="str">
        <f>MID(Tabla1[[#This Row],[Aplicación]],6,2)</f>
        <v>11</v>
      </c>
      <c r="T1924" s="35" t="str">
        <f>VLOOKUP(Tabla1[[#This Row],[AREA]],Hoja1!A:B,2,FALSE)</f>
        <v>11. Salud pública y seguridad ciudadana</v>
      </c>
      <c r="U1924" s="35" t="str">
        <f>MID(Tabla1[[#This Row],[Aplicación]],9,4)</f>
        <v>1321</v>
      </c>
      <c r="V1924" s="35" t="str">
        <f>VLOOKUP(Tabla1[[#This Row],[PROGRAMA]],Hoja1!A:B,2,FALSE)</f>
        <v>1321. Policía municipal</v>
      </c>
      <c r="W1924" s="35" t="str">
        <f>MID(Tabla1[[#This Row],[Aplicación]],14,2)</f>
        <v>22</v>
      </c>
      <c r="X1924" s="35" t="str">
        <f>MID(Tabla1[[#This Row],[Aplicación]],14,6)</f>
        <v>22199</v>
      </c>
    </row>
    <row r="1925" spans="1:24" x14ac:dyDescent="0.25">
      <c r="A1925" s="49">
        <v>220220009525</v>
      </c>
      <c r="B1925" s="50" t="s">
        <v>172</v>
      </c>
      <c r="C1925" s="57">
        <v>44636</v>
      </c>
      <c r="D1925" s="49">
        <v>22022001449</v>
      </c>
      <c r="E1925" s="50" t="s">
        <v>1890</v>
      </c>
      <c r="F1925" s="58">
        <v>37.85</v>
      </c>
      <c r="G1925" s="50" t="s">
        <v>198</v>
      </c>
      <c r="H1925" s="50" t="s">
        <v>3320</v>
      </c>
      <c r="I1925" s="49" t="s">
        <v>173</v>
      </c>
      <c r="J1925" s="50" t="s">
        <v>576</v>
      </c>
      <c r="K1925" s="50" t="s">
        <v>141</v>
      </c>
      <c r="L1925" s="50" t="s">
        <v>15</v>
      </c>
      <c r="M1925" s="50" t="s">
        <v>13</v>
      </c>
      <c r="N1925" s="50" t="s">
        <v>14</v>
      </c>
      <c r="O1925" s="48" t="s">
        <v>631</v>
      </c>
      <c r="P1925" s="45" t="s">
        <v>453</v>
      </c>
      <c r="Q1925" s="35" t="str">
        <f>MID(Tabla1[[#This Row],[Aplicación]],14,1)</f>
        <v>2</v>
      </c>
      <c r="R1925" s="35" t="s">
        <v>441</v>
      </c>
      <c r="S1925" s="35" t="str">
        <f>MID(Tabla1[[#This Row],[Aplicación]],6,2)</f>
        <v>02</v>
      </c>
      <c r="T1925" s="35" t="str">
        <f>VLOOKUP(Tabla1[[#This Row],[AREA]],Hoja1!A:B,2,FALSE)</f>
        <v>02. Planeamiento urbanístico y vivienda</v>
      </c>
      <c r="U1925" s="35" t="str">
        <f>MID(Tabla1[[#This Row],[Aplicación]],9,4)</f>
        <v>9332</v>
      </c>
      <c r="V1925" s="35" t="str">
        <f>VLOOKUP(Tabla1[[#This Row],[PROGRAMA]],Hoja1!A:B,2,FALSE)</f>
        <v>9332. Mantenimiento de edificios e instalaciones municipales</v>
      </c>
      <c r="W1925" s="35" t="str">
        <f>MID(Tabla1[[#This Row],[Aplicación]],14,2)</f>
        <v>21</v>
      </c>
      <c r="X1925" s="35" t="str">
        <f>MID(Tabla1[[#This Row],[Aplicación]],14,6)</f>
        <v>212</v>
      </c>
    </row>
    <row r="1926" spans="1:24" x14ac:dyDescent="0.25">
      <c r="A1926" s="49">
        <v>220220007044</v>
      </c>
      <c r="B1926" s="50" t="s">
        <v>172</v>
      </c>
      <c r="C1926" s="57">
        <v>44623</v>
      </c>
      <c r="D1926" s="49">
        <v>22022001184</v>
      </c>
      <c r="E1926" s="50" t="s">
        <v>2020</v>
      </c>
      <c r="F1926" s="58">
        <v>36.590000000000003</v>
      </c>
      <c r="G1926" s="50" t="s">
        <v>198</v>
      </c>
      <c r="H1926" s="50" t="s">
        <v>3311</v>
      </c>
      <c r="I1926" s="49" t="s">
        <v>173</v>
      </c>
      <c r="J1926" s="50" t="s">
        <v>576</v>
      </c>
      <c r="K1926" s="50" t="s">
        <v>141</v>
      </c>
      <c r="L1926" s="50" t="s">
        <v>15</v>
      </c>
      <c r="M1926" s="50" t="s">
        <v>13</v>
      </c>
      <c r="N1926" s="50" t="s">
        <v>14</v>
      </c>
      <c r="O1926" s="48" t="s">
        <v>631</v>
      </c>
      <c r="P1926" s="45" t="s">
        <v>453</v>
      </c>
      <c r="Q1926" s="35" t="str">
        <f>MID(Tabla1[[#This Row],[Aplicación]],14,1)</f>
        <v>2</v>
      </c>
      <c r="R1926" s="35" t="s">
        <v>441</v>
      </c>
      <c r="S1926" s="35" t="str">
        <f>MID(Tabla1[[#This Row],[Aplicación]],6,2)</f>
        <v>10</v>
      </c>
      <c r="T1926" s="35" t="str">
        <f>VLOOKUP(Tabla1[[#This Row],[AREA]],Hoja1!A:B,2,FALSE)</f>
        <v>10. Servicios sociales y mediación comunitaria</v>
      </c>
      <c r="U1926" s="35" t="str">
        <f>MID(Tabla1[[#This Row],[Aplicación]],9,4)</f>
        <v>2312</v>
      </c>
      <c r="V1926" s="35" t="str">
        <f>VLOOKUP(Tabla1[[#This Row],[PROGRAMA]],Hoja1!A:B,2,FALSE)</f>
        <v>2312. Iniciativas sociales</v>
      </c>
      <c r="W1926" s="35" t="str">
        <f>MID(Tabla1[[#This Row],[Aplicación]],14,2)</f>
        <v>21</v>
      </c>
      <c r="X1926" s="35" t="str">
        <f>MID(Tabla1[[#This Row],[Aplicación]],14,6)</f>
        <v>212</v>
      </c>
    </row>
    <row r="1927" spans="1:24" x14ac:dyDescent="0.25">
      <c r="A1927" s="49">
        <v>220220005526</v>
      </c>
      <c r="B1927" s="50" t="s">
        <v>172</v>
      </c>
      <c r="C1927" s="57">
        <v>44614</v>
      </c>
      <c r="D1927" s="49">
        <v>22022001178</v>
      </c>
      <c r="E1927" s="50" t="s">
        <v>1653</v>
      </c>
      <c r="F1927" s="58">
        <v>32.75</v>
      </c>
      <c r="G1927" s="50" t="s">
        <v>198</v>
      </c>
      <c r="H1927" s="50" t="s">
        <v>3292</v>
      </c>
      <c r="I1927" s="49" t="s">
        <v>173</v>
      </c>
      <c r="J1927" s="50" t="s">
        <v>576</v>
      </c>
      <c r="K1927" s="50" t="s">
        <v>141</v>
      </c>
      <c r="L1927" s="50" t="s">
        <v>15</v>
      </c>
      <c r="M1927" s="50" t="s">
        <v>13</v>
      </c>
      <c r="N1927" s="50" t="s">
        <v>14</v>
      </c>
      <c r="O1927" s="48" t="s">
        <v>631</v>
      </c>
      <c r="P1927" s="45" t="s">
        <v>453</v>
      </c>
      <c r="Q1927" s="35" t="str">
        <f>MID(Tabla1[[#This Row],[Aplicación]],14,1)</f>
        <v>2</v>
      </c>
      <c r="R1927" s="35" t="s">
        <v>441</v>
      </c>
      <c r="S1927" s="35" t="str">
        <f>MID(Tabla1[[#This Row],[Aplicación]],6,2)</f>
        <v>10</v>
      </c>
      <c r="T1927" s="35" t="str">
        <f>VLOOKUP(Tabla1[[#This Row],[AREA]],Hoja1!A:B,2,FALSE)</f>
        <v>10. Servicios sociales y mediación comunitaria</v>
      </c>
      <c r="U1927" s="35" t="str">
        <f>MID(Tabla1[[#This Row],[Aplicación]],9,4)</f>
        <v>2311</v>
      </c>
      <c r="V1927" s="35" t="str">
        <f>VLOOKUP(Tabla1[[#This Row],[PROGRAMA]],Hoja1!A:B,2,FALSE)</f>
        <v>2311. Intervención social</v>
      </c>
      <c r="W1927" s="35" t="str">
        <f>MID(Tabla1[[#This Row],[Aplicación]],14,2)</f>
        <v>21</v>
      </c>
      <c r="X1927" s="35" t="str">
        <f>MID(Tabla1[[#This Row],[Aplicación]],14,6)</f>
        <v>212</v>
      </c>
    </row>
    <row r="1928" spans="1:24" x14ac:dyDescent="0.25">
      <c r="A1928" s="49">
        <v>220220008387</v>
      </c>
      <c r="B1928" s="50" t="s">
        <v>172</v>
      </c>
      <c r="C1928" s="57">
        <v>44631</v>
      </c>
      <c r="D1928" s="49">
        <v>22022001178</v>
      </c>
      <c r="E1928" s="50" t="s">
        <v>1653</v>
      </c>
      <c r="F1928" s="58">
        <v>30.44</v>
      </c>
      <c r="G1928" s="50" t="s">
        <v>198</v>
      </c>
      <c r="H1928" s="50" t="s">
        <v>3321</v>
      </c>
      <c r="I1928" s="49" t="s">
        <v>173</v>
      </c>
      <c r="J1928" s="50" t="s">
        <v>576</v>
      </c>
      <c r="K1928" s="50" t="s">
        <v>141</v>
      </c>
      <c r="L1928" s="50" t="s">
        <v>15</v>
      </c>
      <c r="M1928" s="50" t="s">
        <v>13</v>
      </c>
      <c r="N1928" s="50" t="s">
        <v>14</v>
      </c>
      <c r="O1928" s="48" t="s">
        <v>631</v>
      </c>
      <c r="P1928" s="45" t="s">
        <v>453</v>
      </c>
      <c r="Q1928" s="35" t="str">
        <f>MID(Tabla1[[#This Row],[Aplicación]],14,1)</f>
        <v>2</v>
      </c>
      <c r="R1928" s="35" t="s">
        <v>441</v>
      </c>
      <c r="S1928" s="35" t="str">
        <f>MID(Tabla1[[#This Row],[Aplicación]],6,2)</f>
        <v>10</v>
      </c>
      <c r="T1928" s="35" t="str">
        <f>VLOOKUP(Tabla1[[#This Row],[AREA]],Hoja1!A:B,2,FALSE)</f>
        <v>10. Servicios sociales y mediación comunitaria</v>
      </c>
      <c r="U1928" s="35" t="str">
        <f>MID(Tabla1[[#This Row],[Aplicación]],9,4)</f>
        <v>2311</v>
      </c>
      <c r="V1928" s="35" t="str">
        <f>VLOOKUP(Tabla1[[#This Row],[PROGRAMA]],Hoja1!A:B,2,FALSE)</f>
        <v>2311. Intervención social</v>
      </c>
      <c r="W1928" s="35" t="str">
        <f>MID(Tabla1[[#This Row],[Aplicación]],14,2)</f>
        <v>21</v>
      </c>
      <c r="X1928" s="35" t="str">
        <f>MID(Tabla1[[#This Row],[Aplicación]],14,6)</f>
        <v>212</v>
      </c>
    </row>
    <row r="1929" spans="1:24" x14ac:dyDescent="0.25">
      <c r="A1929" s="49">
        <v>220220006821</v>
      </c>
      <c r="B1929" s="50" t="s">
        <v>172</v>
      </c>
      <c r="C1929" s="57">
        <v>44622</v>
      </c>
      <c r="D1929" s="49">
        <v>22022001456</v>
      </c>
      <c r="E1929" s="50" t="s">
        <v>2012</v>
      </c>
      <c r="F1929" s="58">
        <v>24.87</v>
      </c>
      <c r="G1929" s="50" t="s">
        <v>198</v>
      </c>
      <c r="H1929" s="50" t="s">
        <v>3322</v>
      </c>
      <c r="I1929" s="49" t="s">
        <v>173</v>
      </c>
      <c r="J1929" s="50" t="s">
        <v>576</v>
      </c>
      <c r="K1929" s="50" t="s">
        <v>141</v>
      </c>
      <c r="L1929" s="50" t="s">
        <v>15</v>
      </c>
      <c r="M1929" s="50" t="s">
        <v>13</v>
      </c>
      <c r="N1929" s="50" t="s">
        <v>14</v>
      </c>
      <c r="O1929" s="48" t="s">
        <v>631</v>
      </c>
      <c r="P1929" s="45" t="s">
        <v>453</v>
      </c>
      <c r="Q1929" s="35" t="str">
        <f>MID(Tabla1[[#This Row],[Aplicación]],14,1)</f>
        <v>2</v>
      </c>
      <c r="R1929" s="35" t="s">
        <v>441</v>
      </c>
      <c r="S1929" s="35" t="str">
        <f>MID(Tabla1[[#This Row],[Aplicación]],6,2)</f>
        <v>11</v>
      </c>
      <c r="T1929" s="35" t="str">
        <f>VLOOKUP(Tabla1[[#This Row],[AREA]],Hoja1!A:B,2,FALSE)</f>
        <v>11. Salud pública y seguridad ciudadana</v>
      </c>
      <c r="U1929" s="35" t="str">
        <f>MID(Tabla1[[#This Row],[Aplicación]],9,4)</f>
        <v>1321</v>
      </c>
      <c r="V1929" s="35" t="str">
        <f>VLOOKUP(Tabla1[[#This Row],[PROGRAMA]],Hoja1!A:B,2,FALSE)</f>
        <v>1321. Policía municipal</v>
      </c>
      <c r="W1929" s="35" t="str">
        <f>MID(Tabla1[[#This Row],[Aplicación]],14,2)</f>
        <v>22</v>
      </c>
      <c r="X1929" s="35" t="str">
        <f>MID(Tabla1[[#This Row],[Aplicación]],14,6)</f>
        <v>22199</v>
      </c>
    </row>
    <row r="1930" spans="1:24" x14ac:dyDescent="0.25">
      <c r="A1930" s="49">
        <v>220220002412</v>
      </c>
      <c r="B1930" s="50" t="s">
        <v>172</v>
      </c>
      <c r="C1930" s="57">
        <v>44594</v>
      </c>
      <c r="D1930" s="49">
        <v>22022001178</v>
      </c>
      <c r="E1930" s="50" t="s">
        <v>1653</v>
      </c>
      <c r="F1930" s="58">
        <v>22.97</v>
      </c>
      <c r="G1930" s="50" t="s">
        <v>198</v>
      </c>
      <c r="H1930" s="50" t="s">
        <v>3323</v>
      </c>
      <c r="I1930" s="49" t="s">
        <v>173</v>
      </c>
      <c r="J1930" s="50" t="s">
        <v>576</v>
      </c>
      <c r="K1930" s="50" t="s">
        <v>141</v>
      </c>
      <c r="L1930" s="50" t="s">
        <v>15</v>
      </c>
      <c r="M1930" s="50" t="s">
        <v>13</v>
      </c>
      <c r="N1930" s="50" t="s">
        <v>14</v>
      </c>
      <c r="O1930" s="48" t="s">
        <v>631</v>
      </c>
      <c r="P1930" s="45" t="s">
        <v>453</v>
      </c>
      <c r="Q1930" s="35" t="str">
        <f>MID(Tabla1[[#This Row],[Aplicación]],14,1)</f>
        <v>2</v>
      </c>
      <c r="R1930" s="35" t="s">
        <v>441</v>
      </c>
      <c r="S1930" s="35" t="str">
        <f>MID(Tabla1[[#This Row],[Aplicación]],6,2)</f>
        <v>10</v>
      </c>
      <c r="T1930" s="35" t="str">
        <f>VLOOKUP(Tabla1[[#This Row],[AREA]],Hoja1!A:B,2,FALSE)</f>
        <v>10. Servicios sociales y mediación comunitaria</v>
      </c>
      <c r="U1930" s="35" t="str">
        <f>MID(Tabla1[[#This Row],[Aplicación]],9,4)</f>
        <v>2311</v>
      </c>
      <c r="V1930" s="35" t="str">
        <f>VLOOKUP(Tabla1[[#This Row],[PROGRAMA]],Hoja1!A:B,2,FALSE)</f>
        <v>2311. Intervención social</v>
      </c>
      <c r="W1930" s="35" t="str">
        <f>MID(Tabla1[[#This Row],[Aplicación]],14,2)</f>
        <v>21</v>
      </c>
      <c r="X1930" s="35" t="str">
        <f>MID(Tabla1[[#This Row],[Aplicación]],14,6)</f>
        <v>212</v>
      </c>
    </row>
    <row r="1931" spans="1:24" x14ac:dyDescent="0.25">
      <c r="A1931" s="49">
        <v>220220013210</v>
      </c>
      <c r="B1931" s="50" t="s">
        <v>172</v>
      </c>
      <c r="C1931" s="57">
        <v>44650</v>
      </c>
      <c r="D1931" s="49">
        <v>22022002691</v>
      </c>
      <c r="E1931" s="50" t="s">
        <v>2321</v>
      </c>
      <c r="F1931" s="58">
        <v>19.170000000000002</v>
      </c>
      <c r="G1931" s="50" t="s">
        <v>198</v>
      </c>
      <c r="H1931" s="50" t="s">
        <v>3324</v>
      </c>
      <c r="I1931" s="49" t="s">
        <v>173</v>
      </c>
      <c r="J1931" s="50" t="s">
        <v>576</v>
      </c>
      <c r="K1931" s="50" t="s">
        <v>141</v>
      </c>
      <c r="L1931" s="50" t="s">
        <v>15</v>
      </c>
      <c r="M1931" s="50" t="s">
        <v>13</v>
      </c>
      <c r="N1931" s="50" t="s">
        <v>14</v>
      </c>
      <c r="O1931" s="48" t="s">
        <v>631</v>
      </c>
      <c r="P1931" s="45" t="s">
        <v>453</v>
      </c>
      <c r="Q1931" s="35" t="str">
        <f>MID(Tabla1[[#This Row],[Aplicación]],14,1)</f>
        <v>2</v>
      </c>
      <c r="R1931" s="35" t="s">
        <v>441</v>
      </c>
      <c r="S1931" s="35" t="str">
        <f>MID(Tabla1[[#This Row],[Aplicación]],6,2)</f>
        <v>09</v>
      </c>
      <c r="T1931" s="35" t="str">
        <f>VLOOKUP(Tabla1[[#This Row],[AREA]],Hoja1!A:B,2,FALSE)</f>
        <v>09. Cultura y turismo</v>
      </c>
      <c r="U1931" s="35" t="str">
        <f>MID(Tabla1[[#This Row],[Aplicación]],9,4)</f>
        <v>4321</v>
      </c>
      <c r="V1931" s="35" t="str">
        <f>VLOOKUP(Tabla1[[#This Row],[PROGRAMA]],Hoja1!A:B,2,FALSE)</f>
        <v>4321. Turismo</v>
      </c>
      <c r="W1931" s="35" t="str">
        <f>MID(Tabla1[[#This Row],[Aplicación]],14,2)</f>
        <v>21</v>
      </c>
      <c r="X1931" s="35" t="str">
        <f>MID(Tabla1[[#This Row],[Aplicación]],14,6)</f>
        <v>213</v>
      </c>
    </row>
    <row r="1932" spans="1:24" x14ac:dyDescent="0.25">
      <c r="A1932" s="49">
        <v>220220009501</v>
      </c>
      <c r="B1932" s="50" t="s">
        <v>172</v>
      </c>
      <c r="C1932" s="57">
        <v>44636</v>
      </c>
      <c r="D1932" s="49">
        <v>22022001449</v>
      </c>
      <c r="E1932" s="50" t="s">
        <v>1890</v>
      </c>
      <c r="F1932" s="58">
        <v>12.97</v>
      </c>
      <c r="G1932" s="50" t="s">
        <v>198</v>
      </c>
      <c r="H1932" s="50" t="s">
        <v>3325</v>
      </c>
      <c r="I1932" s="49" t="s">
        <v>173</v>
      </c>
      <c r="J1932" s="50" t="s">
        <v>576</v>
      </c>
      <c r="K1932" s="50" t="s">
        <v>141</v>
      </c>
      <c r="L1932" s="50" t="s">
        <v>15</v>
      </c>
      <c r="M1932" s="50" t="s">
        <v>13</v>
      </c>
      <c r="N1932" s="50" t="s">
        <v>14</v>
      </c>
      <c r="O1932" s="48" t="s">
        <v>631</v>
      </c>
      <c r="P1932" s="45" t="s">
        <v>453</v>
      </c>
      <c r="Q1932" s="35" t="str">
        <f>MID(Tabla1[[#This Row],[Aplicación]],14,1)</f>
        <v>2</v>
      </c>
      <c r="R1932" s="35" t="s">
        <v>441</v>
      </c>
      <c r="S1932" s="35" t="str">
        <f>MID(Tabla1[[#This Row],[Aplicación]],6,2)</f>
        <v>02</v>
      </c>
      <c r="T1932" s="35" t="str">
        <f>VLOOKUP(Tabla1[[#This Row],[AREA]],Hoja1!A:B,2,FALSE)</f>
        <v>02. Planeamiento urbanístico y vivienda</v>
      </c>
      <c r="U1932" s="35" t="str">
        <f>MID(Tabla1[[#This Row],[Aplicación]],9,4)</f>
        <v>9332</v>
      </c>
      <c r="V1932" s="35" t="str">
        <f>VLOOKUP(Tabla1[[#This Row],[PROGRAMA]],Hoja1!A:B,2,FALSE)</f>
        <v>9332. Mantenimiento de edificios e instalaciones municipales</v>
      </c>
      <c r="W1932" s="35" t="str">
        <f>MID(Tabla1[[#This Row],[Aplicación]],14,2)</f>
        <v>21</v>
      </c>
      <c r="X1932" s="35" t="str">
        <f>MID(Tabla1[[#This Row],[Aplicación]],14,6)</f>
        <v>212</v>
      </c>
    </row>
    <row r="1933" spans="1:24" x14ac:dyDescent="0.25">
      <c r="A1933" s="49">
        <v>220220004156</v>
      </c>
      <c r="B1933" s="50" t="s">
        <v>172</v>
      </c>
      <c r="C1933" s="57">
        <v>44610</v>
      </c>
      <c r="D1933" s="49">
        <v>22022001456</v>
      </c>
      <c r="E1933" s="50" t="s">
        <v>2012</v>
      </c>
      <c r="F1933" s="58">
        <v>12.28</v>
      </c>
      <c r="G1933" s="50" t="s">
        <v>198</v>
      </c>
      <c r="H1933" s="50" t="s">
        <v>3326</v>
      </c>
      <c r="I1933" s="49" t="s">
        <v>173</v>
      </c>
      <c r="J1933" s="50" t="s">
        <v>576</v>
      </c>
      <c r="K1933" s="50" t="s">
        <v>141</v>
      </c>
      <c r="L1933" s="50" t="s">
        <v>15</v>
      </c>
      <c r="M1933" s="50" t="s">
        <v>13</v>
      </c>
      <c r="N1933" s="50" t="s">
        <v>14</v>
      </c>
      <c r="O1933" s="48" t="s">
        <v>631</v>
      </c>
      <c r="P1933" s="45" t="s">
        <v>453</v>
      </c>
      <c r="Q1933" s="35" t="str">
        <f>MID(Tabla1[[#This Row],[Aplicación]],14,1)</f>
        <v>2</v>
      </c>
      <c r="R1933" s="35" t="s">
        <v>441</v>
      </c>
      <c r="S1933" s="35" t="str">
        <f>MID(Tabla1[[#This Row],[Aplicación]],6,2)</f>
        <v>11</v>
      </c>
      <c r="T1933" s="35" t="str">
        <f>VLOOKUP(Tabla1[[#This Row],[AREA]],Hoja1!A:B,2,FALSE)</f>
        <v>11. Salud pública y seguridad ciudadana</v>
      </c>
      <c r="U1933" s="35" t="str">
        <f>MID(Tabla1[[#This Row],[Aplicación]],9,4)</f>
        <v>1321</v>
      </c>
      <c r="V1933" s="35" t="str">
        <f>VLOOKUP(Tabla1[[#This Row],[PROGRAMA]],Hoja1!A:B,2,FALSE)</f>
        <v>1321. Policía municipal</v>
      </c>
      <c r="W1933" s="35" t="str">
        <f>MID(Tabla1[[#This Row],[Aplicación]],14,2)</f>
        <v>22</v>
      </c>
      <c r="X1933" s="35" t="str">
        <f>MID(Tabla1[[#This Row],[Aplicación]],14,6)</f>
        <v>22199</v>
      </c>
    </row>
    <row r="1934" spans="1:24" x14ac:dyDescent="0.25">
      <c r="A1934" s="49">
        <v>220220008963</v>
      </c>
      <c r="B1934" s="50" t="s">
        <v>9</v>
      </c>
      <c r="C1934" s="57">
        <v>44635</v>
      </c>
      <c r="D1934" s="49">
        <v>22022002546</v>
      </c>
      <c r="E1934" s="50" t="s">
        <v>1882</v>
      </c>
      <c r="F1934" s="58">
        <v>9.01</v>
      </c>
      <c r="G1934" s="50" t="s">
        <v>198</v>
      </c>
      <c r="H1934" s="50" t="s">
        <v>1965</v>
      </c>
      <c r="I1934" s="49" t="s">
        <v>107</v>
      </c>
      <c r="J1934" s="50" t="s">
        <v>576</v>
      </c>
      <c r="K1934" s="50" t="s">
        <v>141</v>
      </c>
      <c r="L1934" s="50" t="s">
        <v>15</v>
      </c>
      <c r="M1934" s="50" t="s">
        <v>13</v>
      </c>
      <c r="N1934" s="50" t="s">
        <v>14</v>
      </c>
      <c r="O1934" s="48" t="s">
        <v>631</v>
      </c>
      <c r="P1934" s="45" t="s">
        <v>453</v>
      </c>
      <c r="Q1934" s="35" t="str">
        <f>MID(Tabla1[[#This Row],[Aplicación]],14,1)</f>
        <v>2</v>
      </c>
      <c r="R1934" s="35" t="s">
        <v>441</v>
      </c>
      <c r="S1934" s="35" t="str">
        <f>MID(Tabla1[[#This Row],[Aplicación]],6,2)</f>
        <v>01</v>
      </c>
      <c r="T1934" s="35" t="str">
        <f>VLOOKUP(Tabla1[[#This Row],[AREA]],Hoja1!A:B,2,FALSE)</f>
        <v>01. Alcaldía</v>
      </c>
      <c r="U1934" s="35" t="str">
        <f>MID(Tabla1[[#This Row],[Aplicación]],9,4)</f>
        <v>9206</v>
      </c>
      <c r="V1934" s="35" t="str">
        <f>VLOOKUP(Tabla1[[#This Row],[PROGRAMA]],Hoja1!A:B,2,FALSE)</f>
        <v>9206. Archivo municipal</v>
      </c>
      <c r="W1934" s="35" t="str">
        <f>MID(Tabla1[[#This Row],[Aplicación]],14,2)</f>
        <v>22</v>
      </c>
      <c r="X1934" s="35" t="str">
        <f>MID(Tabla1[[#This Row],[Aplicación]],14,6)</f>
        <v>22199</v>
      </c>
    </row>
    <row r="1935" spans="1:24" x14ac:dyDescent="0.25">
      <c r="A1935" s="49">
        <v>220220000321</v>
      </c>
      <c r="B1935" s="50" t="s">
        <v>26</v>
      </c>
      <c r="C1935" s="57">
        <v>44582</v>
      </c>
      <c r="D1935" s="49">
        <v>22022001320</v>
      </c>
      <c r="E1935" s="50" t="s">
        <v>1635</v>
      </c>
      <c r="F1935" s="58">
        <v>198.26</v>
      </c>
      <c r="G1935" s="50" t="s">
        <v>1279</v>
      </c>
      <c r="H1935" s="50" t="s">
        <v>3327</v>
      </c>
      <c r="I1935" s="49" t="s">
        <v>197</v>
      </c>
      <c r="J1935" s="50" t="s">
        <v>1258</v>
      </c>
      <c r="K1935" s="50" t="s">
        <v>144</v>
      </c>
      <c r="L1935" s="50" t="s">
        <v>15</v>
      </c>
      <c r="M1935" s="50" t="s">
        <v>10</v>
      </c>
      <c r="N1935" s="50" t="s">
        <v>11</v>
      </c>
      <c r="O1935" s="48" t="s">
        <v>632</v>
      </c>
      <c r="P1935" s="45" t="s">
        <v>453</v>
      </c>
      <c r="Q1935" s="35" t="str">
        <f>MID(Tabla1[[#This Row],[Aplicación]],14,1)</f>
        <v>2</v>
      </c>
      <c r="R1935" s="35" t="s">
        <v>441</v>
      </c>
      <c r="S1935" s="35" t="str">
        <f>MID(Tabla1[[#This Row],[Aplicación]],6,2)</f>
        <v>03</v>
      </c>
      <c r="T1935" s="35" t="str">
        <f>VLOOKUP(Tabla1[[#This Row],[AREA]],Hoja1!A:B,2,FALSE)</f>
        <v>03. Participación ciudadana y deportes</v>
      </c>
      <c r="U1935" s="35" t="str">
        <f>MID(Tabla1[[#This Row],[Aplicación]],9,4)</f>
        <v>9241</v>
      </c>
      <c r="V1935" s="35" t="str">
        <f>VLOOKUP(Tabla1[[#This Row],[PROGRAMA]],Hoja1!A:B,2,FALSE)</f>
        <v>9241. Participación ciudadana</v>
      </c>
      <c r="W1935" s="35" t="str">
        <f>MID(Tabla1[[#This Row],[Aplicación]],14,2)</f>
        <v>21</v>
      </c>
      <c r="X1935" s="35" t="str">
        <f>MID(Tabla1[[#This Row],[Aplicación]],14,6)</f>
        <v>212</v>
      </c>
    </row>
    <row r="1936" spans="1:24" x14ac:dyDescent="0.25">
      <c r="A1936" s="49">
        <v>220220007106</v>
      </c>
      <c r="B1936" s="50" t="s">
        <v>9</v>
      </c>
      <c r="C1936" s="57">
        <v>44623</v>
      </c>
      <c r="D1936" s="49">
        <v>22022002542</v>
      </c>
      <c r="E1936" s="50" t="s">
        <v>1943</v>
      </c>
      <c r="F1936" s="58">
        <v>190</v>
      </c>
      <c r="G1936" s="50" t="s">
        <v>264</v>
      </c>
      <c r="H1936" s="50" t="s">
        <v>3328</v>
      </c>
      <c r="I1936" s="49" t="s">
        <v>107</v>
      </c>
      <c r="J1936" s="50" t="s">
        <v>109</v>
      </c>
      <c r="K1936" s="50" t="s">
        <v>109</v>
      </c>
      <c r="L1936" s="50" t="s">
        <v>12</v>
      </c>
      <c r="M1936" s="50" t="s">
        <v>10</v>
      </c>
      <c r="N1936" s="50" t="s">
        <v>11</v>
      </c>
      <c r="O1936" s="48" t="s">
        <v>632</v>
      </c>
      <c r="P1936" s="45" t="s">
        <v>453</v>
      </c>
      <c r="Q1936" s="35" t="str">
        <f>MID(Tabla1[[#This Row],[Aplicación]],14,1)</f>
        <v>2</v>
      </c>
      <c r="R1936" s="35" t="s">
        <v>441</v>
      </c>
      <c r="S1936" s="35" t="str">
        <f>MID(Tabla1[[#This Row],[Aplicación]],6,2)</f>
        <v>10</v>
      </c>
      <c r="T1936" s="35" t="str">
        <f>VLOOKUP(Tabla1[[#This Row],[AREA]],Hoja1!A:B,2,FALSE)</f>
        <v>10. Servicios sociales y mediación comunitaria</v>
      </c>
      <c r="U1936" s="35" t="str">
        <f>MID(Tabla1[[#This Row],[Aplicación]],9,4)</f>
        <v>2312</v>
      </c>
      <c r="V1936" s="35" t="str">
        <f>VLOOKUP(Tabla1[[#This Row],[PROGRAMA]],Hoja1!A:B,2,FALSE)</f>
        <v>2312. Iniciativas sociales</v>
      </c>
      <c r="W1936" s="35" t="str">
        <f>MID(Tabla1[[#This Row],[Aplicación]],14,2)</f>
        <v>22</v>
      </c>
      <c r="X1936" s="35" t="str">
        <f>MID(Tabla1[[#This Row],[Aplicación]],14,6)</f>
        <v>22699</v>
      </c>
    </row>
    <row r="1937" spans="1:24" x14ac:dyDescent="0.25">
      <c r="A1937" s="49">
        <v>220220008961</v>
      </c>
      <c r="B1937" s="50" t="s">
        <v>9</v>
      </c>
      <c r="C1937" s="57">
        <v>44635</v>
      </c>
      <c r="D1937" s="49">
        <v>22022001957</v>
      </c>
      <c r="E1937" s="50" t="s">
        <v>2400</v>
      </c>
      <c r="F1937" s="58">
        <v>433.43</v>
      </c>
      <c r="G1937" s="50" t="s">
        <v>1238</v>
      </c>
      <c r="H1937" s="50" t="s">
        <v>3329</v>
      </c>
      <c r="I1937" s="49" t="s">
        <v>107</v>
      </c>
      <c r="J1937" s="50" t="s">
        <v>109</v>
      </c>
      <c r="K1937" s="50" t="s">
        <v>109</v>
      </c>
      <c r="L1937" s="50" t="s">
        <v>12</v>
      </c>
      <c r="M1937" s="50" t="s">
        <v>10</v>
      </c>
      <c r="N1937" s="50" t="s">
        <v>11</v>
      </c>
      <c r="O1937" s="48" t="s">
        <v>632</v>
      </c>
      <c r="P1937" s="45" t="s">
        <v>453</v>
      </c>
      <c r="Q1937" s="35" t="str">
        <f>MID(Tabla1[[#This Row],[Aplicación]],14,1)</f>
        <v>2</v>
      </c>
      <c r="R1937" s="35" t="s">
        <v>441</v>
      </c>
      <c r="S1937" s="35" t="str">
        <f>MID(Tabla1[[#This Row],[Aplicación]],6,2)</f>
        <v>10</v>
      </c>
      <c r="T1937" s="35" t="str">
        <f>VLOOKUP(Tabla1[[#This Row],[AREA]],Hoja1!A:B,2,FALSE)</f>
        <v>10. Servicios sociales y mediación comunitaria</v>
      </c>
      <c r="U1937" s="35" t="str">
        <f>MID(Tabla1[[#This Row],[Aplicación]],9,4)</f>
        <v>2316</v>
      </c>
      <c r="V1937" s="35" t="str">
        <f>VLOOKUP(Tabla1[[#This Row],[PROGRAMA]],Hoja1!A:B,2,FALSE)</f>
        <v>2316. Mediación comunitaria</v>
      </c>
      <c r="W1937" s="35" t="str">
        <f>MID(Tabla1[[#This Row],[Aplicación]],14,2)</f>
        <v>22</v>
      </c>
      <c r="X1937" s="35" t="str">
        <f>MID(Tabla1[[#This Row],[Aplicación]],14,6)</f>
        <v>22616</v>
      </c>
    </row>
    <row r="1938" spans="1:24" x14ac:dyDescent="0.25">
      <c r="A1938" s="49">
        <v>220220008327</v>
      </c>
      <c r="B1938" s="50" t="s">
        <v>172</v>
      </c>
      <c r="C1938" s="57">
        <v>44631</v>
      </c>
      <c r="D1938" s="49">
        <v>22022001623</v>
      </c>
      <c r="E1938" s="50" t="s">
        <v>1606</v>
      </c>
      <c r="F1938" s="58">
        <v>366.15</v>
      </c>
      <c r="G1938" s="50" t="s">
        <v>233</v>
      </c>
      <c r="H1938" s="50" t="s">
        <v>3330</v>
      </c>
      <c r="I1938" s="49" t="s">
        <v>173</v>
      </c>
      <c r="J1938" s="50" t="s">
        <v>109</v>
      </c>
      <c r="K1938" s="50" t="s">
        <v>109</v>
      </c>
      <c r="L1938" s="50" t="s">
        <v>15</v>
      </c>
      <c r="M1938" s="50" t="s">
        <v>13</v>
      </c>
      <c r="N1938" s="50" t="s">
        <v>14</v>
      </c>
      <c r="O1938" s="48" t="s">
        <v>631</v>
      </c>
      <c r="P1938" s="45" t="s">
        <v>453</v>
      </c>
      <c r="Q1938" s="35" t="str">
        <f>MID(Tabla1[[#This Row],[Aplicación]],14,1)</f>
        <v>2</v>
      </c>
      <c r="R1938" s="35" t="s">
        <v>441</v>
      </c>
      <c r="S1938" s="35" t="str">
        <f>MID(Tabla1[[#This Row],[Aplicación]],6,2)</f>
        <v>11</v>
      </c>
      <c r="T1938" s="35" t="str">
        <f>VLOOKUP(Tabla1[[#This Row],[AREA]],Hoja1!A:B,2,FALSE)</f>
        <v>11. Salud pública y seguridad ciudadana</v>
      </c>
      <c r="U1938" s="35" t="str">
        <f>MID(Tabla1[[#This Row],[Aplicación]],9,4)</f>
        <v>1361</v>
      </c>
      <c r="V1938" s="35" t="str">
        <f>VLOOKUP(Tabla1[[#This Row],[PROGRAMA]],Hoja1!A:B,2,FALSE)</f>
        <v>1361. Prevención y extinción de incencios</v>
      </c>
      <c r="W1938" s="35" t="str">
        <f>MID(Tabla1[[#This Row],[Aplicación]],14,2)</f>
        <v>22</v>
      </c>
      <c r="X1938" s="35" t="str">
        <f>MID(Tabla1[[#This Row],[Aplicación]],14,6)</f>
        <v>22199</v>
      </c>
    </row>
    <row r="1939" spans="1:24" x14ac:dyDescent="0.25">
      <c r="A1939" s="49">
        <v>220220010098</v>
      </c>
      <c r="B1939" s="50" t="s">
        <v>172</v>
      </c>
      <c r="C1939" s="57">
        <v>44638</v>
      </c>
      <c r="D1939" s="49">
        <v>22022001641</v>
      </c>
      <c r="E1939" s="50" t="s">
        <v>2034</v>
      </c>
      <c r="F1939" s="58">
        <v>180.51</v>
      </c>
      <c r="G1939" s="50" t="s">
        <v>233</v>
      </c>
      <c r="H1939" s="50" t="s">
        <v>3331</v>
      </c>
      <c r="I1939" s="49" t="s">
        <v>173</v>
      </c>
      <c r="J1939" s="50" t="s">
        <v>109</v>
      </c>
      <c r="K1939" s="50" t="s">
        <v>109</v>
      </c>
      <c r="L1939" s="50" t="s">
        <v>15</v>
      </c>
      <c r="M1939" s="50" t="s">
        <v>13</v>
      </c>
      <c r="N1939" s="50" t="s">
        <v>16</v>
      </c>
      <c r="O1939" s="48" t="s">
        <v>631</v>
      </c>
      <c r="P1939" s="45" t="s">
        <v>453</v>
      </c>
      <c r="Q1939" s="35" t="str">
        <f>MID(Tabla1[[#This Row],[Aplicación]],14,1)</f>
        <v>2</v>
      </c>
      <c r="R1939" s="35" t="s">
        <v>441</v>
      </c>
      <c r="S1939" s="35" t="str">
        <f>MID(Tabla1[[#This Row],[Aplicación]],6,2)</f>
        <v>06</v>
      </c>
      <c r="T1939" s="35" t="str">
        <f>VLOOKUP(Tabla1[[#This Row],[AREA]],Hoja1!A:B,2,FALSE)</f>
        <v>06. Educación, infancia, juventud e igualdad</v>
      </c>
      <c r="U1939" s="35" t="str">
        <f>MID(Tabla1[[#This Row],[Aplicación]],9,4)</f>
        <v>3232</v>
      </c>
      <c r="V1939" s="35" t="str">
        <f>VLOOKUP(Tabla1[[#This Row],[PROGRAMA]],Hoja1!A:B,2,FALSE)</f>
        <v>3232. Conservación y mantenimiento centros educación infantil y primaria</v>
      </c>
      <c r="W1939" s="35" t="str">
        <f>MID(Tabla1[[#This Row],[Aplicación]],14,2)</f>
        <v>21</v>
      </c>
      <c r="X1939" s="35" t="str">
        <f>MID(Tabla1[[#This Row],[Aplicación]],14,6)</f>
        <v>212</v>
      </c>
    </row>
    <row r="1940" spans="1:24" x14ac:dyDescent="0.25">
      <c r="A1940" s="49">
        <v>220220009519</v>
      </c>
      <c r="B1940" s="50" t="s">
        <v>172</v>
      </c>
      <c r="C1940" s="57">
        <v>44636</v>
      </c>
      <c r="D1940" s="49">
        <v>22022001449</v>
      </c>
      <c r="E1940" s="50" t="s">
        <v>1890</v>
      </c>
      <c r="F1940" s="58">
        <v>156.09</v>
      </c>
      <c r="G1940" s="50" t="s">
        <v>233</v>
      </c>
      <c r="H1940" s="50" t="s">
        <v>3332</v>
      </c>
      <c r="I1940" s="49" t="s">
        <v>173</v>
      </c>
      <c r="J1940" s="50" t="s">
        <v>109</v>
      </c>
      <c r="K1940" s="50" t="s">
        <v>109</v>
      </c>
      <c r="L1940" s="50" t="s">
        <v>15</v>
      </c>
      <c r="M1940" s="50" t="s">
        <v>13</v>
      </c>
      <c r="N1940" s="50" t="s">
        <v>14</v>
      </c>
      <c r="O1940" s="48" t="s">
        <v>631</v>
      </c>
      <c r="P1940" s="45" t="s">
        <v>453</v>
      </c>
      <c r="Q1940" s="35" t="str">
        <f>MID(Tabla1[[#This Row],[Aplicación]],14,1)</f>
        <v>2</v>
      </c>
      <c r="R1940" s="35" t="s">
        <v>441</v>
      </c>
      <c r="S1940" s="35" t="str">
        <f>MID(Tabla1[[#This Row],[Aplicación]],6,2)</f>
        <v>02</v>
      </c>
      <c r="T1940" s="35" t="str">
        <f>VLOOKUP(Tabla1[[#This Row],[AREA]],Hoja1!A:B,2,FALSE)</f>
        <v>02. Planeamiento urbanístico y vivienda</v>
      </c>
      <c r="U1940" s="35" t="str">
        <f>MID(Tabla1[[#This Row],[Aplicación]],9,4)</f>
        <v>9332</v>
      </c>
      <c r="V1940" s="35" t="str">
        <f>VLOOKUP(Tabla1[[#This Row],[PROGRAMA]],Hoja1!A:B,2,FALSE)</f>
        <v>9332. Mantenimiento de edificios e instalaciones municipales</v>
      </c>
      <c r="W1940" s="35" t="str">
        <f>MID(Tabla1[[#This Row],[Aplicación]],14,2)</f>
        <v>21</v>
      </c>
      <c r="X1940" s="35" t="str">
        <f>MID(Tabla1[[#This Row],[Aplicación]],14,6)</f>
        <v>212</v>
      </c>
    </row>
    <row r="1941" spans="1:24" x14ac:dyDescent="0.25">
      <c r="A1941" s="49">
        <v>220220012622</v>
      </c>
      <c r="B1941" s="50" t="s">
        <v>172</v>
      </c>
      <c r="C1941" s="57">
        <v>44644</v>
      </c>
      <c r="D1941" s="49">
        <v>22022000045</v>
      </c>
      <c r="E1941" s="50" t="s">
        <v>2018</v>
      </c>
      <c r="F1941" s="58">
        <v>86.02</v>
      </c>
      <c r="G1941" s="50" t="s">
        <v>233</v>
      </c>
      <c r="H1941" s="50" t="s">
        <v>3333</v>
      </c>
      <c r="I1941" s="49" t="s">
        <v>173</v>
      </c>
      <c r="J1941" s="50" t="s">
        <v>109</v>
      </c>
      <c r="K1941" s="50" t="s">
        <v>109</v>
      </c>
      <c r="L1941" s="50" t="s">
        <v>15</v>
      </c>
      <c r="M1941" s="50" t="s">
        <v>13</v>
      </c>
      <c r="N1941" s="50" t="s">
        <v>14</v>
      </c>
      <c r="O1941" s="48" t="s">
        <v>631</v>
      </c>
      <c r="P1941" s="45" t="s">
        <v>453</v>
      </c>
      <c r="Q1941" s="35" t="str">
        <f>MID(Tabla1[[#This Row],[Aplicación]],14,1)</f>
        <v>2</v>
      </c>
      <c r="R1941" s="35" t="s">
        <v>441</v>
      </c>
      <c r="S1941" s="35" t="str">
        <f>MID(Tabla1[[#This Row],[Aplicación]],6,2)</f>
        <v>11</v>
      </c>
      <c r="T1941" s="35" t="str">
        <f>VLOOKUP(Tabla1[[#This Row],[AREA]],Hoja1!A:B,2,FALSE)</f>
        <v>11. Salud pública y seguridad ciudadana</v>
      </c>
      <c r="U1941" s="35" t="str">
        <f>MID(Tabla1[[#This Row],[Aplicación]],9,4)</f>
        <v>1631</v>
      </c>
      <c r="V1941" s="35" t="str">
        <f>VLOOKUP(Tabla1[[#This Row],[PROGRAMA]],Hoja1!A:B,2,FALSE)</f>
        <v>1631. Limpieza viaria</v>
      </c>
      <c r="W1941" s="35" t="str">
        <f>MID(Tabla1[[#This Row],[Aplicación]],14,2)</f>
        <v>22</v>
      </c>
      <c r="X1941" s="35" t="str">
        <f>MID(Tabla1[[#This Row],[Aplicación]],14,6)</f>
        <v>22199</v>
      </c>
    </row>
    <row r="1942" spans="1:24" x14ac:dyDescent="0.25">
      <c r="A1942" s="49">
        <v>220220012736</v>
      </c>
      <c r="B1942" s="50" t="s">
        <v>172</v>
      </c>
      <c r="C1942" s="57">
        <v>44644</v>
      </c>
      <c r="D1942" s="49">
        <v>22022001449</v>
      </c>
      <c r="E1942" s="50" t="s">
        <v>1890</v>
      </c>
      <c r="F1942" s="58">
        <v>84.22</v>
      </c>
      <c r="G1942" s="50" t="s">
        <v>233</v>
      </c>
      <c r="H1942" s="50" t="s">
        <v>3334</v>
      </c>
      <c r="I1942" s="49" t="s">
        <v>173</v>
      </c>
      <c r="J1942" s="50" t="s">
        <v>109</v>
      </c>
      <c r="K1942" s="50" t="s">
        <v>109</v>
      </c>
      <c r="L1942" s="50" t="s">
        <v>15</v>
      </c>
      <c r="M1942" s="50" t="s">
        <v>13</v>
      </c>
      <c r="N1942" s="50" t="s">
        <v>14</v>
      </c>
      <c r="O1942" s="48" t="s">
        <v>631</v>
      </c>
      <c r="P1942" s="45" t="s">
        <v>453</v>
      </c>
      <c r="Q1942" s="35" t="str">
        <f>MID(Tabla1[[#This Row],[Aplicación]],14,1)</f>
        <v>2</v>
      </c>
      <c r="R1942" s="35" t="s">
        <v>441</v>
      </c>
      <c r="S1942" s="35" t="str">
        <f>MID(Tabla1[[#This Row],[Aplicación]],6,2)</f>
        <v>02</v>
      </c>
      <c r="T1942" s="35" t="str">
        <f>VLOOKUP(Tabla1[[#This Row],[AREA]],Hoja1!A:B,2,FALSE)</f>
        <v>02. Planeamiento urbanístico y vivienda</v>
      </c>
      <c r="U1942" s="35" t="str">
        <f>MID(Tabla1[[#This Row],[Aplicación]],9,4)</f>
        <v>9332</v>
      </c>
      <c r="V1942" s="35" t="str">
        <f>VLOOKUP(Tabla1[[#This Row],[PROGRAMA]],Hoja1!A:B,2,FALSE)</f>
        <v>9332. Mantenimiento de edificios e instalaciones municipales</v>
      </c>
      <c r="W1942" s="35" t="str">
        <f>MID(Tabla1[[#This Row],[Aplicación]],14,2)</f>
        <v>21</v>
      </c>
      <c r="X1942" s="35" t="str">
        <f>MID(Tabla1[[#This Row],[Aplicación]],14,6)</f>
        <v>212</v>
      </c>
    </row>
    <row r="1943" spans="1:24" x14ac:dyDescent="0.25">
      <c r="A1943" s="49">
        <v>220220006823</v>
      </c>
      <c r="B1943" s="50" t="s">
        <v>172</v>
      </c>
      <c r="C1943" s="57">
        <v>44622</v>
      </c>
      <c r="D1943" s="49">
        <v>22022001456</v>
      </c>
      <c r="E1943" s="50" t="s">
        <v>2012</v>
      </c>
      <c r="F1943" s="58">
        <v>76.23</v>
      </c>
      <c r="G1943" s="50" t="s">
        <v>233</v>
      </c>
      <c r="H1943" s="50" t="s">
        <v>3335</v>
      </c>
      <c r="I1943" s="49" t="s">
        <v>173</v>
      </c>
      <c r="J1943" s="50" t="s">
        <v>109</v>
      </c>
      <c r="K1943" s="50" t="s">
        <v>109</v>
      </c>
      <c r="L1943" s="50" t="s">
        <v>15</v>
      </c>
      <c r="M1943" s="50" t="s">
        <v>13</v>
      </c>
      <c r="N1943" s="50" t="s">
        <v>14</v>
      </c>
      <c r="O1943" s="48" t="s">
        <v>631</v>
      </c>
      <c r="P1943" s="45" t="s">
        <v>453</v>
      </c>
      <c r="Q1943" s="35" t="str">
        <f>MID(Tabla1[[#This Row],[Aplicación]],14,1)</f>
        <v>2</v>
      </c>
      <c r="R1943" s="35" t="s">
        <v>441</v>
      </c>
      <c r="S1943" s="35" t="str">
        <f>MID(Tabla1[[#This Row],[Aplicación]],6,2)</f>
        <v>11</v>
      </c>
      <c r="T1943" s="35" t="str">
        <f>VLOOKUP(Tabla1[[#This Row],[AREA]],Hoja1!A:B,2,FALSE)</f>
        <v>11. Salud pública y seguridad ciudadana</v>
      </c>
      <c r="U1943" s="35" t="str">
        <f>MID(Tabla1[[#This Row],[Aplicación]],9,4)</f>
        <v>1321</v>
      </c>
      <c r="V1943" s="35" t="str">
        <f>VLOOKUP(Tabla1[[#This Row],[PROGRAMA]],Hoja1!A:B,2,FALSE)</f>
        <v>1321. Policía municipal</v>
      </c>
      <c r="W1943" s="35" t="str">
        <f>MID(Tabla1[[#This Row],[Aplicación]],14,2)</f>
        <v>22</v>
      </c>
      <c r="X1943" s="35" t="str">
        <f>MID(Tabla1[[#This Row],[Aplicación]],14,6)</f>
        <v>22199</v>
      </c>
    </row>
    <row r="1944" spans="1:24" x14ac:dyDescent="0.25">
      <c r="A1944" s="49">
        <v>220220006848</v>
      </c>
      <c r="B1944" s="50" t="s">
        <v>172</v>
      </c>
      <c r="C1944" s="57">
        <v>44622</v>
      </c>
      <c r="D1944" s="49">
        <v>22022001641</v>
      </c>
      <c r="E1944" s="50" t="s">
        <v>2034</v>
      </c>
      <c r="F1944" s="58">
        <v>54.45</v>
      </c>
      <c r="G1944" s="50" t="s">
        <v>233</v>
      </c>
      <c r="H1944" s="50" t="s">
        <v>3336</v>
      </c>
      <c r="I1944" s="49" t="s">
        <v>173</v>
      </c>
      <c r="J1944" s="50" t="s">
        <v>109</v>
      </c>
      <c r="K1944" s="50" t="s">
        <v>109</v>
      </c>
      <c r="L1944" s="50" t="s">
        <v>15</v>
      </c>
      <c r="M1944" s="50" t="s">
        <v>13</v>
      </c>
      <c r="N1944" s="50" t="s">
        <v>14</v>
      </c>
      <c r="O1944" s="48" t="s">
        <v>631</v>
      </c>
      <c r="P1944" s="45" t="s">
        <v>453</v>
      </c>
      <c r="Q1944" s="35" t="str">
        <f>MID(Tabla1[[#This Row],[Aplicación]],14,1)</f>
        <v>2</v>
      </c>
      <c r="R1944" s="35" t="s">
        <v>441</v>
      </c>
      <c r="S1944" s="35" t="str">
        <f>MID(Tabla1[[#This Row],[Aplicación]],6,2)</f>
        <v>06</v>
      </c>
      <c r="T1944" s="35" t="str">
        <f>VLOOKUP(Tabla1[[#This Row],[AREA]],Hoja1!A:B,2,FALSE)</f>
        <v>06. Educación, infancia, juventud e igualdad</v>
      </c>
      <c r="U1944" s="35" t="str">
        <f>MID(Tabla1[[#This Row],[Aplicación]],9,4)</f>
        <v>3232</v>
      </c>
      <c r="V1944" s="35" t="str">
        <f>VLOOKUP(Tabla1[[#This Row],[PROGRAMA]],Hoja1!A:B,2,FALSE)</f>
        <v>3232. Conservación y mantenimiento centros educación infantil y primaria</v>
      </c>
      <c r="W1944" s="35" t="str">
        <f>MID(Tabla1[[#This Row],[Aplicación]],14,2)</f>
        <v>21</v>
      </c>
      <c r="X1944" s="35" t="str">
        <f>MID(Tabla1[[#This Row],[Aplicación]],14,6)</f>
        <v>212</v>
      </c>
    </row>
    <row r="1945" spans="1:24" x14ac:dyDescent="0.25">
      <c r="A1945" s="49">
        <v>220220006372</v>
      </c>
      <c r="B1945" s="50" t="s">
        <v>172</v>
      </c>
      <c r="C1945" s="57">
        <v>44617</v>
      </c>
      <c r="D1945" s="49">
        <v>22022001641</v>
      </c>
      <c r="E1945" s="50" t="s">
        <v>2034</v>
      </c>
      <c r="F1945" s="58">
        <v>45.38</v>
      </c>
      <c r="G1945" s="50" t="s">
        <v>233</v>
      </c>
      <c r="H1945" s="50" t="s">
        <v>3337</v>
      </c>
      <c r="I1945" s="49" t="s">
        <v>173</v>
      </c>
      <c r="J1945" s="50" t="s">
        <v>109</v>
      </c>
      <c r="K1945" s="50" t="s">
        <v>109</v>
      </c>
      <c r="L1945" s="50" t="s">
        <v>15</v>
      </c>
      <c r="M1945" s="50" t="s">
        <v>13</v>
      </c>
      <c r="N1945" s="50" t="s">
        <v>14</v>
      </c>
      <c r="O1945" s="48" t="s">
        <v>631</v>
      </c>
      <c r="P1945" s="45" t="s">
        <v>453</v>
      </c>
      <c r="Q1945" s="35" t="str">
        <f>MID(Tabla1[[#This Row],[Aplicación]],14,1)</f>
        <v>2</v>
      </c>
      <c r="R1945" s="35" t="s">
        <v>441</v>
      </c>
      <c r="S1945" s="35" t="str">
        <f>MID(Tabla1[[#This Row],[Aplicación]],6,2)</f>
        <v>06</v>
      </c>
      <c r="T1945" s="35" t="str">
        <f>VLOOKUP(Tabla1[[#This Row],[AREA]],Hoja1!A:B,2,FALSE)</f>
        <v>06. Educación, infancia, juventud e igualdad</v>
      </c>
      <c r="U1945" s="35" t="str">
        <f>MID(Tabla1[[#This Row],[Aplicación]],9,4)</f>
        <v>3232</v>
      </c>
      <c r="V1945" s="35" t="str">
        <f>VLOOKUP(Tabla1[[#This Row],[PROGRAMA]],Hoja1!A:B,2,FALSE)</f>
        <v>3232. Conservación y mantenimiento centros educación infantil y primaria</v>
      </c>
      <c r="W1945" s="35" t="str">
        <f>MID(Tabla1[[#This Row],[Aplicación]],14,2)</f>
        <v>21</v>
      </c>
      <c r="X1945" s="35" t="str">
        <f>MID(Tabla1[[#This Row],[Aplicación]],14,6)</f>
        <v>212</v>
      </c>
    </row>
    <row r="1946" spans="1:24" x14ac:dyDescent="0.25">
      <c r="A1946" s="49">
        <v>220220010100</v>
      </c>
      <c r="B1946" s="50" t="s">
        <v>172</v>
      </c>
      <c r="C1946" s="57">
        <v>44638</v>
      </c>
      <c r="D1946" s="49">
        <v>22022001641</v>
      </c>
      <c r="E1946" s="50" t="s">
        <v>2034</v>
      </c>
      <c r="F1946" s="58">
        <v>32.67</v>
      </c>
      <c r="G1946" s="50" t="s">
        <v>233</v>
      </c>
      <c r="H1946" s="50" t="s">
        <v>3338</v>
      </c>
      <c r="I1946" s="49" t="s">
        <v>173</v>
      </c>
      <c r="J1946" s="50" t="s">
        <v>109</v>
      </c>
      <c r="K1946" s="50" t="s">
        <v>109</v>
      </c>
      <c r="L1946" s="50" t="s">
        <v>15</v>
      </c>
      <c r="M1946" s="50" t="s">
        <v>13</v>
      </c>
      <c r="N1946" s="50" t="s">
        <v>16</v>
      </c>
      <c r="O1946" s="48" t="s">
        <v>631</v>
      </c>
      <c r="P1946" s="45" t="s">
        <v>453</v>
      </c>
      <c r="Q1946" s="35" t="str">
        <f>MID(Tabla1[[#This Row],[Aplicación]],14,1)</f>
        <v>2</v>
      </c>
      <c r="R1946" s="35" t="s">
        <v>441</v>
      </c>
      <c r="S1946" s="35" t="str">
        <f>MID(Tabla1[[#This Row],[Aplicación]],6,2)</f>
        <v>06</v>
      </c>
      <c r="T1946" s="35" t="str">
        <f>VLOOKUP(Tabla1[[#This Row],[AREA]],Hoja1!A:B,2,FALSE)</f>
        <v>06. Educación, infancia, juventud e igualdad</v>
      </c>
      <c r="U1946" s="35" t="str">
        <f>MID(Tabla1[[#This Row],[Aplicación]],9,4)</f>
        <v>3232</v>
      </c>
      <c r="V1946" s="35" t="str">
        <f>VLOOKUP(Tabla1[[#This Row],[PROGRAMA]],Hoja1!A:B,2,FALSE)</f>
        <v>3232. Conservación y mantenimiento centros educación infantil y primaria</v>
      </c>
      <c r="W1946" s="35" t="str">
        <f>MID(Tabla1[[#This Row],[Aplicación]],14,2)</f>
        <v>21</v>
      </c>
      <c r="X1946" s="35" t="str">
        <f>MID(Tabla1[[#This Row],[Aplicación]],14,6)</f>
        <v>212</v>
      </c>
    </row>
    <row r="1947" spans="1:24" x14ac:dyDescent="0.25">
      <c r="A1947" s="49">
        <v>220220006854</v>
      </c>
      <c r="B1947" s="50" t="s">
        <v>172</v>
      </c>
      <c r="C1947" s="57">
        <v>44622</v>
      </c>
      <c r="D1947" s="49">
        <v>22022001641</v>
      </c>
      <c r="E1947" s="50" t="s">
        <v>2034</v>
      </c>
      <c r="F1947" s="58">
        <v>29.04</v>
      </c>
      <c r="G1947" s="50" t="s">
        <v>233</v>
      </c>
      <c r="H1947" s="50" t="s">
        <v>3339</v>
      </c>
      <c r="I1947" s="49" t="s">
        <v>173</v>
      </c>
      <c r="J1947" s="50" t="s">
        <v>109</v>
      </c>
      <c r="K1947" s="50" t="s">
        <v>109</v>
      </c>
      <c r="L1947" s="50" t="s">
        <v>15</v>
      </c>
      <c r="M1947" s="50" t="s">
        <v>13</v>
      </c>
      <c r="N1947" s="50" t="s">
        <v>14</v>
      </c>
      <c r="O1947" s="48" t="s">
        <v>631</v>
      </c>
      <c r="P1947" s="45" t="s">
        <v>453</v>
      </c>
      <c r="Q1947" s="35" t="str">
        <f>MID(Tabla1[[#This Row],[Aplicación]],14,1)</f>
        <v>2</v>
      </c>
      <c r="R1947" s="35" t="s">
        <v>441</v>
      </c>
      <c r="S1947" s="35" t="str">
        <f>MID(Tabla1[[#This Row],[Aplicación]],6,2)</f>
        <v>06</v>
      </c>
      <c r="T1947" s="35" t="str">
        <f>VLOOKUP(Tabla1[[#This Row],[AREA]],Hoja1!A:B,2,FALSE)</f>
        <v>06. Educación, infancia, juventud e igualdad</v>
      </c>
      <c r="U1947" s="35" t="str">
        <f>MID(Tabla1[[#This Row],[Aplicación]],9,4)</f>
        <v>3232</v>
      </c>
      <c r="V1947" s="35" t="str">
        <f>VLOOKUP(Tabla1[[#This Row],[PROGRAMA]],Hoja1!A:B,2,FALSE)</f>
        <v>3232. Conservación y mantenimiento centros educación infantil y primaria</v>
      </c>
      <c r="W1947" s="35" t="str">
        <f>MID(Tabla1[[#This Row],[Aplicación]],14,2)</f>
        <v>21</v>
      </c>
      <c r="X1947" s="35" t="str">
        <f>MID(Tabla1[[#This Row],[Aplicación]],14,6)</f>
        <v>212</v>
      </c>
    </row>
    <row r="1948" spans="1:24" x14ac:dyDescent="0.25">
      <c r="A1948" s="49">
        <v>220220012611</v>
      </c>
      <c r="B1948" s="50" t="s">
        <v>172</v>
      </c>
      <c r="C1948" s="57">
        <v>44644</v>
      </c>
      <c r="D1948" s="49">
        <v>22022000030</v>
      </c>
      <c r="E1948" s="50" t="s">
        <v>2007</v>
      </c>
      <c r="F1948" s="58">
        <v>18.91</v>
      </c>
      <c r="G1948" s="50" t="s">
        <v>233</v>
      </c>
      <c r="H1948" s="50" t="s">
        <v>3340</v>
      </c>
      <c r="I1948" s="49" t="s">
        <v>173</v>
      </c>
      <c r="J1948" s="50" t="s">
        <v>109</v>
      </c>
      <c r="K1948" s="50" t="s">
        <v>109</v>
      </c>
      <c r="L1948" s="50" t="s">
        <v>15</v>
      </c>
      <c r="M1948" s="50" t="s">
        <v>13</v>
      </c>
      <c r="N1948" s="50" t="s">
        <v>14</v>
      </c>
      <c r="O1948" s="48" t="s">
        <v>631</v>
      </c>
      <c r="P1948" s="45" t="s">
        <v>453</v>
      </c>
      <c r="Q1948" s="35" t="str">
        <f>MID(Tabla1[[#This Row],[Aplicación]],14,1)</f>
        <v>2</v>
      </c>
      <c r="R1948" s="35" t="s">
        <v>441</v>
      </c>
      <c r="S1948" s="35" t="str">
        <f>MID(Tabla1[[#This Row],[Aplicación]],6,2)</f>
        <v>11</v>
      </c>
      <c r="T1948" s="35" t="str">
        <f>VLOOKUP(Tabla1[[#This Row],[AREA]],Hoja1!A:B,2,FALSE)</f>
        <v>11. Salud pública y seguridad ciudadana</v>
      </c>
      <c r="U1948" s="35" t="str">
        <f>MID(Tabla1[[#This Row],[Aplicación]],9,4)</f>
        <v>1621</v>
      </c>
      <c r="V1948" s="35" t="str">
        <f>VLOOKUP(Tabla1[[#This Row],[PROGRAMA]],Hoja1!A:B,2,FALSE)</f>
        <v>1621. Servicio de limpieza</v>
      </c>
      <c r="W1948" s="35" t="str">
        <f>MID(Tabla1[[#This Row],[Aplicación]],14,2)</f>
        <v>22</v>
      </c>
      <c r="X1948" s="35" t="str">
        <f>MID(Tabla1[[#This Row],[Aplicación]],14,6)</f>
        <v>22199</v>
      </c>
    </row>
    <row r="1949" spans="1:24" x14ac:dyDescent="0.25">
      <c r="A1949" s="49">
        <v>220220012694</v>
      </c>
      <c r="B1949" s="50" t="s">
        <v>172</v>
      </c>
      <c r="C1949" s="57">
        <v>44644</v>
      </c>
      <c r="D1949" s="49">
        <v>22022001628</v>
      </c>
      <c r="E1949" s="50" t="s">
        <v>1742</v>
      </c>
      <c r="F1949" s="58">
        <v>18.149999999999999</v>
      </c>
      <c r="G1949" s="50" t="s">
        <v>233</v>
      </c>
      <c r="H1949" s="50" t="s">
        <v>3341</v>
      </c>
      <c r="I1949" s="49" t="s">
        <v>173</v>
      </c>
      <c r="J1949" s="50" t="s">
        <v>109</v>
      </c>
      <c r="K1949" s="50" t="s">
        <v>109</v>
      </c>
      <c r="L1949" s="50" t="s">
        <v>15</v>
      </c>
      <c r="M1949" s="50" t="s">
        <v>13</v>
      </c>
      <c r="N1949" s="50" t="s">
        <v>16</v>
      </c>
      <c r="O1949" s="48" t="s">
        <v>631</v>
      </c>
      <c r="P1949" s="45" t="s">
        <v>453</v>
      </c>
      <c r="Q1949" s="35" t="str">
        <f>MID(Tabla1[[#This Row],[Aplicación]],14,1)</f>
        <v>2</v>
      </c>
      <c r="R1949" s="35" t="s">
        <v>441</v>
      </c>
      <c r="S1949" s="35" t="str">
        <f>MID(Tabla1[[#This Row],[Aplicación]],6,2)</f>
        <v>03</v>
      </c>
      <c r="T1949" s="35" t="str">
        <f>VLOOKUP(Tabla1[[#This Row],[AREA]],Hoja1!A:B,2,FALSE)</f>
        <v>03. Participación ciudadana y deportes</v>
      </c>
      <c r="U1949" s="35" t="str">
        <f>MID(Tabla1[[#This Row],[Aplicación]],9,4)</f>
        <v>9241</v>
      </c>
      <c r="V1949" s="35" t="str">
        <f>VLOOKUP(Tabla1[[#This Row],[PROGRAMA]],Hoja1!A:B,2,FALSE)</f>
        <v>9241. Participación ciudadana</v>
      </c>
      <c r="W1949" s="35" t="str">
        <f>MID(Tabla1[[#This Row],[Aplicación]],14,2)</f>
        <v>21</v>
      </c>
      <c r="X1949" s="35" t="str">
        <f>MID(Tabla1[[#This Row],[Aplicación]],14,6)</f>
        <v>213</v>
      </c>
    </row>
    <row r="1950" spans="1:24" x14ac:dyDescent="0.25">
      <c r="A1950" s="49">
        <v>220220006852</v>
      </c>
      <c r="B1950" s="50" t="s">
        <v>172</v>
      </c>
      <c r="C1950" s="57">
        <v>44622</v>
      </c>
      <c r="D1950" s="49">
        <v>22022001641</v>
      </c>
      <c r="E1950" s="50" t="s">
        <v>2034</v>
      </c>
      <c r="F1950" s="58">
        <v>8.4700000000000006</v>
      </c>
      <c r="G1950" s="50" t="s">
        <v>233</v>
      </c>
      <c r="H1950" s="50" t="s">
        <v>3342</v>
      </c>
      <c r="I1950" s="49" t="s">
        <v>173</v>
      </c>
      <c r="J1950" s="50" t="s">
        <v>109</v>
      </c>
      <c r="K1950" s="50" t="s">
        <v>109</v>
      </c>
      <c r="L1950" s="50" t="s">
        <v>15</v>
      </c>
      <c r="M1950" s="50" t="s">
        <v>13</v>
      </c>
      <c r="N1950" s="50" t="s">
        <v>14</v>
      </c>
      <c r="O1950" s="48" t="s">
        <v>631</v>
      </c>
      <c r="P1950" s="45" t="s">
        <v>453</v>
      </c>
      <c r="Q1950" s="35" t="str">
        <f>MID(Tabla1[[#This Row],[Aplicación]],14,1)</f>
        <v>2</v>
      </c>
      <c r="R1950" s="35" t="s">
        <v>441</v>
      </c>
      <c r="S1950" s="35" t="str">
        <f>MID(Tabla1[[#This Row],[Aplicación]],6,2)</f>
        <v>06</v>
      </c>
      <c r="T1950" s="35" t="str">
        <f>VLOOKUP(Tabla1[[#This Row],[AREA]],Hoja1!A:B,2,FALSE)</f>
        <v>06. Educación, infancia, juventud e igualdad</v>
      </c>
      <c r="U1950" s="35" t="str">
        <f>MID(Tabla1[[#This Row],[Aplicación]],9,4)</f>
        <v>3232</v>
      </c>
      <c r="V1950" s="35" t="str">
        <f>VLOOKUP(Tabla1[[#This Row],[PROGRAMA]],Hoja1!A:B,2,FALSE)</f>
        <v>3232. Conservación y mantenimiento centros educación infantil y primaria</v>
      </c>
      <c r="W1950" s="35" t="str">
        <f>MID(Tabla1[[#This Row],[Aplicación]],14,2)</f>
        <v>21</v>
      </c>
      <c r="X1950" s="35" t="str">
        <f>MID(Tabla1[[#This Row],[Aplicación]],14,6)</f>
        <v>212</v>
      </c>
    </row>
    <row r="1951" spans="1:24" x14ac:dyDescent="0.25">
      <c r="A1951" s="49">
        <v>220220006807</v>
      </c>
      <c r="B1951" s="50" t="s">
        <v>172</v>
      </c>
      <c r="C1951" s="57">
        <v>44622</v>
      </c>
      <c r="D1951" s="49">
        <v>22022000045</v>
      </c>
      <c r="E1951" s="50" t="s">
        <v>2018</v>
      </c>
      <c r="F1951" s="58">
        <v>6.05</v>
      </c>
      <c r="G1951" s="50" t="s">
        <v>233</v>
      </c>
      <c r="H1951" s="50" t="s">
        <v>3343</v>
      </c>
      <c r="I1951" s="49" t="s">
        <v>173</v>
      </c>
      <c r="J1951" s="50" t="s">
        <v>109</v>
      </c>
      <c r="K1951" s="50" t="s">
        <v>109</v>
      </c>
      <c r="L1951" s="50" t="s">
        <v>15</v>
      </c>
      <c r="M1951" s="50" t="s">
        <v>13</v>
      </c>
      <c r="N1951" s="50" t="s">
        <v>14</v>
      </c>
      <c r="O1951" s="48" t="s">
        <v>631</v>
      </c>
      <c r="P1951" s="45" t="s">
        <v>453</v>
      </c>
      <c r="Q1951" s="35" t="str">
        <f>MID(Tabla1[[#This Row],[Aplicación]],14,1)</f>
        <v>2</v>
      </c>
      <c r="R1951" s="35" t="s">
        <v>441</v>
      </c>
      <c r="S1951" s="35" t="str">
        <f>MID(Tabla1[[#This Row],[Aplicación]],6,2)</f>
        <v>11</v>
      </c>
      <c r="T1951" s="35" t="str">
        <f>VLOOKUP(Tabla1[[#This Row],[AREA]],Hoja1!A:B,2,FALSE)</f>
        <v>11. Salud pública y seguridad ciudadana</v>
      </c>
      <c r="U1951" s="35" t="str">
        <f>MID(Tabla1[[#This Row],[Aplicación]],9,4)</f>
        <v>1631</v>
      </c>
      <c r="V1951" s="35" t="str">
        <f>VLOOKUP(Tabla1[[#This Row],[PROGRAMA]],Hoja1!A:B,2,FALSE)</f>
        <v>1631. Limpieza viaria</v>
      </c>
      <c r="W1951" s="35" t="str">
        <f>MID(Tabla1[[#This Row],[Aplicación]],14,2)</f>
        <v>22</v>
      </c>
      <c r="X1951" s="35" t="str">
        <f>MID(Tabla1[[#This Row],[Aplicación]],14,6)</f>
        <v>22199</v>
      </c>
    </row>
    <row r="1952" spans="1:24" x14ac:dyDescent="0.25">
      <c r="A1952" s="49">
        <v>220220009515</v>
      </c>
      <c r="B1952" s="50" t="s">
        <v>172</v>
      </c>
      <c r="C1952" s="57">
        <v>44636</v>
      </c>
      <c r="D1952" s="49">
        <v>22022001449</v>
      </c>
      <c r="E1952" s="50" t="s">
        <v>1890</v>
      </c>
      <c r="F1952" s="58">
        <v>5.26</v>
      </c>
      <c r="G1952" s="50" t="s">
        <v>233</v>
      </c>
      <c r="H1952" s="50" t="s">
        <v>3344</v>
      </c>
      <c r="I1952" s="49" t="s">
        <v>173</v>
      </c>
      <c r="J1952" s="50" t="s">
        <v>109</v>
      </c>
      <c r="K1952" s="50" t="s">
        <v>109</v>
      </c>
      <c r="L1952" s="50" t="s">
        <v>15</v>
      </c>
      <c r="M1952" s="50" t="s">
        <v>13</v>
      </c>
      <c r="N1952" s="50" t="s">
        <v>14</v>
      </c>
      <c r="O1952" s="48" t="s">
        <v>631</v>
      </c>
      <c r="P1952" s="45" t="s">
        <v>453</v>
      </c>
      <c r="Q1952" s="35" t="str">
        <f>MID(Tabla1[[#This Row],[Aplicación]],14,1)</f>
        <v>2</v>
      </c>
      <c r="R1952" s="35" t="s">
        <v>441</v>
      </c>
      <c r="S1952" s="35" t="str">
        <f>MID(Tabla1[[#This Row],[Aplicación]],6,2)</f>
        <v>02</v>
      </c>
      <c r="T1952" s="35" t="str">
        <f>VLOOKUP(Tabla1[[#This Row],[AREA]],Hoja1!A:B,2,FALSE)</f>
        <v>02. Planeamiento urbanístico y vivienda</v>
      </c>
      <c r="U1952" s="35" t="str">
        <f>MID(Tabla1[[#This Row],[Aplicación]],9,4)</f>
        <v>9332</v>
      </c>
      <c r="V1952" s="35" t="str">
        <f>VLOOKUP(Tabla1[[#This Row],[PROGRAMA]],Hoja1!A:B,2,FALSE)</f>
        <v>9332. Mantenimiento de edificios e instalaciones municipales</v>
      </c>
      <c r="W1952" s="35" t="str">
        <f>MID(Tabla1[[#This Row],[Aplicación]],14,2)</f>
        <v>21</v>
      </c>
      <c r="X1952" s="35" t="str">
        <f>MID(Tabla1[[#This Row],[Aplicación]],14,6)</f>
        <v>212</v>
      </c>
    </row>
    <row r="1953" spans="1:24" x14ac:dyDescent="0.25">
      <c r="A1953" s="49">
        <v>220210081350</v>
      </c>
      <c r="B1953" s="50" t="s">
        <v>9</v>
      </c>
      <c r="C1953" s="57">
        <v>44631</v>
      </c>
      <c r="D1953" s="49">
        <v>22021008500</v>
      </c>
      <c r="E1953" s="50" t="s">
        <v>3345</v>
      </c>
      <c r="F1953" s="58">
        <v>7935.79</v>
      </c>
      <c r="G1953" s="50" t="s">
        <v>228</v>
      </c>
      <c r="H1953" s="50" t="s">
        <v>1358</v>
      </c>
      <c r="I1953" s="49" t="s">
        <v>107</v>
      </c>
      <c r="J1953" s="50" t="s">
        <v>109</v>
      </c>
      <c r="K1953" s="50" t="s">
        <v>109</v>
      </c>
      <c r="L1953" s="50" t="s">
        <v>15</v>
      </c>
      <c r="M1953" s="50" t="s">
        <v>10</v>
      </c>
      <c r="N1953" s="50" t="s">
        <v>11</v>
      </c>
      <c r="O1953" s="48" t="s">
        <v>632</v>
      </c>
      <c r="P1953" s="45" t="s">
        <v>453</v>
      </c>
      <c r="Q1953" s="35" t="str">
        <f>MID(Tabla1[[#This Row],[Aplicación]],14,1)</f>
        <v>6</v>
      </c>
      <c r="R1953" s="35" t="s">
        <v>442</v>
      </c>
      <c r="S1953" s="35" t="str">
        <f>MID(Tabla1[[#This Row],[Aplicación]],6,2)</f>
        <v>11</v>
      </c>
      <c r="T1953" s="35" t="str">
        <f>VLOOKUP(Tabla1[[#This Row],[AREA]],Hoja1!A:B,2,FALSE)</f>
        <v>11. Salud pública y seguridad ciudadana</v>
      </c>
      <c r="U1953" s="35" t="str">
        <f>MID(Tabla1[[#This Row],[Aplicación]],9,4)</f>
        <v>1631</v>
      </c>
      <c r="V1953" s="35" t="str">
        <f>VLOOKUP(Tabla1[[#This Row],[PROGRAMA]],Hoja1!A:B,2,FALSE)</f>
        <v>1631. Limpieza viaria</v>
      </c>
      <c r="W1953" s="35" t="str">
        <f>MID(Tabla1[[#This Row],[Aplicación]],14,2)</f>
        <v>63</v>
      </c>
      <c r="X1953" s="35" t="str">
        <f>MID(Tabla1[[#This Row],[Aplicación]],14,6)</f>
        <v>634</v>
      </c>
    </row>
    <row r="1954" spans="1:24" x14ac:dyDescent="0.25">
      <c r="A1954" s="49">
        <v>220220004188</v>
      </c>
      <c r="B1954" s="50" t="s">
        <v>172</v>
      </c>
      <c r="C1954" s="57">
        <v>44610</v>
      </c>
      <c r="D1954" s="49">
        <v>22022000026</v>
      </c>
      <c r="E1954" s="50" t="s">
        <v>1644</v>
      </c>
      <c r="F1954" s="58">
        <v>2847.13</v>
      </c>
      <c r="G1954" s="50" t="s">
        <v>228</v>
      </c>
      <c r="H1954" s="50" t="s">
        <v>3346</v>
      </c>
      <c r="I1954" s="49" t="s">
        <v>173</v>
      </c>
      <c r="J1954" s="50" t="s">
        <v>109</v>
      </c>
      <c r="K1954" s="50" t="s">
        <v>109</v>
      </c>
      <c r="L1954" s="50" t="s">
        <v>15</v>
      </c>
      <c r="M1954" s="50" t="s">
        <v>13</v>
      </c>
      <c r="N1954" s="50" t="s">
        <v>14</v>
      </c>
      <c r="O1954" s="48" t="s">
        <v>631</v>
      </c>
      <c r="P1954" s="45" t="s">
        <v>453</v>
      </c>
      <c r="Q1954" s="35" t="str">
        <f>MID(Tabla1[[#This Row],[Aplicación]],14,1)</f>
        <v>2</v>
      </c>
      <c r="R1954" s="35" t="s">
        <v>441</v>
      </c>
      <c r="S1954" s="35" t="str">
        <f>MID(Tabla1[[#This Row],[Aplicación]],6,2)</f>
        <v>11</v>
      </c>
      <c r="T1954" s="35" t="str">
        <f>VLOOKUP(Tabla1[[#This Row],[AREA]],Hoja1!A:B,2,FALSE)</f>
        <v>11. Salud pública y seguridad ciudadana</v>
      </c>
      <c r="U1954" s="35" t="str">
        <f>MID(Tabla1[[#This Row],[Aplicación]],9,4)</f>
        <v>1621</v>
      </c>
      <c r="V1954" s="35" t="str">
        <f>VLOOKUP(Tabla1[[#This Row],[PROGRAMA]],Hoja1!A:B,2,FALSE)</f>
        <v>1621. Servicio de limpieza</v>
      </c>
      <c r="W1954" s="35" t="str">
        <f>MID(Tabla1[[#This Row],[Aplicación]],14,2)</f>
        <v>21</v>
      </c>
      <c r="X1954" s="35" t="str">
        <f>MID(Tabla1[[#This Row],[Aplicación]],14,6)</f>
        <v>214</v>
      </c>
    </row>
    <row r="1955" spans="1:24" x14ac:dyDescent="0.25">
      <c r="A1955" s="49">
        <v>220220013222</v>
      </c>
      <c r="B1955" s="50" t="s">
        <v>172</v>
      </c>
      <c r="C1955" s="57">
        <v>44650</v>
      </c>
      <c r="D1955" s="49">
        <v>22022000026</v>
      </c>
      <c r="E1955" s="50" t="s">
        <v>1644</v>
      </c>
      <c r="F1955" s="58">
        <v>1852.4</v>
      </c>
      <c r="G1955" s="50" t="s">
        <v>228</v>
      </c>
      <c r="H1955" s="50" t="s">
        <v>3347</v>
      </c>
      <c r="I1955" s="49" t="s">
        <v>173</v>
      </c>
      <c r="J1955" s="50" t="s">
        <v>109</v>
      </c>
      <c r="K1955" s="50" t="s">
        <v>109</v>
      </c>
      <c r="L1955" s="50" t="s">
        <v>15</v>
      </c>
      <c r="M1955" s="50" t="s">
        <v>13</v>
      </c>
      <c r="N1955" s="50" t="s">
        <v>14</v>
      </c>
      <c r="O1955" s="48" t="s">
        <v>631</v>
      </c>
      <c r="P1955" s="45" t="s">
        <v>453</v>
      </c>
      <c r="Q1955" s="35" t="str">
        <f>MID(Tabla1[[#This Row],[Aplicación]],14,1)</f>
        <v>2</v>
      </c>
      <c r="R1955" s="35" t="s">
        <v>441</v>
      </c>
      <c r="S1955" s="35" t="str">
        <f>MID(Tabla1[[#This Row],[Aplicación]],6,2)</f>
        <v>11</v>
      </c>
      <c r="T1955" s="35" t="str">
        <f>VLOOKUP(Tabla1[[#This Row],[AREA]],Hoja1!A:B,2,FALSE)</f>
        <v>11. Salud pública y seguridad ciudadana</v>
      </c>
      <c r="U1955" s="35" t="str">
        <f>MID(Tabla1[[#This Row],[Aplicación]],9,4)</f>
        <v>1621</v>
      </c>
      <c r="V1955" s="35" t="str">
        <f>VLOOKUP(Tabla1[[#This Row],[PROGRAMA]],Hoja1!A:B,2,FALSE)</f>
        <v>1621. Servicio de limpieza</v>
      </c>
      <c r="W1955" s="35" t="str">
        <f>MID(Tabla1[[#This Row],[Aplicación]],14,2)</f>
        <v>21</v>
      </c>
      <c r="X1955" s="35" t="str">
        <f>MID(Tabla1[[#This Row],[Aplicación]],14,6)</f>
        <v>214</v>
      </c>
    </row>
    <row r="1956" spans="1:24" x14ac:dyDescent="0.25">
      <c r="A1956" s="49">
        <v>220220008703</v>
      </c>
      <c r="B1956" s="50" t="s">
        <v>172</v>
      </c>
      <c r="C1956" s="57">
        <v>44634</v>
      </c>
      <c r="D1956" s="49">
        <v>22022000044</v>
      </c>
      <c r="E1956" s="50" t="s">
        <v>1619</v>
      </c>
      <c r="F1956" s="58">
        <v>1808.95</v>
      </c>
      <c r="G1956" s="50" t="s">
        <v>228</v>
      </c>
      <c r="H1956" s="50" t="s">
        <v>3348</v>
      </c>
      <c r="I1956" s="49" t="s">
        <v>173</v>
      </c>
      <c r="J1956" s="50" t="s">
        <v>109</v>
      </c>
      <c r="K1956" s="50" t="s">
        <v>109</v>
      </c>
      <c r="L1956" s="50" t="s">
        <v>15</v>
      </c>
      <c r="M1956" s="50" t="s">
        <v>13</v>
      </c>
      <c r="N1956" s="50" t="s">
        <v>14</v>
      </c>
      <c r="O1956" s="48" t="s">
        <v>631</v>
      </c>
      <c r="P1956" s="45" t="s">
        <v>453</v>
      </c>
      <c r="Q1956" s="35" t="str">
        <f>MID(Tabla1[[#This Row],[Aplicación]],14,1)</f>
        <v>2</v>
      </c>
      <c r="R1956" s="35" t="s">
        <v>441</v>
      </c>
      <c r="S1956" s="35" t="str">
        <f>MID(Tabla1[[#This Row],[Aplicación]],6,2)</f>
        <v>11</v>
      </c>
      <c r="T1956" s="35" t="str">
        <f>VLOOKUP(Tabla1[[#This Row],[AREA]],Hoja1!A:B,2,FALSE)</f>
        <v>11. Salud pública y seguridad ciudadana</v>
      </c>
      <c r="U1956" s="35" t="str">
        <f>MID(Tabla1[[#This Row],[Aplicación]],9,4)</f>
        <v>1631</v>
      </c>
      <c r="V1956" s="35" t="str">
        <f>VLOOKUP(Tabla1[[#This Row],[PROGRAMA]],Hoja1!A:B,2,FALSE)</f>
        <v>1631. Limpieza viaria</v>
      </c>
      <c r="W1956" s="35" t="str">
        <f>MID(Tabla1[[#This Row],[Aplicación]],14,2)</f>
        <v>22</v>
      </c>
      <c r="X1956" s="35" t="str">
        <f>MID(Tabla1[[#This Row],[Aplicación]],14,6)</f>
        <v>22110</v>
      </c>
    </row>
    <row r="1957" spans="1:24" x14ac:dyDescent="0.25">
      <c r="A1957" s="49">
        <v>220220006878</v>
      </c>
      <c r="B1957" s="50" t="s">
        <v>172</v>
      </c>
      <c r="C1957" s="57">
        <v>44622</v>
      </c>
      <c r="D1957" s="49">
        <v>22022000026</v>
      </c>
      <c r="E1957" s="50" t="s">
        <v>1644</v>
      </c>
      <c r="F1957" s="58">
        <v>1768.05</v>
      </c>
      <c r="G1957" s="50" t="s">
        <v>228</v>
      </c>
      <c r="H1957" s="50" t="s">
        <v>3349</v>
      </c>
      <c r="I1957" s="49" t="s">
        <v>173</v>
      </c>
      <c r="J1957" s="50" t="s">
        <v>109</v>
      </c>
      <c r="K1957" s="50" t="s">
        <v>109</v>
      </c>
      <c r="L1957" s="50" t="s">
        <v>15</v>
      </c>
      <c r="M1957" s="50" t="s">
        <v>13</v>
      </c>
      <c r="N1957" s="50" t="s">
        <v>14</v>
      </c>
      <c r="O1957" s="48" t="s">
        <v>631</v>
      </c>
      <c r="P1957" s="45" t="s">
        <v>453</v>
      </c>
      <c r="Q1957" s="35" t="str">
        <f>MID(Tabla1[[#This Row],[Aplicación]],14,1)</f>
        <v>2</v>
      </c>
      <c r="R1957" s="35" t="s">
        <v>441</v>
      </c>
      <c r="S1957" s="35" t="str">
        <f>MID(Tabla1[[#This Row],[Aplicación]],6,2)</f>
        <v>11</v>
      </c>
      <c r="T1957" s="35" t="str">
        <f>VLOOKUP(Tabla1[[#This Row],[AREA]],Hoja1!A:B,2,FALSE)</f>
        <v>11. Salud pública y seguridad ciudadana</v>
      </c>
      <c r="U1957" s="35" t="str">
        <f>MID(Tabla1[[#This Row],[Aplicación]],9,4)</f>
        <v>1621</v>
      </c>
      <c r="V1957" s="35" t="str">
        <f>VLOOKUP(Tabla1[[#This Row],[PROGRAMA]],Hoja1!A:B,2,FALSE)</f>
        <v>1621. Servicio de limpieza</v>
      </c>
      <c r="W1957" s="35" t="str">
        <f>MID(Tabla1[[#This Row],[Aplicación]],14,2)</f>
        <v>21</v>
      </c>
      <c r="X1957" s="35" t="str">
        <f>MID(Tabla1[[#This Row],[Aplicación]],14,6)</f>
        <v>214</v>
      </c>
    </row>
    <row r="1958" spans="1:24" x14ac:dyDescent="0.25">
      <c r="A1958" s="49">
        <v>220220004137</v>
      </c>
      <c r="B1958" s="50" t="s">
        <v>172</v>
      </c>
      <c r="C1958" s="57">
        <v>44610</v>
      </c>
      <c r="D1958" s="49">
        <v>22022000026</v>
      </c>
      <c r="E1958" s="50" t="s">
        <v>1644</v>
      </c>
      <c r="F1958" s="58">
        <v>1698.53</v>
      </c>
      <c r="G1958" s="50" t="s">
        <v>228</v>
      </c>
      <c r="H1958" s="50" t="s">
        <v>3350</v>
      </c>
      <c r="I1958" s="49" t="s">
        <v>173</v>
      </c>
      <c r="J1958" s="50" t="s">
        <v>109</v>
      </c>
      <c r="K1958" s="50" t="s">
        <v>109</v>
      </c>
      <c r="L1958" s="50" t="s">
        <v>15</v>
      </c>
      <c r="M1958" s="50" t="s">
        <v>13</v>
      </c>
      <c r="N1958" s="50" t="s">
        <v>14</v>
      </c>
      <c r="O1958" s="48" t="s">
        <v>631</v>
      </c>
      <c r="P1958" s="45" t="s">
        <v>453</v>
      </c>
      <c r="Q1958" s="35" t="str">
        <f>MID(Tabla1[[#This Row],[Aplicación]],14,1)</f>
        <v>2</v>
      </c>
      <c r="R1958" s="35" t="s">
        <v>441</v>
      </c>
      <c r="S1958" s="35" t="str">
        <f>MID(Tabla1[[#This Row],[Aplicación]],6,2)</f>
        <v>11</v>
      </c>
      <c r="T1958" s="35" t="str">
        <f>VLOOKUP(Tabla1[[#This Row],[AREA]],Hoja1!A:B,2,FALSE)</f>
        <v>11. Salud pública y seguridad ciudadana</v>
      </c>
      <c r="U1958" s="35" t="str">
        <f>MID(Tabla1[[#This Row],[Aplicación]],9,4)</f>
        <v>1621</v>
      </c>
      <c r="V1958" s="35" t="str">
        <f>VLOOKUP(Tabla1[[#This Row],[PROGRAMA]],Hoja1!A:B,2,FALSE)</f>
        <v>1621. Servicio de limpieza</v>
      </c>
      <c r="W1958" s="35" t="str">
        <f>MID(Tabla1[[#This Row],[Aplicación]],14,2)</f>
        <v>21</v>
      </c>
      <c r="X1958" s="35" t="str">
        <f>MID(Tabla1[[#This Row],[Aplicación]],14,6)</f>
        <v>214</v>
      </c>
    </row>
    <row r="1959" spans="1:24" x14ac:dyDescent="0.25">
      <c r="A1959" s="49">
        <v>220220006880</v>
      </c>
      <c r="B1959" s="50" t="s">
        <v>172</v>
      </c>
      <c r="C1959" s="57">
        <v>44622</v>
      </c>
      <c r="D1959" s="49">
        <v>22022000045</v>
      </c>
      <c r="E1959" s="50" t="s">
        <v>2018</v>
      </c>
      <c r="F1959" s="58">
        <v>1295.01</v>
      </c>
      <c r="G1959" s="50" t="s">
        <v>228</v>
      </c>
      <c r="H1959" s="50" t="s">
        <v>3351</v>
      </c>
      <c r="I1959" s="49" t="s">
        <v>173</v>
      </c>
      <c r="J1959" s="50" t="s">
        <v>109</v>
      </c>
      <c r="K1959" s="50" t="s">
        <v>109</v>
      </c>
      <c r="L1959" s="50" t="s">
        <v>15</v>
      </c>
      <c r="M1959" s="50" t="s">
        <v>13</v>
      </c>
      <c r="N1959" s="50" t="s">
        <v>14</v>
      </c>
      <c r="O1959" s="48" t="s">
        <v>631</v>
      </c>
      <c r="P1959" s="45" t="s">
        <v>453</v>
      </c>
      <c r="Q1959" s="35" t="str">
        <f>MID(Tabla1[[#This Row],[Aplicación]],14,1)</f>
        <v>2</v>
      </c>
      <c r="R1959" s="35" t="s">
        <v>441</v>
      </c>
      <c r="S1959" s="35" t="str">
        <f>MID(Tabla1[[#This Row],[Aplicación]],6,2)</f>
        <v>11</v>
      </c>
      <c r="T1959" s="35" t="str">
        <f>VLOOKUP(Tabla1[[#This Row],[AREA]],Hoja1!A:B,2,FALSE)</f>
        <v>11. Salud pública y seguridad ciudadana</v>
      </c>
      <c r="U1959" s="35" t="str">
        <f>MID(Tabla1[[#This Row],[Aplicación]],9,4)</f>
        <v>1631</v>
      </c>
      <c r="V1959" s="35" t="str">
        <f>VLOOKUP(Tabla1[[#This Row],[PROGRAMA]],Hoja1!A:B,2,FALSE)</f>
        <v>1631. Limpieza viaria</v>
      </c>
      <c r="W1959" s="35" t="str">
        <f>MID(Tabla1[[#This Row],[Aplicación]],14,2)</f>
        <v>22</v>
      </c>
      <c r="X1959" s="35" t="str">
        <f>MID(Tabla1[[#This Row],[Aplicación]],14,6)</f>
        <v>22199</v>
      </c>
    </row>
    <row r="1960" spans="1:24" x14ac:dyDescent="0.25">
      <c r="A1960" s="49">
        <v>220220004227</v>
      </c>
      <c r="B1960" s="50" t="s">
        <v>172</v>
      </c>
      <c r="C1960" s="57">
        <v>44610</v>
      </c>
      <c r="D1960" s="49">
        <v>22022000044</v>
      </c>
      <c r="E1960" s="50" t="s">
        <v>1619</v>
      </c>
      <c r="F1960" s="58">
        <v>943.8</v>
      </c>
      <c r="G1960" s="50" t="s">
        <v>228</v>
      </c>
      <c r="H1960" s="50" t="s">
        <v>3352</v>
      </c>
      <c r="I1960" s="49" t="s">
        <v>173</v>
      </c>
      <c r="J1960" s="50" t="s">
        <v>109</v>
      </c>
      <c r="K1960" s="50" t="s">
        <v>109</v>
      </c>
      <c r="L1960" s="50" t="s">
        <v>15</v>
      </c>
      <c r="M1960" s="50" t="s">
        <v>13</v>
      </c>
      <c r="N1960" s="50" t="s">
        <v>14</v>
      </c>
      <c r="O1960" s="48" t="s">
        <v>631</v>
      </c>
      <c r="P1960" s="45" t="s">
        <v>453</v>
      </c>
      <c r="Q1960" s="35" t="str">
        <f>MID(Tabla1[[#This Row],[Aplicación]],14,1)</f>
        <v>2</v>
      </c>
      <c r="R1960" s="35" t="s">
        <v>441</v>
      </c>
      <c r="S1960" s="35" t="str">
        <f>MID(Tabla1[[#This Row],[Aplicación]],6,2)</f>
        <v>11</v>
      </c>
      <c r="T1960" s="35" t="str">
        <f>VLOOKUP(Tabla1[[#This Row],[AREA]],Hoja1!A:B,2,FALSE)</f>
        <v>11. Salud pública y seguridad ciudadana</v>
      </c>
      <c r="U1960" s="35" t="str">
        <f>MID(Tabla1[[#This Row],[Aplicación]],9,4)</f>
        <v>1631</v>
      </c>
      <c r="V1960" s="35" t="str">
        <f>VLOOKUP(Tabla1[[#This Row],[PROGRAMA]],Hoja1!A:B,2,FALSE)</f>
        <v>1631. Limpieza viaria</v>
      </c>
      <c r="W1960" s="35" t="str">
        <f>MID(Tabla1[[#This Row],[Aplicación]],14,2)</f>
        <v>22</v>
      </c>
      <c r="X1960" s="35" t="str">
        <f>MID(Tabla1[[#This Row],[Aplicación]],14,6)</f>
        <v>22110</v>
      </c>
    </row>
    <row r="1961" spans="1:24" x14ac:dyDescent="0.25">
      <c r="A1961" s="49">
        <v>220220004241</v>
      </c>
      <c r="B1961" s="50" t="s">
        <v>172</v>
      </c>
      <c r="C1961" s="57">
        <v>44610</v>
      </c>
      <c r="D1961" s="49">
        <v>22022000045</v>
      </c>
      <c r="E1961" s="50" t="s">
        <v>2018</v>
      </c>
      <c r="F1961" s="58">
        <v>886.88</v>
      </c>
      <c r="G1961" s="50" t="s">
        <v>228</v>
      </c>
      <c r="H1961" s="50" t="s">
        <v>3353</v>
      </c>
      <c r="I1961" s="49" t="s">
        <v>173</v>
      </c>
      <c r="J1961" s="50" t="s">
        <v>109</v>
      </c>
      <c r="K1961" s="50" t="s">
        <v>109</v>
      </c>
      <c r="L1961" s="50" t="s">
        <v>15</v>
      </c>
      <c r="M1961" s="50" t="s">
        <v>13</v>
      </c>
      <c r="N1961" s="50" t="s">
        <v>14</v>
      </c>
      <c r="O1961" s="48" t="s">
        <v>631</v>
      </c>
      <c r="P1961" s="45" t="s">
        <v>453</v>
      </c>
      <c r="Q1961" s="35" t="str">
        <f>MID(Tabla1[[#This Row],[Aplicación]],14,1)</f>
        <v>2</v>
      </c>
      <c r="R1961" s="35" t="s">
        <v>441</v>
      </c>
      <c r="S1961" s="35" t="str">
        <f>MID(Tabla1[[#This Row],[Aplicación]],6,2)</f>
        <v>11</v>
      </c>
      <c r="T1961" s="35" t="str">
        <f>VLOOKUP(Tabla1[[#This Row],[AREA]],Hoja1!A:B,2,FALSE)</f>
        <v>11. Salud pública y seguridad ciudadana</v>
      </c>
      <c r="U1961" s="35" t="str">
        <f>MID(Tabla1[[#This Row],[Aplicación]],9,4)</f>
        <v>1631</v>
      </c>
      <c r="V1961" s="35" t="str">
        <f>VLOOKUP(Tabla1[[#This Row],[PROGRAMA]],Hoja1!A:B,2,FALSE)</f>
        <v>1631. Limpieza viaria</v>
      </c>
      <c r="W1961" s="35" t="str">
        <f>MID(Tabla1[[#This Row],[Aplicación]],14,2)</f>
        <v>22</v>
      </c>
      <c r="X1961" s="35" t="str">
        <f>MID(Tabla1[[#This Row],[Aplicación]],14,6)</f>
        <v>22199</v>
      </c>
    </row>
    <row r="1962" spans="1:24" x14ac:dyDescent="0.25">
      <c r="A1962" s="49">
        <v>220220004225</v>
      </c>
      <c r="B1962" s="50" t="s">
        <v>172</v>
      </c>
      <c r="C1962" s="57">
        <v>44610</v>
      </c>
      <c r="D1962" s="49">
        <v>22022000045</v>
      </c>
      <c r="E1962" s="50" t="s">
        <v>2018</v>
      </c>
      <c r="F1962" s="58">
        <v>400.8</v>
      </c>
      <c r="G1962" s="50" t="s">
        <v>228</v>
      </c>
      <c r="H1962" s="50" t="s">
        <v>3354</v>
      </c>
      <c r="I1962" s="49" t="s">
        <v>173</v>
      </c>
      <c r="J1962" s="50" t="s">
        <v>109</v>
      </c>
      <c r="K1962" s="50" t="s">
        <v>109</v>
      </c>
      <c r="L1962" s="50" t="s">
        <v>15</v>
      </c>
      <c r="M1962" s="50" t="s">
        <v>13</v>
      </c>
      <c r="N1962" s="50" t="s">
        <v>14</v>
      </c>
      <c r="O1962" s="48" t="s">
        <v>631</v>
      </c>
      <c r="P1962" s="45" t="s">
        <v>453</v>
      </c>
      <c r="Q1962" s="35" t="str">
        <f>MID(Tabla1[[#This Row],[Aplicación]],14,1)</f>
        <v>2</v>
      </c>
      <c r="R1962" s="35" t="s">
        <v>441</v>
      </c>
      <c r="S1962" s="35" t="str">
        <f>MID(Tabla1[[#This Row],[Aplicación]],6,2)</f>
        <v>11</v>
      </c>
      <c r="T1962" s="35" t="str">
        <f>VLOOKUP(Tabla1[[#This Row],[AREA]],Hoja1!A:B,2,FALSE)</f>
        <v>11. Salud pública y seguridad ciudadana</v>
      </c>
      <c r="U1962" s="35" t="str">
        <f>MID(Tabla1[[#This Row],[Aplicación]],9,4)</f>
        <v>1631</v>
      </c>
      <c r="V1962" s="35" t="str">
        <f>VLOOKUP(Tabla1[[#This Row],[PROGRAMA]],Hoja1!A:B,2,FALSE)</f>
        <v>1631. Limpieza viaria</v>
      </c>
      <c r="W1962" s="35" t="str">
        <f>MID(Tabla1[[#This Row],[Aplicación]],14,2)</f>
        <v>22</v>
      </c>
      <c r="X1962" s="35" t="str">
        <f>MID(Tabla1[[#This Row],[Aplicación]],14,6)</f>
        <v>22199</v>
      </c>
    </row>
    <row r="1963" spans="1:24" x14ac:dyDescent="0.25">
      <c r="A1963" s="49">
        <v>220220008329</v>
      </c>
      <c r="B1963" s="50" t="s">
        <v>172</v>
      </c>
      <c r="C1963" s="57">
        <v>44631</v>
      </c>
      <c r="D1963" s="49">
        <v>22022001623</v>
      </c>
      <c r="E1963" s="50" t="s">
        <v>1606</v>
      </c>
      <c r="F1963" s="58">
        <v>265.62</v>
      </c>
      <c r="G1963" s="50" t="s">
        <v>228</v>
      </c>
      <c r="H1963" s="50" t="s">
        <v>3355</v>
      </c>
      <c r="I1963" s="49" t="s">
        <v>173</v>
      </c>
      <c r="J1963" s="50" t="s">
        <v>109</v>
      </c>
      <c r="K1963" s="50" t="s">
        <v>109</v>
      </c>
      <c r="L1963" s="50" t="s">
        <v>15</v>
      </c>
      <c r="M1963" s="50" t="s">
        <v>13</v>
      </c>
      <c r="N1963" s="50" t="s">
        <v>14</v>
      </c>
      <c r="O1963" s="48" t="s">
        <v>631</v>
      </c>
      <c r="P1963" s="45" t="s">
        <v>453</v>
      </c>
      <c r="Q1963" s="35" t="str">
        <f>MID(Tabla1[[#This Row],[Aplicación]],14,1)</f>
        <v>2</v>
      </c>
      <c r="R1963" s="35" t="s">
        <v>441</v>
      </c>
      <c r="S1963" s="35" t="str">
        <f>MID(Tabla1[[#This Row],[Aplicación]],6,2)</f>
        <v>11</v>
      </c>
      <c r="T1963" s="35" t="str">
        <f>VLOOKUP(Tabla1[[#This Row],[AREA]],Hoja1!A:B,2,FALSE)</f>
        <v>11. Salud pública y seguridad ciudadana</v>
      </c>
      <c r="U1963" s="35" t="str">
        <f>MID(Tabla1[[#This Row],[Aplicación]],9,4)</f>
        <v>1361</v>
      </c>
      <c r="V1963" s="35" t="str">
        <f>VLOOKUP(Tabla1[[#This Row],[PROGRAMA]],Hoja1!A:B,2,FALSE)</f>
        <v>1361. Prevención y extinción de incencios</v>
      </c>
      <c r="W1963" s="35" t="str">
        <f>MID(Tabla1[[#This Row],[Aplicación]],14,2)</f>
        <v>22</v>
      </c>
      <c r="X1963" s="35" t="str">
        <f>MID(Tabla1[[#This Row],[Aplicación]],14,6)</f>
        <v>22199</v>
      </c>
    </row>
    <row r="1964" spans="1:24" x14ac:dyDescent="0.25">
      <c r="A1964" s="49">
        <v>220220008317</v>
      </c>
      <c r="B1964" s="50" t="s">
        <v>172</v>
      </c>
      <c r="C1964" s="57">
        <v>44631</v>
      </c>
      <c r="D1964" s="49">
        <v>22022001623</v>
      </c>
      <c r="E1964" s="50" t="s">
        <v>1606</v>
      </c>
      <c r="F1964" s="58">
        <v>231.07</v>
      </c>
      <c r="G1964" s="50" t="s">
        <v>228</v>
      </c>
      <c r="H1964" s="50" t="s">
        <v>3356</v>
      </c>
      <c r="I1964" s="49" t="s">
        <v>173</v>
      </c>
      <c r="J1964" s="50" t="s">
        <v>109</v>
      </c>
      <c r="K1964" s="50" t="s">
        <v>109</v>
      </c>
      <c r="L1964" s="50" t="s">
        <v>15</v>
      </c>
      <c r="M1964" s="50" t="s">
        <v>13</v>
      </c>
      <c r="N1964" s="50" t="s">
        <v>14</v>
      </c>
      <c r="O1964" s="48" t="s">
        <v>631</v>
      </c>
      <c r="P1964" s="45" t="s">
        <v>453</v>
      </c>
      <c r="Q1964" s="35" t="str">
        <f>MID(Tabla1[[#This Row],[Aplicación]],14,1)</f>
        <v>2</v>
      </c>
      <c r="R1964" s="35" t="s">
        <v>441</v>
      </c>
      <c r="S1964" s="35" t="str">
        <f>MID(Tabla1[[#This Row],[Aplicación]],6,2)</f>
        <v>11</v>
      </c>
      <c r="T1964" s="35" t="str">
        <f>VLOOKUP(Tabla1[[#This Row],[AREA]],Hoja1!A:B,2,FALSE)</f>
        <v>11. Salud pública y seguridad ciudadana</v>
      </c>
      <c r="U1964" s="35" t="str">
        <f>MID(Tabla1[[#This Row],[Aplicación]],9,4)</f>
        <v>1361</v>
      </c>
      <c r="V1964" s="35" t="str">
        <f>VLOOKUP(Tabla1[[#This Row],[PROGRAMA]],Hoja1!A:B,2,FALSE)</f>
        <v>1361. Prevención y extinción de incencios</v>
      </c>
      <c r="W1964" s="35" t="str">
        <f>MID(Tabla1[[#This Row],[Aplicación]],14,2)</f>
        <v>22</v>
      </c>
      <c r="X1964" s="35" t="str">
        <f>MID(Tabla1[[#This Row],[Aplicación]],14,6)</f>
        <v>22199</v>
      </c>
    </row>
    <row r="1965" spans="1:24" x14ac:dyDescent="0.25">
      <c r="A1965" s="49">
        <v>220220008569</v>
      </c>
      <c r="B1965" s="50" t="s">
        <v>172</v>
      </c>
      <c r="C1965" s="57">
        <v>44631</v>
      </c>
      <c r="D1965" s="49">
        <v>22022000030</v>
      </c>
      <c r="E1965" s="50" t="s">
        <v>2007</v>
      </c>
      <c r="F1965" s="58">
        <v>176.96</v>
      </c>
      <c r="G1965" s="50" t="s">
        <v>228</v>
      </c>
      <c r="H1965" s="50" t="s">
        <v>3357</v>
      </c>
      <c r="I1965" s="49" t="s">
        <v>173</v>
      </c>
      <c r="J1965" s="50" t="s">
        <v>109</v>
      </c>
      <c r="K1965" s="50" t="s">
        <v>109</v>
      </c>
      <c r="L1965" s="50" t="s">
        <v>15</v>
      </c>
      <c r="M1965" s="50" t="s">
        <v>13</v>
      </c>
      <c r="N1965" s="50" t="s">
        <v>14</v>
      </c>
      <c r="O1965" s="48" t="s">
        <v>631</v>
      </c>
      <c r="P1965" s="45" t="s">
        <v>453</v>
      </c>
      <c r="Q1965" s="35" t="str">
        <f>MID(Tabla1[[#This Row],[Aplicación]],14,1)</f>
        <v>2</v>
      </c>
      <c r="R1965" s="35" t="s">
        <v>441</v>
      </c>
      <c r="S1965" s="35" t="str">
        <f>MID(Tabla1[[#This Row],[Aplicación]],6,2)</f>
        <v>11</v>
      </c>
      <c r="T1965" s="35" t="str">
        <f>VLOOKUP(Tabla1[[#This Row],[AREA]],Hoja1!A:B,2,FALSE)</f>
        <v>11. Salud pública y seguridad ciudadana</v>
      </c>
      <c r="U1965" s="35" t="str">
        <f>MID(Tabla1[[#This Row],[Aplicación]],9,4)</f>
        <v>1621</v>
      </c>
      <c r="V1965" s="35" t="str">
        <f>VLOOKUP(Tabla1[[#This Row],[PROGRAMA]],Hoja1!A:B,2,FALSE)</f>
        <v>1621. Servicio de limpieza</v>
      </c>
      <c r="W1965" s="35" t="str">
        <f>MID(Tabla1[[#This Row],[Aplicación]],14,2)</f>
        <v>22</v>
      </c>
      <c r="X1965" s="35" t="str">
        <f>MID(Tabla1[[#This Row],[Aplicación]],14,6)</f>
        <v>22199</v>
      </c>
    </row>
    <row r="1966" spans="1:24" x14ac:dyDescent="0.25">
      <c r="A1966" s="49">
        <v>220220012371</v>
      </c>
      <c r="B1966" s="50" t="s">
        <v>9</v>
      </c>
      <c r="C1966" s="57">
        <v>44643</v>
      </c>
      <c r="D1966" s="49">
        <v>22022002824</v>
      </c>
      <c r="E1966" s="50" t="s">
        <v>1488</v>
      </c>
      <c r="F1966" s="58">
        <v>179.3</v>
      </c>
      <c r="G1966" s="50" t="s">
        <v>174</v>
      </c>
      <c r="H1966" s="50" t="s">
        <v>3358</v>
      </c>
      <c r="I1966" s="49" t="s">
        <v>107</v>
      </c>
      <c r="J1966" s="50" t="s">
        <v>547</v>
      </c>
      <c r="K1966" s="50" t="s">
        <v>109</v>
      </c>
      <c r="L1966" s="50" t="s">
        <v>15</v>
      </c>
      <c r="M1966" s="50" t="s">
        <v>10</v>
      </c>
      <c r="N1966" s="50" t="s">
        <v>11</v>
      </c>
      <c r="O1966" s="48" t="s">
        <v>632</v>
      </c>
      <c r="P1966" s="45" t="s">
        <v>453</v>
      </c>
      <c r="Q1966" s="35" t="str">
        <f>MID(Tabla1[[#This Row],[Aplicación]],14,1)</f>
        <v>2</v>
      </c>
      <c r="R1966" s="35" t="s">
        <v>441</v>
      </c>
      <c r="S1966" s="35" t="str">
        <f>MID(Tabla1[[#This Row],[Aplicación]],6,2)</f>
        <v>10</v>
      </c>
      <c r="T1966" s="35" t="str">
        <f>VLOOKUP(Tabla1[[#This Row],[AREA]],Hoja1!A:B,2,FALSE)</f>
        <v>10. Servicios sociales y mediación comunitaria</v>
      </c>
      <c r="U1966" s="35" t="str">
        <f>MID(Tabla1[[#This Row],[Aplicación]],9,4)</f>
        <v>2312</v>
      </c>
      <c r="V1966" s="35" t="str">
        <f>VLOOKUP(Tabla1[[#This Row],[PROGRAMA]],Hoja1!A:B,2,FALSE)</f>
        <v>2312. Iniciativas sociales</v>
      </c>
      <c r="W1966" s="35" t="str">
        <f>MID(Tabla1[[#This Row],[Aplicación]],14,2)</f>
        <v>21</v>
      </c>
      <c r="X1966" s="35" t="str">
        <f>MID(Tabla1[[#This Row],[Aplicación]],14,6)</f>
        <v>213</v>
      </c>
    </row>
    <row r="1967" spans="1:24" x14ac:dyDescent="0.25">
      <c r="A1967" s="49">
        <v>220220006897</v>
      </c>
      <c r="B1967" s="50" t="s">
        <v>172</v>
      </c>
      <c r="C1967" s="57">
        <v>44622</v>
      </c>
      <c r="D1967" s="49">
        <v>22022002423</v>
      </c>
      <c r="E1967" s="50" t="s">
        <v>2556</v>
      </c>
      <c r="F1967" s="58">
        <v>182.7</v>
      </c>
      <c r="G1967" s="50" t="s">
        <v>218</v>
      </c>
      <c r="H1967" s="50" t="s">
        <v>3359</v>
      </c>
      <c r="I1967" s="49" t="s">
        <v>173</v>
      </c>
      <c r="J1967" s="50" t="s">
        <v>109</v>
      </c>
      <c r="K1967" s="50" t="s">
        <v>109</v>
      </c>
      <c r="L1967" s="50" t="s">
        <v>12</v>
      </c>
      <c r="M1967" s="50" t="s">
        <v>13</v>
      </c>
      <c r="N1967" s="50" t="s">
        <v>14</v>
      </c>
      <c r="O1967" s="48" t="s">
        <v>631</v>
      </c>
      <c r="P1967" s="45" t="s">
        <v>453</v>
      </c>
      <c r="Q1967" s="35" t="str">
        <f>MID(Tabla1[[#This Row],[Aplicación]],14,1)</f>
        <v>2</v>
      </c>
      <c r="R1967" s="35" t="s">
        <v>441</v>
      </c>
      <c r="S1967" s="35" t="str">
        <f>MID(Tabla1[[#This Row],[Aplicación]],6,2)</f>
        <v>08</v>
      </c>
      <c r="T1967" s="35" t="str">
        <f>VLOOKUP(Tabla1[[#This Row],[AREA]],Hoja1!A:B,2,FALSE)</f>
        <v>08. Movilidad y espacio urbano</v>
      </c>
      <c r="U1967" s="35" t="str">
        <f>MID(Tabla1[[#This Row],[Aplicación]],9,4)</f>
        <v>1341</v>
      </c>
      <c r="V1967" s="35" t="str">
        <f>VLOOKUP(Tabla1[[#This Row],[PROGRAMA]],Hoja1!A:B,2,FALSE)</f>
        <v>1341. Movilidad</v>
      </c>
      <c r="W1967" s="35" t="str">
        <f>MID(Tabla1[[#This Row],[Aplicación]],14,2)</f>
        <v>21</v>
      </c>
      <c r="X1967" s="35" t="str">
        <f>MID(Tabla1[[#This Row],[Aplicación]],14,6)</f>
        <v>214</v>
      </c>
    </row>
    <row r="1968" spans="1:24" x14ac:dyDescent="0.25">
      <c r="A1968" s="49">
        <v>220220006899</v>
      </c>
      <c r="B1968" s="50" t="s">
        <v>172</v>
      </c>
      <c r="C1968" s="57">
        <v>44622</v>
      </c>
      <c r="D1968" s="49">
        <v>22022002423</v>
      </c>
      <c r="E1968" s="50" t="s">
        <v>2556</v>
      </c>
      <c r="F1968" s="58">
        <v>152.54</v>
      </c>
      <c r="G1968" s="50" t="s">
        <v>218</v>
      </c>
      <c r="H1968" s="50" t="s">
        <v>3360</v>
      </c>
      <c r="I1968" s="49" t="s">
        <v>173</v>
      </c>
      <c r="J1968" s="50" t="s">
        <v>109</v>
      </c>
      <c r="K1968" s="50" t="s">
        <v>109</v>
      </c>
      <c r="L1968" s="50" t="s">
        <v>12</v>
      </c>
      <c r="M1968" s="50" t="s">
        <v>13</v>
      </c>
      <c r="N1968" s="50" t="s">
        <v>14</v>
      </c>
      <c r="O1968" s="48" t="s">
        <v>631</v>
      </c>
      <c r="P1968" s="45" t="s">
        <v>453</v>
      </c>
      <c r="Q1968" s="35" t="str">
        <f>MID(Tabla1[[#This Row],[Aplicación]],14,1)</f>
        <v>2</v>
      </c>
      <c r="R1968" s="35" t="s">
        <v>441</v>
      </c>
      <c r="S1968" s="35" t="str">
        <f>MID(Tabla1[[#This Row],[Aplicación]],6,2)</f>
        <v>08</v>
      </c>
      <c r="T1968" s="35" t="str">
        <f>VLOOKUP(Tabla1[[#This Row],[AREA]],Hoja1!A:B,2,FALSE)</f>
        <v>08. Movilidad y espacio urbano</v>
      </c>
      <c r="U1968" s="35" t="str">
        <f>MID(Tabla1[[#This Row],[Aplicación]],9,4)</f>
        <v>1341</v>
      </c>
      <c r="V1968" s="35" t="str">
        <f>VLOOKUP(Tabla1[[#This Row],[PROGRAMA]],Hoja1!A:B,2,FALSE)</f>
        <v>1341. Movilidad</v>
      </c>
      <c r="W1968" s="35" t="str">
        <f>MID(Tabla1[[#This Row],[Aplicación]],14,2)</f>
        <v>21</v>
      </c>
      <c r="X1968" s="35" t="str">
        <f>MID(Tabla1[[#This Row],[Aplicación]],14,6)</f>
        <v>214</v>
      </c>
    </row>
    <row r="1969" spans="1:24" x14ac:dyDescent="0.25">
      <c r="A1969" s="49">
        <v>220220007086</v>
      </c>
      <c r="B1969" s="50" t="s">
        <v>172</v>
      </c>
      <c r="C1969" s="57">
        <v>44623</v>
      </c>
      <c r="D1969" s="49">
        <v>22022002197</v>
      </c>
      <c r="E1969" s="50" t="s">
        <v>3361</v>
      </c>
      <c r="F1969" s="58">
        <v>108.9</v>
      </c>
      <c r="G1969" s="50" t="s">
        <v>218</v>
      </c>
      <c r="H1969" s="50" t="s">
        <v>3362</v>
      </c>
      <c r="I1969" s="49" t="s">
        <v>173</v>
      </c>
      <c r="J1969" s="50" t="s">
        <v>109</v>
      </c>
      <c r="K1969" s="50" t="s">
        <v>109</v>
      </c>
      <c r="L1969" s="50" t="s">
        <v>12</v>
      </c>
      <c r="M1969" s="50" t="s">
        <v>13</v>
      </c>
      <c r="N1969" s="50" t="s">
        <v>14</v>
      </c>
      <c r="O1969" s="48" t="s">
        <v>631</v>
      </c>
      <c r="P1969" s="45" t="s">
        <v>453</v>
      </c>
      <c r="Q1969" s="35" t="str">
        <f>MID(Tabla1[[#This Row],[Aplicación]],14,1)</f>
        <v>2</v>
      </c>
      <c r="R1969" s="35" t="s">
        <v>441</v>
      </c>
      <c r="S1969" s="35" t="str">
        <f>MID(Tabla1[[#This Row],[Aplicación]],6,2)</f>
        <v>01</v>
      </c>
      <c r="T1969" s="35" t="str">
        <f>VLOOKUP(Tabla1[[#This Row],[AREA]],Hoja1!A:B,2,FALSE)</f>
        <v>01. Alcaldía</v>
      </c>
      <c r="U1969" s="35" t="str">
        <f>MID(Tabla1[[#This Row],[Aplicación]],9,4)</f>
        <v>9203</v>
      </c>
      <c r="V1969" s="35" t="str">
        <f>VLOOKUP(Tabla1[[#This Row],[PROGRAMA]],Hoja1!A:B,2,FALSE)</f>
        <v>9203. Unidad de régimen interior</v>
      </c>
      <c r="W1969" s="35" t="str">
        <f>MID(Tabla1[[#This Row],[Aplicación]],14,2)</f>
        <v>21</v>
      </c>
      <c r="X1969" s="35" t="str">
        <f>MID(Tabla1[[#This Row],[Aplicación]],14,6)</f>
        <v>214</v>
      </c>
    </row>
    <row r="1970" spans="1:24" x14ac:dyDescent="0.25">
      <c r="A1970" s="49">
        <v>220220004162</v>
      </c>
      <c r="B1970" s="50" t="s">
        <v>172</v>
      </c>
      <c r="C1970" s="57">
        <v>44610</v>
      </c>
      <c r="D1970" s="49">
        <v>22022001453</v>
      </c>
      <c r="E1970" s="50" t="s">
        <v>1608</v>
      </c>
      <c r="F1970" s="58">
        <v>959.53</v>
      </c>
      <c r="G1970" s="50" t="s">
        <v>218</v>
      </c>
      <c r="H1970" s="50" t="s">
        <v>3363</v>
      </c>
      <c r="I1970" s="49" t="s">
        <v>173</v>
      </c>
      <c r="J1970" s="50" t="s">
        <v>109</v>
      </c>
      <c r="K1970" s="50" t="s">
        <v>109</v>
      </c>
      <c r="L1970" s="50" t="s">
        <v>12</v>
      </c>
      <c r="M1970" s="50" t="s">
        <v>13</v>
      </c>
      <c r="N1970" s="50" t="s">
        <v>14</v>
      </c>
      <c r="O1970" s="48" t="s">
        <v>631</v>
      </c>
      <c r="P1970" s="45" t="s">
        <v>453</v>
      </c>
      <c r="Q1970" s="35" t="str">
        <f>MID(Tabla1[[#This Row],[Aplicación]],14,1)</f>
        <v>2</v>
      </c>
      <c r="R1970" s="35" t="s">
        <v>441</v>
      </c>
      <c r="S1970" s="35" t="str">
        <f>MID(Tabla1[[#This Row],[Aplicación]],6,2)</f>
        <v>11</v>
      </c>
      <c r="T1970" s="35" t="str">
        <f>VLOOKUP(Tabla1[[#This Row],[AREA]],Hoja1!A:B,2,FALSE)</f>
        <v>11. Salud pública y seguridad ciudadana</v>
      </c>
      <c r="U1970" s="35" t="str">
        <f>MID(Tabla1[[#This Row],[Aplicación]],9,4)</f>
        <v>1321</v>
      </c>
      <c r="V1970" s="35" t="str">
        <f>VLOOKUP(Tabla1[[#This Row],[PROGRAMA]],Hoja1!A:B,2,FALSE)</f>
        <v>1321. Policía municipal</v>
      </c>
      <c r="W1970" s="35" t="str">
        <f>MID(Tabla1[[#This Row],[Aplicación]],14,2)</f>
        <v>21</v>
      </c>
      <c r="X1970" s="35" t="str">
        <f>MID(Tabla1[[#This Row],[Aplicación]],14,6)</f>
        <v>214</v>
      </c>
    </row>
    <row r="1971" spans="1:24" x14ac:dyDescent="0.25">
      <c r="A1971" s="49">
        <v>220220004164</v>
      </c>
      <c r="B1971" s="50" t="s">
        <v>172</v>
      </c>
      <c r="C1971" s="57">
        <v>44610</v>
      </c>
      <c r="D1971" s="49">
        <v>22022001453</v>
      </c>
      <c r="E1971" s="50" t="s">
        <v>1608</v>
      </c>
      <c r="F1971" s="58">
        <v>127.59</v>
      </c>
      <c r="G1971" s="50" t="s">
        <v>218</v>
      </c>
      <c r="H1971" s="50" t="s">
        <v>3364</v>
      </c>
      <c r="I1971" s="49" t="s">
        <v>173</v>
      </c>
      <c r="J1971" s="50" t="s">
        <v>109</v>
      </c>
      <c r="K1971" s="50" t="s">
        <v>109</v>
      </c>
      <c r="L1971" s="50" t="s">
        <v>12</v>
      </c>
      <c r="M1971" s="50" t="s">
        <v>13</v>
      </c>
      <c r="N1971" s="50" t="s">
        <v>14</v>
      </c>
      <c r="O1971" s="48" t="s">
        <v>631</v>
      </c>
      <c r="P1971" s="45" t="s">
        <v>453</v>
      </c>
      <c r="Q1971" s="35" t="str">
        <f>MID(Tabla1[[#This Row],[Aplicación]],14,1)</f>
        <v>2</v>
      </c>
      <c r="R1971" s="35" t="s">
        <v>441</v>
      </c>
      <c r="S1971" s="35" t="str">
        <f>MID(Tabla1[[#This Row],[Aplicación]],6,2)</f>
        <v>11</v>
      </c>
      <c r="T1971" s="35" t="str">
        <f>VLOOKUP(Tabla1[[#This Row],[AREA]],Hoja1!A:B,2,FALSE)</f>
        <v>11. Salud pública y seguridad ciudadana</v>
      </c>
      <c r="U1971" s="35" t="str">
        <f>MID(Tabla1[[#This Row],[Aplicación]],9,4)</f>
        <v>1321</v>
      </c>
      <c r="V1971" s="35" t="str">
        <f>VLOOKUP(Tabla1[[#This Row],[PROGRAMA]],Hoja1!A:B,2,FALSE)</f>
        <v>1321. Policía municipal</v>
      </c>
      <c r="W1971" s="35" t="str">
        <f>MID(Tabla1[[#This Row],[Aplicación]],14,2)</f>
        <v>21</v>
      </c>
      <c r="X1971" s="35" t="str">
        <f>MID(Tabla1[[#This Row],[Aplicación]],14,6)</f>
        <v>214</v>
      </c>
    </row>
    <row r="1972" spans="1:24" x14ac:dyDescent="0.25">
      <c r="A1972" s="49">
        <v>220220008654</v>
      </c>
      <c r="B1972" s="50" t="s">
        <v>172</v>
      </c>
      <c r="C1972" s="57">
        <v>44634</v>
      </c>
      <c r="D1972" s="49">
        <v>22022001453</v>
      </c>
      <c r="E1972" s="50" t="s">
        <v>1608</v>
      </c>
      <c r="F1972" s="58">
        <v>1449.43</v>
      </c>
      <c r="G1972" s="50" t="s">
        <v>218</v>
      </c>
      <c r="H1972" s="50" t="s">
        <v>3365</v>
      </c>
      <c r="I1972" s="49" t="s">
        <v>173</v>
      </c>
      <c r="J1972" s="50" t="s">
        <v>109</v>
      </c>
      <c r="K1972" s="50" t="s">
        <v>109</v>
      </c>
      <c r="L1972" s="50" t="s">
        <v>12</v>
      </c>
      <c r="M1972" s="50" t="s">
        <v>13</v>
      </c>
      <c r="N1972" s="50" t="s">
        <v>14</v>
      </c>
      <c r="O1972" s="48" t="s">
        <v>631</v>
      </c>
      <c r="P1972" s="45" t="s">
        <v>453</v>
      </c>
      <c r="Q1972" s="35" t="str">
        <f>MID(Tabla1[[#This Row],[Aplicación]],14,1)</f>
        <v>2</v>
      </c>
      <c r="R1972" s="35" t="s">
        <v>441</v>
      </c>
      <c r="S1972" s="35" t="str">
        <f>MID(Tabla1[[#This Row],[Aplicación]],6,2)</f>
        <v>11</v>
      </c>
      <c r="T1972" s="35" t="str">
        <f>VLOOKUP(Tabla1[[#This Row],[AREA]],Hoja1!A:B,2,FALSE)</f>
        <v>11. Salud pública y seguridad ciudadana</v>
      </c>
      <c r="U1972" s="35" t="str">
        <f>MID(Tabla1[[#This Row],[Aplicación]],9,4)</f>
        <v>1321</v>
      </c>
      <c r="V1972" s="35" t="str">
        <f>VLOOKUP(Tabla1[[#This Row],[PROGRAMA]],Hoja1!A:B,2,FALSE)</f>
        <v>1321. Policía municipal</v>
      </c>
      <c r="W1972" s="35" t="str">
        <f>MID(Tabla1[[#This Row],[Aplicación]],14,2)</f>
        <v>21</v>
      </c>
      <c r="X1972" s="35" t="str">
        <f>MID(Tabla1[[#This Row],[Aplicación]],14,6)</f>
        <v>214</v>
      </c>
    </row>
    <row r="1973" spans="1:24" x14ac:dyDescent="0.25">
      <c r="A1973" s="49">
        <v>220220009546</v>
      </c>
      <c r="B1973" s="50" t="s">
        <v>172</v>
      </c>
      <c r="C1973" s="57">
        <v>44636</v>
      </c>
      <c r="D1973" s="49">
        <v>22022001451</v>
      </c>
      <c r="E1973" s="50" t="s">
        <v>1668</v>
      </c>
      <c r="F1973" s="58">
        <v>78.239999999999995</v>
      </c>
      <c r="G1973" s="50" t="s">
        <v>218</v>
      </c>
      <c r="H1973" s="50" t="s">
        <v>3366</v>
      </c>
      <c r="I1973" s="49" t="s">
        <v>173</v>
      </c>
      <c r="J1973" s="50" t="s">
        <v>109</v>
      </c>
      <c r="K1973" s="50" t="s">
        <v>109</v>
      </c>
      <c r="L1973" s="50" t="s">
        <v>12</v>
      </c>
      <c r="M1973" s="50" t="s">
        <v>13</v>
      </c>
      <c r="N1973" s="50" t="s">
        <v>14</v>
      </c>
      <c r="O1973" s="48" t="s">
        <v>631</v>
      </c>
      <c r="P1973" s="45" t="s">
        <v>453</v>
      </c>
      <c r="Q1973" s="35" t="str">
        <f>MID(Tabla1[[#This Row],[Aplicación]],14,1)</f>
        <v>2</v>
      </c>
      <c r="R1973" s="35" t="s">
        <v>441</v>
      </c>
      <c r="S1973" s="35" t="str">
        <f>MID(Tabla1[[#This Row],[Aplicación]],6,2)</f>
        <v>02</v>
      </c>
      <c r="T1973" s="35" t="str">
        <f>VLOOKUP(Tabla1[[#This Row],[AREA]],Hoja1!A:B,2,FALSE)</f>
        <v>02. Planeamiento urbanístico y vivienda</v>
      </c>
      <c r="U1973" s="35" t="str">
        <f>MID(Tabla1[[#This Row],[Aplicación]],9,4)</f>
        <v>9332</v>
      </c>
      <c r="V1973" s="35" t="str">
        <f>VLOOKUP(Tabla1[[#This Row],[PROGRAMA]],Hoja1!A:B,2,FALSE)</f>
        <v>9332. Mantenimiento de edificios e instalaciones municipales</v>
      </c>
      <c r="W1973" s="35" t="str">
        <f>MID(Tabla1[[#This Row],[Aplicación]],14,2)</f>
        <v>21</v>
      </c>
      <c r="X1973" s="35" t="str">
        <f>MID(Tabla1[[#This Row],[Aplicación]],14,6)</f>
        <v>214</v>
      </c>
    </row>
    <row r="1974" spans="1:24" x14ac:dyDescent="0.25">
      <c r="A1974" s="49">
        <v>220220009566</v>
      </c>
      <c r="B1974" s="50" t="s">
        <v>172</v>
      </c>
      <c r="C1974" s="57">
        <v>44636</v>
      </c>
      <c r="D1974" s="49">
        <v>22022000901</v>
      </c>
      <c r="E1974" s="50" t="s">
        <v>1644</v>
      </c>
      <c r="F1974" s="58">
        <v>701.8</v>
      </c>
      <c r="G1974" s="50" t="s">
        <v>880</v>
      </c>
      <c r="H1974" s="50" t="s">
        <v>3367</v>
      </c>
      <c r="I1974" s="49" t="s">
        <v>173</v>
      </c>
      <c r="J1974" s="50" t="s">
        <v>109</v>
      </c>
      <c r="K1974" s="50" t="s">
        <v>109</v>
      </c>
      <c r="L1974" s="50" t="s">
        <v>12</v>
      </c>
      <c r="M1974" s="50" t="s">
        <v>13</v>
      </c>
      <c r="N1974" s="50" t="s">
        <v>14</v>
      </c>
      <c r="O1974" s="48" t="s">
        <v>631</v>
      </c>
      <c r="P1974" s="45" t="s">
        <v>453</v>
      </c>
      <c r="Q1974" s="35" t="str">
        <f>MID(Tabla1[[#This Row],[Aplicación]],14,1)</f>
        <v>2</v>
      </c>
      <c r="R1974" s="35" t="s">
        <v>441</v>
      </c>
      <c r="S1974" s="35" t="str">
        <f>MID(Tabla1[[#This Row],[Aplicación]],6,2)</f>
        <v>11</v>
      </c>
      <c r="T1974" s="35" t="str">
        <f>VLOOKUP(Tabla1[[#This Row],[AREA]],Hoja1!A:B,2,FALSE)</f>
        <v>11. Salud pública y seguridad ciudadana</v>
      </c>
      <c r="U1974" s="35" t="str">
        <f>MID(Tabla1[[#This Row],[Aplicación]],9,4)</f>
        <v>1621</v>
      </c>
      <c r="V1974" s="35" t="str">
        <f>VLOOKUP(Tabla1[[#This Row],[PROGRAMA]],Hoja1!A:B,2,FALSE)</f>
        <v>1621. Servicio de limpieza</v>
      </c>
      <c r="W1974" s="35" t="str">
        <f>MID(Tabla1[[#This Row],[Aplicación]],14,2)</f>
        <v>21</v>
      </c>
      <c r="X1974" s="35" t="str">
        <f>MID(Tabla1[[#This Row],[Aplicación]],14,6)</f>
        <v>214</v>
      </c>
    </row>
    <row r="1975" spans="1:24" x14ac:dyDescent="0.25">
      <c r="A1975" s="49">
        <v>220220012885</v>
      </c>
      <c r="B1975" s="50" t="s">
        <v>9</v>
      </c>
      <c r="C1975" s="57">
        <v>44645</v>
      </c>
      <c r="D1975" s="49">
        <v>22022002980</v>
      </c>
      <c r="E1975" s="50" t="s">
        <v>1653</v>
      </c>
      <c r="F1975" s="58">
        <v>169.4</v>
      </c>
      <c r="G1975" s="50" t="s">
        <v>1278</v>
      </c>
      <c r="H1975" s="50" t="s">
        <v>3368</v>
      </c>
      <c r="I1975" s="49" t="s">
        <v>107</v>
      </c>
      <c r="J1975" s="50" t="s">
        <v>109</v>
      </c>
      <c r="K1975" s="50" t="s">
        <v>109</v>
      </c>
      <c r="L1975" s="50" t="s">
        <v>15</v>
      </c>
      <c r="M1975" s="50" t="s">
        <v>10</v>
      </c>
      <c r="N1975" s="50" t="s">
        <v>11</v>
      </c>
      <c r="O1975" s="48" t="s">
        <v>632</v>
      </c>
      <c r="P1975" s="45" t="s">
        <v>453</v>
      </c>
      <c r="Q1975" s="35" t="str">
        <f>MID(Tabla1[[#This Row],[Aplicación]],14,1)</f>
        <v>2</v>
      </c>
      <c r="R1975" s="35" t="s">
        <v>441</v>
      </c>
      <c r="S1975" s="35" t="str">
        <f>MID(Tabla1[[#This Row],[Aplicación]],6,2)</f>
        <v>10</v>
      </c>
      <c r="T1975" s="35" t="str">
        <f>VLOOKUP(Tabla1[[#This Row],[AREA]],Hoja1!A:B,2,FALSE)</f>
        <v>10. Servicios sociales y mediación comunitaria</v>
      </c>
      <c r="U1975" s="35" t="str">
        <f>MID(Tabla1[[#This Row],[Aplicación]],9,4)</f>
        <v>2311</v>
      </c>
      <c r="V1975" s="35" t="str">
        <f>VLOOKUP(Tabla1[[#This Row],[PROGRAMA]],Hoja1!A:B,2,FALSE)</f>
        <v>2311. Intervención social</v>
      </c>
      <c r="W1975" s="35" t="str">
        <f>MID(Tabla1[[#This Row],[Aplicación]],14,2)</f>
        <v>21</v>
      </c>
      <c r="X1975" s="35" t="str">
        <f>MID(Tabla1[[#This Row],[Aplicación]],14,6)</f>
        <v>212</v>
      </c>
    </row>
    <row r="1976" spans="1:24" x14ac:dyDescent="0.25">
      <c r="A1976" s="49">
        <v>220220002190</v>
      </c>
      <c r="B1976" s="50" t="s">
        <v>9</v>
      </c>
      <c r="C1976" s="57">
        <v>44592</v>
      </c>
      <c r="D1976" s="49">
        <v>22022001638</v>
      </c>
      <c r="E1976" s="50" t="s">
        <v>1606</v>
      </c>
      <c r="F1976" s="58">
        <v>152.07</v>
      </c>
      <c r="G1976" s="50" t="s">
        <v>959</v>
      </c>
      <c r="H1976" s="50" t="s">
        <v>3369</v>
      </c>
      <c r="I1976" s="49" t="s">
        <v>107</v>
      </c>
      <c r="J1976" s="50" t="s">
        <v>960</v>
      </c>
      <c r="K1976" s="50" t="s">
        <v>150</v>
      </c>
      <c r="L1976" s="50" t="s">
        <v>15</v>
      </c>
      <c r="M1976" s="50" t="s">
        <v>10</v>
      </c>
      <c r="N1976" s="50" t="s">
        <v>11</v>
      </c>
      <c r="O1976" s="48" t="s">
        <v>632</v>
      </c>
      <c r="P1976" s="45" t="s">
        <v>453</v>
      </c>
      <c r="Q1976" s="35" t="str">
        <f>MID(Tabla1[[#This Row],[Aplicación]],14,1)</f>
        <v>2</v>
      </c>
      <c r="R1976" s="35" t="s">
        <v>441</v>
      </c>
      <c r="S1976" s="35" t="str">
        <f>MID(Tabla1[[#This Row],[Aplicación]],6,2)</f>
        <v>11</v>
      </c>
      <c r="T1976" s="35" t="str">
        <f>VLOOKUP(Tabla1[[#This Row],[AREA]],Hoja1!A:B,2,FALSE)</f>
        <v>11. Salud pública y seguridad ciudadana</v>
      </c>
      <c r="U1976" s="35" t="str">
        <f>MID(Tabla1[[#This Row],[Aplicación]],9,4)</f>
        <v>1361</v>
      </c>
      <c r="V1976" s="35" t="str">
        <f>VLOOKUP(Tabla1[[#This Row],[PROGRAMA]],Hoja1!A:B,2,FALSE)</f>
        <v>1361. Prevención y extinción de incencios</v>
      </c>
      <c r="W1976" s="35" t="str">
        <f>MID(Tabla1[[#This Row],[Aplicación]],14,2)</f>
        <v>22</v>
      </c>
      <c r="X1976" s="35" t="str">
        <f>MID(Tabla1[[#This Row],[Aplicación]],14,6)</f>
        <v>22199</v>
      </c>
    </row>
    <row r="1977" spans="1:24" x14ac:dyDescent="0.25">
      <c r="A1977" s="49">
        <v>220209000729</v>
      </c>
      <c r="B1977" s="50" t="s">
        <v>9</v>
      </c>
      <c r="C1977" s="57">
        <v>44562</v>
      </c>
      <c r="D1977" s="49">
        <v>22022000264</v>
      </c>
      <c r="E1977" s="50" t="s">
        <v>3085</v>
      </c>
      <c r="F1977" s="58">
        <v>3100</v>
      </c>
      <c r="G1977" s="50" t="s">
        <v>30</v>
      </c>
      <c r="H1977" s="50" t="s">
        <v>872</v>
      </c>
      <c r="I1977" s="49" t="s">
        <v>107</v>
      </c>
      <c r="J1977" s="50" t="s">
        <v>108</v>
      </c>
      <c r="K1977" s="50" t="s">
        <v>108</v>
      </c>
      <c r="L1977" s="50" t="s">
        <v>15</v>
      </c>
      <c r="M1977" s="50" t="s">
        <v>13</v>
      </c>
      <c r="N1977" s="50" t="s">
        <v>14</v>
      </c>
      <c r="O1977" s="48" t="s">
        <v>620</v>
      </c>
      <c r="P1977" s="45" t="s">
        <v>453</v>
      </c>
      <c r="Q1977" s="35" t="str">
        <f>MID(Tabla1[[#This Row],[Aplicación]],14,1)</f>
        <v>2</v>
      </c>
      <c r="R1977" s="35" t="s">
        <v>441</v>
      </c>
      <c r="S1977" s="35" t="str">
        <f>MID(Tabla1[[#This Row],[Aplicación]],6,2)</f>
        <v>01</v>
      </c>
      <c r="T1977" s="35" t="str">
        <f>VLOOKUP(Tabla1[[#This Row],[AREA]],Hoja1!A:B,2,FALSE)</f>
        <v>01. Alcaldía</v>
      </c>
      <c r="U1977" s="35" t="str">
        <f>MID(Tabla1[[#This Row],[Aplicación]],9,4)</f>
        <v>9203</v>
      </c>
      <c r="V1977" s="35" t="str">
        <f>VLOOKUP(Tabla1[[#This Row],[PROGRAMA]],Hoja1!A:B,2,FALSE)</f>
        <v>9203. Unidad de régimen interior</v>
      </c>
      <c r="W1977" s="35" t="str">
        <f>MID(Tabla1[[#This Row],[Aplicación]],14,2)</f>
        <v>22</v>
      </c>
      <c r="X1977" s="35" t="str">
        <f>MID(Tabla1[[#This Row],[Aplicación]],14,6)</f>
        <v>22103</v>
      </c>
    </row>
    <row r="1978" spans="1:24" x14ac:dyDescent="0.25">
      <c r="A1978" s="49">
        <v>220220009347</v>
      </c>
      <c r="B1978" s="50" t="s">
        <v>9</v>
      </c>
      <c r="C1978" s="57">
        <v>44636</v>
      </c>
      <c r="D1978" s="49">
        <v>22022002705</v>
      </c>
      <c r="E1978" s="50" t="s">
        <v>2744</v>
      </c>
      <c r="F1978" s="58">
        <v>121</v>
      </c>
      <c r="G1978" s="50" t="s">
        <v>1280</v>
      </c>
      <c r="H1978" s="50" t="s">
        <v>3370</v>
      </c>
      <c r="I1978" s="49" t="s">
        <v>107</v>
      </c>
      <c r="J1978" s="50" t="s">
        <v>109</v>
      </c>
      <c r="K1978" s="50" t="s">
        <v>109</v>
      </c>
      <c r="L1978" s="50" t="s">
        <v>12</v>
      </c>
      <c r="M1978" s="50" t="s">
        <v>10</v>
      </c>
      <c r="N1978" s="50" t="s">
        <v>11</v>
      </c>
      <c r="O1978" s="48" t="s">
        <v>632</v>
      </c>
      <c r="P1978" s="45" t="s">
        <v>453</v>
      </c>
      <c r="Q1978" s="35" t="str">
        <f>MID(Tabla1[[#This Row],[Aplicación]],14,1)</f>
        <v>2</v>
      </c>
      <c r="R1978" s="35" t="s">
        <v>441</v>
      </c>
      <c r="S1978" s="35" t="str">
        <f>MID(Tabla1[[#This Row],[Aplicación]],6,2)</f>
        <v>01</v>
      </c>
      <c r="T1978" s="35" t="str">
        <f>VLOOKUP(Tabla1[[#This Row],[AREA]],Hoja1!A:B,2,FALSE)</f>
        <v>01. Alcaldía</v>
      </c>
      <c r="U1978" s="35" t="str">
        <f>MID(Tabla1[[#This Row],[Aplicación]],9,4)</f>
        <v>9207</v>
      </c>
      <c r="V1978" s="35" t="str">
        <f>VLOOKUP(Tabla1[[#This Row],[PROGRAMA]],Hoja1!A:B,2,FALSE)</f>
        <v>9207. Gobierno y relaciones</v>
      </c>
      <c r="W1978" s="35" t="str">
        <f>MID(Tabla1[[#This Row],[Aplicación]],14,2)</f>
        <v>22</v>
      </c>
      <c r="X1978" s="35" t="str">
        <f>MID(Tabla1[[#This Row],[Aplicación]],14,6)</f>
        <v>22699</v>
      </c>
    </row>
    <row r="1979" spans="1:24" x14ac:dyDescent="0.25">
      <c r="A1979" s="49">
        <v>220220002305</v>
      </c>
      <c r="B1979" s="50" t="s">
        <v>9</v>
      </c>
      <c r="C1979" s="57">
        <v>44594</v>
      </c>
      <c r="D1979" s="49">
        <v>22022001786</v>
      </c>
      <c r="E1979" s="50" t="s">
        <v>1905</v>
      </c>
      <c r="F1979" s="58">
        <v>118.58</v>
      </c>
      <c r="G1979" s="50" t="s">
        <v>3371</v>
      </c>
      <c r="H1979" s="50" t="s">
        <v>3372</v>
      </c>
      <c r="I1979" s="49" t="s">
        <v>107</v>
      </c>
      <c r="J1979" s="50" t="s">
        <v>109</v>
      </c>
      <c r="K1979" s="50" t="s">
        <v>109</v>
      </c>
      <c r="L1979" s="50" t="s">
        <v>12</v>
      </c>
      <c r="M1979" s="50" t="s">
        <v>10</v>
      </c>
      <c r="N1979" s="50" t="s">
        <v>11</v>
      </c>
      <c r="O1979" s="48" t="s">
        <v>632</v>
      </c>
      <c r="P1979" s="45" t="s">
        <v>453</v>
      </c>
      <c r="Q1979" s="35" t="str">
        <f>MID(Tabla1[[#This Row],[Aplicación]],14,1)</f>
        <v>2</v>
      </c>
      <c r="R1979" s="35" t="s">
        <v>441</v>
      </c>
      <c r="S1979" s="35" t="str">
        <f>MID(Tabla1[[#This Row],[Aplicación]],6,2)</f>
        <v>10</v>
      </c>
      <c r="T1979" s="35" t="str">
        <f>VLOOKUP(Tabla1[[#This Row],[AREA]],Hoja1!A:B,2,FALSE)</f>
        <v>10. Servicios sociales y mediación comunitaria</v>
      </c>
      <c r="U1979" s="35" t="str">
        <f>MID(Tabla1[[#This Row],[Aplicación]],9,4)</f>
        <v>2311</v>
      </c>
      <c r="V1979" s="35" t="str">
        <f>VLOOKUP(Tabla1[[#This Row],[PROGRAMA]],Hoja1!A:B,2,FALSE)</f>
        <v>2311. Intervención social</v>
      </c>
      <c r="W1979" s="35" t="str">
        <f>MID(Tabla1[[#This Row],[Aplicación]],14,2)</f>
        <v>22</v>
      </c>
      <c r="X1979" s="35" t="str">
        <f>MID(Tabla1[[#This Row],[Aplicación]],14,6)</f>
        <v>22700</v>
      </c>
    </row>
    <row r="1980" spans="1:24" x14ac:dyDescent="0.25">
      <c r="A1980" s="49">
        <v>220219000434</v>
      </c>
      <c r="B1980" s="50" t="s">
        <v>9</v>
      </c>
      <c r="C1980" s="57">
        <v>44562</v>
      </c>
      <c r="D1980" s="49">
        <v>22022000071</v>
      </c>
      <c r="E1980" s="50" t="s">
        <v>1981</v>
      </c>
      <c r="F1980" s="58">
        <v>5445</v>
      </c>
      <c r="G1980" s="50" t="s">
        <v>190</v>
      </c>
      <c r="H1980" s="50" t="s">
        <v>3373</v>
      </c>
      <c r="I1980" s="49" t="s">
        <v>107</v>
      </c>
      <c r="J1980" s="50" t="s">
        <v>549</v>
      </c>
      <c r="K1980" s="50" t="s">
        <v>118</v>
      </c>
      <c r="L1980" s="50" t="s">
        <v>12</v>
      </c>
      <c r="M1980" s="50" t="s">
        <v>23</v>
      </c>
      <c r="N1980" s="50" t="s">
        <v>11</v>
      </c>
      <c r="O1980" s="48" t="s">
        <v>622</v>
      </c>
      <c r="P1980" s="45" t="s">
        <v>453</v>
      </c>
      <c r="Q1980" s="35" t="str">
        <f>MID(Tabla1[[#This Row],[Aplicación]],14,1)</f>
        <v>2</v>
      </c>
      <c r="R1980" s="35" t="s">
        <v>441</v>
      </c>
      <c r="S1980" s="35" t="str">
        <f>MID(Tabla1[[#This Row],[Aplicación]],6,2)</f>
        <v>01</v>
      </c>
      <c r="T1980" s="35" t="str">
        <f>VLOOKUP(Tabla1[[#This Row],[AREA]],Hoja1!A:B,2,FALSE)</f>
        <v>01. Alcaldía</v>
      </c>
      <c r="U1980" s="35" t="str">
        <f>MID(Tabla1[[#This Row],[Aplicación]],9,4)</f>
        <v>9312</v>
      </c>
      <c r="V1980" s="35" t="str">
        <f>VLOOKUP(Tabla1[[#This Row],[PROGRAMA]],Hoja1!A:B,2,FALSE)</f>
        <v>9312. Intervención general</v>
      </c>
      <c r="W1980" s="35" t="str">
        <f>MID(Tabla1[[#This Row],[Aplicación]],14,2)</f>
        <v>22</v>
      </c>
      <c r="X1980" s="35" t="str">
        <f>MID(Tabla1[[#This Row],[Aplicación]],14,6)</f>
        <v>22706</v>
      </c>
    </row>
    <row r="1981" spans="1:24" x14ac:dyDescent="0.25">
      <c r="A1981" s="49">
        <v>220220002490</v>
      </c>
      <c r="B1981" s="50" t="s">
        <v>172</v>
      </c>
      <c r="C1981" s="57">
        <v>44594</v>
      </c>
      <c r="D1981" s="49">
        <v>22022001636</v>
      </c>
      <c r="E1981" s="50" t="s">
        <v>1853</v>
      </c>
      <c r="F1981" s="58">
        <v>81.12</v>
      </c>
      <c r="G1981" s="50" t="s">
        <v>42</v>
      </c>
      <c r="H1981" s="50" t="s">
        <v>1097</v>
      </c>
      <c r="I1981" s="49" t="s">
        <v>173</v>
      </c>
      <c r="J1981" s="50" t="s">
        <v>109</v>
      </c>
      <c r="K1981" s="50" t="s">
        <v>109</v>
      </c>
      <c r="L1981" s="50" t="s">
        <v>12</v>
      </c>
      <c r="M1981" s="50" t="s">
        <v>13</v>
      </c>
      <c r="N1981" s="50" t="s">
        <v>14</v>
      </c>
      <c r="O1981" s="48" t="s">
        <v>631</v>
      </c>
      <c r="P1981" s="45" t="s">
        <v>453</v>
      </c>
      <c r="Q1981" s="35" t="str">
        <f>MID(Tabla1[[#This Row],[Aplicación]],14,1)</f>
        <v>2</v>
      </c>
      <c r="R1981" s="35" t="s">
        <v>441</v>
      </c>
      <c r="S1981" s="35" t="str">
        <f>MID(Tabla1[[#This Row],[Aplicación]],6,2)</f>
        <v>07</v>
      </c>
      <c r="T1981" s="35" t="str">
        <f>VLOOKUP(Tabla1[[#This Row],[AREA]],Hoja1!A:B,2,FALSE)</f>
        <v>07. Medio ambiente y desarrollo sostenible</v>
      </c>
      <c r="U1981" s="35" t="str">
        <f>MID(Tabla1[[#This Row],[Aplicación]],9,4)</f>
        <v>1711</v>
      </c>
      <c r="V1981" s="35" t="str">
        <f>VLOOKUP(Tabla1[[#This Row],[PROGRAMA]],Hoja1!A:B,2,FALSE)</f>
        <v>1711. Parques y jardines</v>
      </c>
      <c r="W1981" s="35" t="str">
        <f>MID(Tabla1[[#This Row],[Aplicación]],14,2)</f>
        <v>21</v>
      </c>
      <c r="X1981" s="35" t="str">
        <f>MID(Tabla1[[#This Row],[Aplicación]],14,6)</f>
        <v>213</v>
      </c>
    </row>
    <row r="1982" spans="1:24" x14ac:dyDescent="0.25">
      <c r="A1982" s="49">
        <v>220220002494</v>
      </c>
      <c r="B1982" s="50" t="s">
        <v>172</v>
      </c>
      <c r="C1982" s="57">
        <v>44594</v>
      </c>
      <c r="D1982" s="49">
        <v>22022001636</v>
      </c>
      <c r="E1982" s="50" t="s">
        <v>1853</v>
      </c>
      <c r="F1982" s="58">
        <v>51.11</v>
      </c>
      <c r="G1982" s="50" t="s">
        <v>42</v>
      </c>
      <c r="H1982" s="50" t="s">
        <v>1097</v>
      </c>
      <c r="I1982" s="49" t="s">
        <v>173</v>
      </c>
      <c r="J1982" s="50" t="s">
        <v>109</v>
      </c>
      <c r="K1982" s="50" t="s">
        <v>109</v>
      </c>
      <c r="L1982" s="50" t="s">
        <v>12</v>
      </c>
      <c r="M1982" s="50" t="s">
        <v>13</v>
      </c>
      <c r="N1982" s="50" t="s">
        <v>14</v>
      </c>
      <c r="O1982" s="48" t="s">
        <v>631</v>
      </c>
      <c r="P1982" s="45" t="s">
        <v>453</v>
      </c>
      <c r="Q1982" s="35" t="str">
        <f>MID(Tabla1[[#This Row],[Aplicación]],14,1)</f>
        <v>2</v>
      </c>
      <c r="R1982" s="35" t="s">
        <v>441</v>
      </c>
      <c r="S1982" s="35" t="str">
        <f>MID(Tabla1[[#This Row],[Aplicación]],6,2)</f>
        <v>07</v>
      </c>
      <c r="T1982" s="35" t="str">
        <f>VLOOKUP(Tabla1[[#This Row],[AREA]],Hoja1!A:B,2,FALSE)</f>
        <v>07. Medio ambiente y desarrollo sostenible</v>
      </c>
      <c r="U1982" s="35" t="str">
        <f>MID(Tabla1[[#This Row],[Aplicación]],9,4)</f>
        <v>1711</v>
      </c>
      <c r="V1982" s="35" t="str">
        <f>VLOOKUP(Tabla1[[#This Row],[PROGRAMA]],Hoja1!A:B,2,FALSE)</f>
        <v>1711. Parques y jardines</v>
      </c>
      <c r="W1982" s="35" t="str">
        <f>MID(Tabla1[[#This Row],[Aplicación]],14,2)</f>
        <v>21</v>
      </c>
      <c r="X1982" s="35" t="str">
        <f>MID(Tabla1[[#This Row],[Aplicación]],14,6)</f>
        <v>213</v>
      </c>
    </row>
    <row r="1983" spans="1:24" x14ac:dyDescent="0.25">
      <c r="A1983" s="49">
        <v>220220002496</v>
      </c>
      <c r="B1983" s="50" t="s">
        <v>172</v>
      </c>
      <c r="C1983" s="57">
        <v>44594</v>
      </c>
      <c r="D1983" s="49">
        <v>22022001636</v>
      </c>
      <c r="E1983" s="50" t="s">
        <v>1853</v>
      </c>
      <c r="F1983" s="58">
        <v>36.299999999999997</v>
      </c>
      <c r="G1983" s="50" t="s">
        <v>42</v>
      </c>
      <c r="H1983" s="50" t="s">
        <v>1097</v>
      </c>
      <c r="I1983" s="49" t="s">
        <v>173</v>
      </c>
      <c r="J1983" s="50" t="s">
        <v>109</v>
      </c>
      <c r="K1983" s="50" t="s">
        <v>109</v>
      </c>
      <c r="L1983" s="50" t="s">
        <v>12</v>
      </c>
      <c r="M1983" s="50" t="s">
        <v>13</v>
      </c>
      <c r="N1983" s="50" t="s">
        <v>14</v>
      </c>
      <c r="O1983" s="48" t="s">
        <v>631</v>
      </c>
      <c r="P1983" s="45" t="s">
        <v>453</v>
      </c>
      <c r="Q1983" s="35" t="str">
        <f>MID(Tabla1[[#This Row],[Aplicación]],14,1)</f>
        <v>2</v>
      </c>
      <c r="R1983" s="35" t="s">
        <v>441</v>
      </c>
      <c r="S1983" s="35" t="str">
        <f>MID(Tabla1[[#This Row],[Aplicación]],6,2)</f>
        <v>07</v>
      </c>
      <c r="T1983" s="35" t="str">
        <f>VLOOKUP(Tabla1[[#This Row],[AREA]],Hoja1!A:B,2,FALSE)</f>
        <v>07. Medio ambiente y desarrollo sostenible</v>
      </c>
      <c r="U1983" s="35" t="str">
        <f>MID(Tabla1[[#This Row],[Aplicación]],9,4)</f>
        <v>1711</v>
      </c>
      <c r="V1983" s="35" t="str">
        <f>VLOOKUP(Tabla1[[#This Row],[PROGRAMA]],Hoja1!A:B,2,FALSE)</f>
        <v>1711. Parques y jardines</v>
      </c>
      <c r="W1983" s="35" t="str">
        <f>MID(Tabla1[[#This Row],[Aplicación]],14,2)</f>
        <v>21</v>
      </c>
      <c r="X1983" s="35" t="str">
        <f>MID(Tabla1[[#This Row],[Aplicación]],14,6)</f>
        <v>213</v>
      </c>
    </row>
    <row r="1984" spans="1:24" x14ac:dyDescent="0.25">
      <c r="A1984" s="49">
        <v>220220006842</v>
      </c>
      <c r="B1984" s="50" t="s">
        <v>172</v>
      </c>
      <c r="C1984" s="57">
        <v>44622</v>
      </c>
      <c r="D1984" s="49">
        <v>22022001636</v>
      </c>
      <c r="E1984" s="50" t="s">
        <v>1853</v>
      </c>
      <c r="F1984" s="58">
        <v>218.32</v>
      </c>
      <c r="G1984" s="50" t="s">
        <v>42</v>
      </c>
      <c r="H1984" s="50" t="s">
        <v>1097</v>
      </c>
      <c r="I1984" s="49" t="s">
        <v>173</v>
      </c>
      <c r="J1984" s="50" t="s">
        <v>109</v>
      </c>
      <c r="K1984" s="50" t="s">
        <v>109</v>
      </c>
      <c r="L1984" s="50" t="s">
        <v>12</v>
      </c>
      <c r="M1984" s="50" t="s">
        <v>13</v>
      </c>
      <c r="N1984" s="50" t="s">
        <v>14</v>
      </c>
      <c r="O1984" s="48" t="s">
        <v>631</v>
      </c>
      <c r="P1984" s="45" t="s">
        <v>453</v>
      </c>
      <c r="Q1984" s="35" t="str">
        <f>MID(Tabla1[[#This Row],[Aplicación]],14,1)</f>
        <v>2</v>
      </c>
      <c r="R1984" s="35" t="s">
        <v>441</v>
      </c>
      <c r="S1984" s="35" t="str">
        <f>MID(Tabla1[[#This Row],[Aplicación]],6,2)</f>
        <v>07</v>
      </c>
      <c r="T1984" s="35" t="str">
        <f>VLOOKUP(Tabla1[[#This Row],[AREA]],Hoja1!A:B,2,FALSE)</f>
        <v>07. Medio ambiente y desarrollo sostenible</v>
      </c>
      <c r="U1984" s="35" t="str">
        <f>MID(Tabla1[[#This Row],[Aplicación]],9,4)</f>
        <v>1711</v>
      </c>
      <c r="V1984" s="35" t="str">
        <f>VLOOKUP(Tabla1[[#This Row],[PROGRAMA]],Hoja1!A:B,2,FALSE)</f>
        <v>1711. Parques y jardines</v>
      </c>
      <c r="W1984" s="35" t="str">
        <f>MID(Tabla1[[#This Row],[Aplicación]],14,2)</f>
        <v>21</v>
      </c>
      <c r="X1984" s="35" t="str">
        <f>MID(Tabla1[[#This Row],[Aplicación]],14,6)</f>
        <v>213</v>
      </c>
    </row>
    <row r="1985" spans="1:24" x14ac:dyDescent="0.25">
      <c r="A1985" s="49">
        <v>220220008413</v>
      </c>
      <c r="B1985" s="50" t="s">
        <v>172</v>
      </c>
      <c r="C1985" s="57">
        <v>44631</v>
      </c>
      <c r="D1985" s="49">
        <v>22022001636</v>
      </c>
      <c r="E1985" s="50" t="s">
        <v>1853</v>
      </c>
      <c r="F1985" s="58">
        <v>71.08</v>
      </c>
      <c r="G1985" s="50" t="s">
        <v>42</v>
      </c>
      <c r="H1985" s="50" t="s">
        <v>1097</v>
      </c>
      <c r="I1985" s="49" t="s">
        <v>173</v>
      </c>
      <c r="J1985" s="50" t="s">
        <v>109</v>
      </c>
      <c r="K1985" s="50" t="s">
        <v>109</v>
      </c>
      <c r="L1985" s="50" t="s">
        <v>12</v>
      </c>
      <c r="M1985" s="50" t="s">
        <v>13</v>
      </c>
      <c r="N1985" s="50" t="s">
        <v>14</v>
      </c>
      <c r="O1985" s="48" t="s">
        <v>631</v>
      </c>
      <c r="P1985" s="45" t="s">
        <v>453</v>
      </c>
      <c r="Q1985" s="35" t="str">
        <f>MID(Tabla1[[#This Row],[Aplicación]],14,1)</f>
        <v>2</v>
      </c>
      <c r="R1985" s="35" t="s">
        <v>441</v>
      </c>
      <c r="S1985" s="35" t="str">
        <f>MID(Tabla1[[#This Row],[Aplicación]],6,2)</f>
        <v>07</v>
      </c>
      <c r="T1985" s="35" t="str">
        <f>VLOOKUP(Tabla1[[#This Row],[AREA]],Hoja1!A:B,2,FALSE)</f>
        <v>07. Medio ambiente y desarrollo sostenible</v>
      </c>
      <c r="U1985" s="35" t="str">
        <f>MID(Tabla1[[#This Row],[Aplicación]],9,4)</f>
        <v>1711</v>
      </c>
      <c r="V1985" s="35" t="str">
        <f>VLOOKUP(Tabla1[[#This Row],[PROGRAMA]],Hoja1!A:B,2,FALSE)</f>
        <v>1711. Parques y jardines</v>
      </c>
      <c r="W1985" s="35" t="str">
        <f>MID(Tabla1[[#This Row],[Aplicación]],14,2)</f>
        <v>21</v>
      </c>
      <c r="X1985" s="35" t="str">
        <f>MID(Tabla1[[#This Row],[Aplicación]],14,6)</f>
        <v>213</v>
      </c>
    </row>
    <row r="1986" spans="1:24" x14ac:dyDescent="0.25">
      <c r="A1986" s="49">
        <v>220220008422</v>
      </c>
      <c r="B1986" s="50" t="s">
        <v>172</v>
      </c>
      <c r="C1986" s="57">
        <v>44631</v>
      </c>
      <c r="D1986" s="49">
        <v>22022001636</v>
      </c>
      <c r="E1986" s="50" t="s">
        <v>1853</v>
      </c>
      <c r="F1986" s="58">
        <v>637.08000000000004</v>
      </c>
      <c r="G1986" s="50" t="s">
        <v>42</v>
      </c>
      <c r="H1986" s="50" t="s">
        <v>3374</v>
      </c>
      <c r="I1986" s="49" t="s">
        <v>173</v>
      </c>
      <c r="J1986" s="50" t="s">
        <v>109</v>
      </c>
      <c r="K1986" s="50" t="s">
        <v>109</v>
      </c>
      <c r="L1986" s="50" t="s">
        <v>12</v>
      </c>
      <c r="M1986" s="50" t="s">
        <v>13</v>
      </c>
      <c r="N1986" s="50" t="s">
        <v>14</v>
      </c>
      <c r="O1986" s="48" t="s">
        <v>631</v>
      </c>
      <c r="P1986" s="45" t="s">
        <v>453</v>
      </c>
      <c r="Q1986" s="35" t="str">
        <f>MID(Tabla1[[#This Row],[Aplicación]],14,1)</f>
        <v>2</v>
      </c>
      <c r="R1986" s="35" t="s">
        <v>441</v>
      </c>
      <c r="S1986" s="35" t="str">
        <f>MID(Tabla1[[#This Row],[Aplicación]],6,2)</f>
        <v>07</v>
      </c>
      <c r="T1986" s="35" t="str">
        <f>VLOOKUP(Tabla1[[#This Row],[AREA]],Hoja1!A:B,2,FALSE)</f>
        <v>07. Medio ambiente y desarrollo sostenible</v>
      </c>
      <c r="U1986" s="35" t="str">
        <f>MID(Tabla1[[#This Row],[Aplicación]],9,4)</f>
        <v>1711</v>
      </c>
      <c r="V1986" s="35" t="str">
        <f>VLOOKUP(Tabla1[[#This Row],[PROGRAMA]],Hoja1!A:B,2,FALSE)</f>
        <v>1711. Parques y jardines</v>
      </c>
      <c r="W1986" s="35" t="str">
        <f>MID(Tabla1[[#This Row],[Aplicación]],14,2)</f>
        <v>21</v>
      </c>
      <c r="X1986" s="35" t="str">
        <f>MID(Tabla1[[#This Row],[Aplicación]],14,6)</f>
        <v>213</v>
      </c>
    </row>
    <row r="1987" spans="1:24" x14ac:dyDescent="0.25">
      <c r="A1987" s="49">
        <v>220220007197</v>
      </c>
      <c r="B1987" s="50" t="s">
        <v>172</v>
      </c>
      <c r="C1987" s="57">
        <v>44623</v>
      </c>
      <c r="D1987" s="49">
        <v>22022001769</v>
      </c>
      <c r="E1987" s="50" t="s">
        <v>3375</v>
      </c>
      <c r="F1987" s="58">
        <v>2024.57</v>
      </c>
      <c r="G1987" s="50" t="s">
        <v>3376</v>
      </c>
      <c r="H1987" s="50" t="s">
        <v>3377</v>
      </c>
      <c r="I1987" s="49" t="s">
        <v>173</v>
      </c>
      <c r="J1987" s="50" t="s">
        <v>109</v>
      </c>
      <c r="K1987" s="50" t="s">
        <v>109</v>
      </c>
      <c r="L1987" s="50" t="s">
        <v>15</v>
      </c>
      <c r="M1987" s="50" t="s">
        <v>13</v>
      </c>
      <c r="N1987" s="50" t="s">
        <v>14</v>
      </c>
      <c r="O1987" s="48" t="s">
        <v>631</v>
      </c>
      <c r="P1987" s="45" t="s">
        <v>453</v>
      </c>
      <c r="Q1987" s="35" t="str">
        <f>MID(Tabla1[[#This Row],[Aplicación]],14,1)</f>
        <v>2</v>
      </c>
      <c r="R1987" s="35" t="s">
        <v>441</v>
      </c>
      <c r="S1987" s="35" t="str">
        <f>MID(Tabla1[[#This Row],[Aplicación]],6,2)</f>
        <v>07</v>
      </c>
      <c r="T1987" s="35" t="str">
        <f>VLOOKUP(Tabla1[[#This Row],[AREA]],Hoja1!A:B,2,FALSE)</f>
        <v>07. Medio ambiente y desarrollo sostenible</v>
      </c>
      <c r="U1987" s="35" t="str">
        <f>MID(Tabla1[[#This Row],[Aplicación]],9,4)</f>
        <v>1711</v>
      </c>
      <c r="V1987" s="35" t="str">
        <f>VLOOKUP(Tabla1[[#This Row],[PROGRAMA]],Hoja1!A:B,2,FALSE)</f>
        <v>1711. Parques y jardines</v>
      </c>
      <c r="W1987" s="35" t="str">
        <f>MID(Tabla1[[#This Row],[Aplicación]],14,2)</f>
        <v>20</v>
      </c>
      <c r="X1987" s="35" t="str">
        <f>MID(Tabla1[[#This Row],[Aplicación]],14,6)</f>
        <v>203</v>
      </c>
    </row>
    <row r="1988" spans="1:24" x14ac:dyDescent="0.25">
      <c r="A1988" s="49">
        <v>220209000533</v>
      </c>
      <c r="B1988" s="50" t="s">
        <v>9</v>
      </c>
      <c r="C1988" s="57">
        <v>44562</v>
      </c>
      <c r="D1988" s="49">
        <v>22022000210</v>
      </c>
      <c r="E1988" s="50" t="s">
        <v>2222</v>
      </c>
      <c r="F1988" s="58">
        <v>2740</v>
      </c>
      <c r="G1988" s="50" t="s">
        <v>30</v>
      </c>
      <c r="H1988" s="50" t="s">
        <v>822</v>
      </c>
      <c r="I1988" s="49" t="s">
        <v>107</v>
      </c>
      <c r="J1988" s="50" t="s">
        <v>108</v>
      </c>
      <c r="K1988" s="50" t="s">
        <v>108</v>
      </c>
      <c r="L1988" s="50" t="s">
        <v>15</v>
      </c>
      <c r="M1988" s="50" t="s">
        <v>13</v>
      </c>
      <c r="N1988" s="50" t="s">
        <v>16</v>
      </c>
      <c r="O1988" s="48" t="s">
        <v>620</v>
      </c>
      <c r="P1988" s="45" t="s">
        <v>453</v>
      </c>
      <c r="Q1988" s="35" t="str">
        <f>MID(Tabla1[[#This Row],[Aplicación]],14,1)</f>
        <v>2</v>
      </c>
      <c r="R1988" s="35" t="s">
        <v>441</v>
      </c>
      <c r="S1988" s="35" t="str">
        <f>MID(Tabla1[[#This Row],[Aplicación]],6,2)</f>
        <v>11</v>
      </c>
      <c r="T1988" s="35" t="str">
        <f>VLOOKUP(Tabla1[[#This Row],[AREA]],Hoja1!A:B,2,FALSE)</f>
        <v>11. Salud pública y seguridad ciudadana</v>
      </c>
      <c r="U1988" s="35" t="str">
        <f>MID(Tabla1[[#This Row],[Aplicación]],9,4)</f>
        <v>3111</v>
      </c>
      <c r="V1988" s="35" t="str">
        <f>VLOOKUP(Tabla1[[#This Row],[PROGRAMA]],Hoja1!A:B,2,FALSE)</f>
        <v>3111. Protección de la salubridad pública</v>
      </c>
      <c r="W1988" s="35" t="str">
        <f>MID(Tabla1[[#This Row],[Aplicación]],14,2)</f>
        <v>22</v>
      </c>
      <c r="X1988" s="35" t="str">
        <f>MID(Tabla1[[#This Row],[Aplicación]],14,6)</f>
        <v>22103</v>
      </c>
    </row>
    <row r="1989" spans="1:24" x14ac:dyDescent="0.25">
      <c r="A1989" s="49">
        <v>220210078785</v>
      </c>
      <c r="B1989" s="50" t="s">
        <v>9</v>
      </c>
      <c r="C1989" s="57">
        <v>44620</v>
      </c>
      <c r="D1989" s="49">
        <v>22021007317</v>
      </c>
      <c r="E1989" s="50" t="s">
        <v>1410</v>
      </c>
      <c r="F1989" s="58">
        <v>113.7</v>
      </c>
      <c r="G1989" s="50" t="s">
        <v>932</v>
      </c>
      <c r="H1989" s="50" t="s">
        <v>1243</v>
      </c>
      <c r="I1989" s="49" t="s">
        <v>107</v>
      </c>
      <c r="J1989" s="50" t="s">
        <v>109</v>
      </c>
      <c r="K1989" s="50" t="s">
        <v>109</v>
      </c>
      <c r="L1989" s="50" t="s">
        <v>12</v>
      </c>
      <c r="M1989" s="50" t="s">
        <v>10</v>
      </c>
      <c r="N1989" s="50" t="s">
        <v>11</v>
      </c>
      <c r="O1989" s="48" t="s">
        <v>632</v>
      </c>
      <c r="P1989" s="45" t="s">
        <v>453</v>
      </c>
      <c r="Q1989" s="35" t="str">
        <f>MID(Tabla1[[#This Row],[Aplicación]],14,1)</f>
        <v>6</v>
      </c>
      <c r="R1989" s="35" t="s">
        <v>442</v>
      </c>
      <c r="S1989" s="35" t="str">
        <f>MID(Tabla1[[#This Row],[Aplicación]],6,2)</f>
        <v>03</v>
      </c>
      <c r="T1989" s="35" t="str">
        <f>VLOOKUP(Tabla1[[#This Row],[AREA]],Hoja1!A:B,2,FALSE)</f>
        <v>03. Participación ciudadana y deportes</v>
      </c>
      <c r="U1989" s="35" t="str">
        <f>MID(Tabla1[[#This Row],[Aplicación]],9,4)</f>
        <v>9241</v>
      </c>
      <c r="V1989" s="35" t="str">
        <f>VLOOKUP(Tabla1[[#This Row],[PROGRAMA]],Hoja1!A:B,2,FALSE)</f>
        <v>9241. Participación ciudadana</v>
      </c>
      <c r="W1989" s="35" t="str">
        <f>MID(Tabla1[[#This Row],[Aplicación]],14,2)</f>
        <v>63</v>
      </c>
      <c r="X1989" s="35" t="str">
        <f>MID(Tabla1[[#This Row],[Aplicación]],14,6)</f>
        <v>632</v>
      </c>
    </row>
    <row r="1990" spans="1:24" x14ac:dyDescent="0.25">
      <c r="A1990" s="49">
        <v>220220002260</v>
      </c>
      <c r="B1990" s="50" t="s">
        <v>9</v>
      </c>
      <c r="C1990" s="57">
        <v>44592</v>
      </c>
      <c r="D1990" s="49">
        <v>22022001700</v>
      </c>
      <c r="E1990" s="50" t="s">
        <v>3083</v>
      </c>
      <c r="F1990" s="58">
        <v>100</v>
      </c>
      <c r="G1990" s="50" t="s">
        <v>224</v>
      </c>
      <c r="H1990" s="50" t="s">
        <v>3084</v>
      </c>
      <c r="I1990" s="49" t="s">
        <v>107</v>
      </c>
      <c r="J1990" s="50" t="s">
        <v>109</v>
      </c>
      <c r="K1990" s="50" t="s">
        <v>109</v>
      </c>
      <c r="L1990" s="50" t="s">
        <v>15</v>
      </c>
      <c r="M1990" s="50" t="s">
        <v>10</v>
      </c>
      <c r="N1990" s="50" t="s">
        <v>11</v>
      </c>
      <c r="O1990" s="48" t="s">
        <v>632</v>
      </c>
      <c r="P1990" s="45" t="s">
        <v>453</v>
      </c>
      <c r="Q1990" s="35" t="str">
        <f>MID(Tabla1[[#This Row],[Aplicación]],14,1)</f>
        <v>2</v>
      </c>
      <c r="R1990" s="35" t="s">
        <v>441</v>
      </c>
      <c r="S1990" s="35" t="str">
        <f>MID(Tabla1[[#This Row],[Aplicación]],6,2)</f>
        <v>10</v>
      </c>
      <c r="T1990" s="35" t="str">
        <f>VLOOKUP(Tabla1[[#This Row],[AREA]],Hoja1!A:B,2,FALSE)</f>
        <v>10. Servicios sociales y mediación comunitaria</v>
      </c>
      <c r="U1990" s="35" t="str">
        <f>MID(Tabla1[[#This Row],[Aplicación]],9,4)</f>
        <v>2412</v>
      </c>
      <c r="V1990" s="35" t="str">
        <f>VLOOKUP(Tabla1[[#This Row],[PROGRAMA]],Hoja1!A:B,2,FALSE)</f>
        <v>2412. Formación para el empleo</v>
      </c>
      <c r="W1990" s="35" t="str">
        <f>MID(Tabla1[[#This Row],[Aplicación]],14,2)</f>
        <v>22</v>
      </c>
      <c r="X1990" s="35" t="str">
        <f>MID(Tabla1[[#This Row],[Aplicación]],14,6)</f>
        <v>22110</v>
      </c>
    </row>
    <row r="1991" spans="1:24" x14ac:dyDescent="0.25">
      <c r="A1991" s="49">
        <v>220220001617</v>
      </c>
      <c r="B1991" s="50" t="s">
        <v>9</v>
      </c>
      <c r="C1991" s="57">
        <v>44587</v>
      </c>
      <c r="D1991" s="49">
        <v>22022001250</v>
      </c>
      <c r="E1991" s="50" t="s">
        <v>3173</v>
      </c>
      <c r="F1991" s="58">
        <v>2090.5100000000002</v>
      </c>
      <c r="G1991" s="50" t="s">
        <v>30</v>
      </c>
      <c r="H1991" s="50" t="s">
        <v>3378</v>
      </c>
      <c r="I1991" s="49" t="s">
        <v>107</v>
      </c>
      <c r="J1991" s="50" t="s">
        <v>108</v>
      </c>
      <c r="K1991" s="50" t="s">
        <v>108</v>
      </c>
      <c r="L1991" s="50" t="s">
        <v>15</v>
      </c>
      <c r="M1991" s="50" t="s">
        <v>13</v>
      </c>
      <c r="N1991" s="50" t="s">
        <v>14</v>
      </c>
      <c r="O1991" s="48" t="s">
        <v>620</v>
      </c>
      <c r="P1991" s="45" t="s">
        <v>453</v>
      </c>
      <c r="Q1991" s="35" t="str">
        <f>MID(Tabla1[[#This Row],[Aplicación]],14,1)</f>
        <v>2</v>
      </c>
      <c r="R1991" s="35" t="s">
        <v>441</v>
      </c>
      <c r="S1991" s="35" t="str">
        <f>MID(Tabla1[[#This Row],[Aplicación]],6,2)</f>
        <v>10</v>
      </c>
      <c r="T1991" s="35" t="str">
        <f>VLOOKUP(Tabla1[[#This Row],[AREA]],Hoja1!A:B,2,FALSE)</f>
        <v>10. Servicios sociales y mediación comunitaria</v>
      </c>
      <c r="U1991" s="35" t="str">
        <f>MID(Tabla1[[#This Row],[Aplicación]],9,4)</f>
        <v>2412</v>
      </c>
      <c r="V1991" s="35" t="str">
        <f>VLOOKUP(Tabla1[[#This Row],[PROGRAMA]],Hoja1!A:B,2,FALSE)</f>
        <v>2412. Formación para el empleo</v>
      </c>
      <c r="W1991" s="35" t="str">
        <f>MID(Tabla1[[#This Row],[Aplicación]],14,2)</f>
        <v>22</v>
      </c>
      <c r="X1991" s="35" t="str">
        <f>MID(Tabla1[[#This Row],[Aplicación]],14,6)</f>
        <v>22103</v>
      </c>
    </row>
    <row r="1992" spans="1:24" x14ac:dyDescent="0.25">
      <c r="A1992" s="49">
        <v>220210068243</v>
      </c>
      <c r="B1992" s="50" t="s">
        <v>9</v>
      </c>
      <c r="C1992" s="57">
        <v>44620</v>
      </c>
      <c r="D1992" s="49">
        <v>22021007331</v>
      </c>
      <c r="E1992" s="50" t="s">
        <v>3249</v>
      </c>
      <c r="F1992" s="58">
        <v>15028.2</v>
      </c>
      <c r="G1992" s="50" t="s">
        <v>49</v>
      </c>
      <c r="H1992" s="50" t="s">
        <v>1183</v>
      </c>
      <c r="I1992" s="49" t="s">
        <v>107</v>
      </c>
      <c r="J1992" s="50" t="s">
        <v>109</v>
      </c>
      <c r="K1992" s="50" t="s">
        <v>109</v>
      </c>
      <c r="L1992" s="50" t="s">
        <v>15</v>
      </c>
      <c r="M1992" s="50" t="s">
        <v>10</v>
      </c>
      <c r="N1992" s="50" t="s">
        <v>11</v>
      </c>
      <c r="O1992" s="48" t="s">
        <v>632</v>
      </c>
      <c r="P1992" s="45" t="s">
        <v>453</v>
      </c>
      <c r="Q1992" s="35" t="str">
        <f>MID(Tabla1[[#This Row],[Aplicación]],14,1)</f>
        <v>6</v>
      </c>
      <c r="R1992" s="35" t="s">
        <v>442</v>
      </c>
      <c r="S1992" s="35" t="str">
        <f>MID(Tabla1[[#This Row],[Aplicación]],6,2)</f>
        <v>03</v>
      </c>
      <c r="T1992" s="35" t="str">
        <f>VLOOKUP(Tabla1[[#This Row],[AREA]],Hoja1!A:B,2,FALSE)</f>
        <v>03. Participación ciudadana y deportes</v>
      </c>
      <c r="U1992" s="35" t="str">
        <f>MID(Tabla1[[#This Row],[Aplicación]],9,4)</f>
        <v>9241</v>
      </c>
      <c r="V1992" s="35" t="str">
        <f>VLOOKUP(Tabla1[[#This Row],[PROGRAMA]],Hoja1!A:B,2,FALSE)</f>
        <v>9241. Participación ciudadana</v>
      </c>
      <c r="W1992" s="35" t="str">
        <f>MID(Tabla1[[#This Row],[Aplicación]],14,2)</f>
        <v>63</v>
      </c>
      <c r="X1992" s="35" t="str">
        <f>MID(Tabla1[[#This Row],[Aplicación]],14,6)</f>
        <v>633</v>
      </c>
    </row>
    <row r="1993" spans="1:24" x14ac:dyDescent="0.25">
      <c r="A1993" s="49">
        <v>220220013162</v>
      </c>
      <c r="B1993" s="50" t="s">
        <v>172</v>
      </c>
      <c r="C1993" s="57">
        <v>44649</v>
      </c>
      <c r="D1993" s="49">
        <v>22022000684</v>
      </c>
      <c r="E1993" s="50" t="s">
        <v>1471</v>
      </c>
      <c r="F1993" s="58">
        <v>8985.25</v>
      </c>
      <c r="G1993" s="50" t="s">
        <v>49</v>
      </c>
      <c r="H1993" s="50" t="s">
        <v>3379</v>
      </c>
      <c r="I1993" s="49" t="s">
        <v>173</v>
      </c>
      <c r="J1993" s="50" t="s">
        <v>109</v>
      </c>
      <c r="K1993" s="50" t="s">
        <v>109</v>
      </c>
      <c r="L1993" s="50" t="s">
        <v>12</v>
      </c>
      <c r="M1993" s="50" t="s">
        <v>13</v>
      </c>
      <c r="N1993" s="50" t="s">
        <v>14</v>
      </c>
      <c r="O1993" s="48" t="s">
        <v>620</v>
      </c>
      <c r="P1993" s="45" t="s">
        <v>453</v>
      </c>
      <c r="Q1993" s="35" t="str">
        <f>MID(Tabla1[[#This Row],[Aplicación]],14,1)</f>
        <v>2</v>
      </c>
      <c r="R1993" s="35" t="s">
        <v>441</v>
      </c>
      <c r="S1993" s="35" t="str">
        <f>MID(Tabla1[[#This Row],[Aplicación]],6,2)</f>
        <v>11</v>
      </c>
      <c r="T1993" s="35" t="str">
        <f>VLOOKUP(Tabla1[[#This Row],[AREA]],Hoja1!A:B,2,FALSE)</f>
        <v>11. Salud pública y seguridad ciudadana</v>
      </c>
      <c r="U1993" s="35" t="str">
        <f>MID(Tabla1[[#This Row],[Aplicación]],9,4)</f>
        <v>1321</v>
      </c>
      <c r="V1993" s="35" t="str">
        <f>VLOOKUP(Tabla1[[#This Row],[PROGRAMA]],Hoja1!A:B,2,FALSE)</f>
        <v>1321. Policía municipal</v>
      </c>
      <c r="W1993" s="35" t="str">
        <f>MID(Tabla1[[#This Row],[Aplicación]],14,2)</f>
        <v>21</v>
      </c>
      <c r="X1993" s="35" t="str">
        <f>MID(Tabla1[[#This Row],[Aplicación]],14,6)</f>
        <v>213</v>
      </c>
    </row>
    <row r="1994" spans="1:24" x14ac:dyDescent="0.25">
      <c r="A1994" s="49">
        <v>220220013163</v>
      </c>
      <c r="B1994" s="50" t="s">
        <v>172</v>
      </c>
      <c r="C1994" s="57">
        <v>44649</v>
      </c>
      <c r="D1994" s="49">
        <v>22022000685</v>
      </c>
      <c r="E1994" s="50" t="s">
        <v>1471</v>
      </c>
      <c r="F1994" s="58">
        <v>6250</v>
      </c>
      <c r="G1994" s="50" t="s">
        <v>49</v>
      </c>
      <c r="H1994" s="50" t="s">
        <v>3380</v>
      </c>
      <c r="I1994" s="49" t="s">
        <v>173</v>
      </c>
      <c r="J1994" s="50" t="s">
        <v>109</v>
      </c>
      <c r="K1994" s="50" t="s">
        <v>109</v>
      </c>
      <c r="L1994" s="50" t="s">
        <v>12</v>
      </c>
      <c r="M1994" s="50" t="s">
        <v>13</v>
      </c>
      <c r="N1994" s="50" t="s">
        <v>14</v>
      </c>
      <c r="O1994" s="48" t="s">
        <v>620</v>
      </c>
      <c r="P1994" s="45" t="s">
        <v>453</v>
      </c>
      <c r="Q1994" s="35" t="str">
        <f>MID(Tabla1[[#This Row],[Aplicación]],14,1)</f>
        <v>2</v>
      </c>
      <c r="R1994" s="35" t="s">
        <v>441</v>
      </c>
      <c r="S1994" s="35" t="str">
        <f>MID(Tabla1[[#This Row],[Aplicación]],6,2)</f>
        <v>11</v>
      </c>
      <c r="T1994" s="35" t="str">
        <f>VLOOKUP(Tabla1[[#This Row],[AREA]],Hoja1!A:B,2,FALSE)</f>
        <v>11. Salud pública y seguridad ciudadana</v>
      </c>
      <c r="U1994" s="35" t="str">
        <f>MID(Tabla1[[#This Row],[Aplicación]],9,4)</f>
        <v>1321</v>
      </c>
      <c r="V1994" s="35" t="str">
        <f>VLOOKUP(Tabla1[[#This Row],[PROGRAMA]],Hoja1!A:B,2,FALSE)</f>
        <v>1321. Policía municipal</v>
      </c>
      <c r="W1994" s="35" t="str">
        <f>MID(Tabla1[[#This Row],[Aplicación]],14,2)</f>
        <v>21</v>
      </c>
      <c r="X1994" s="35" t="str">
        <f>MID(Tabla1[[#This Row],[Aplicación]],14,6)</f>
        <v>213</v>
      </c>
    </row>
    <row r="1995" spans="1:24" x14ac:dyDescent="0.25">
      <c r="A1995" s="49">
        <v>220220003934</v>
      </c>
      <c r="B1995" s="50" t="s">
        <v>9</v>
      </c>
      <c r="C1995" s="57">
        <v>44609</v>
      </c>
      <c r="D1995" s="49">
        <v>22022002322</v>
      </c>
      <c r="E1995" s="50" t="s">
        <v>1461</v>
      </c>
      <c r="F1995" s="58">
        <v>3000</v>
      </c>
      <c r="G1995" s="50" t="s">
        <v>49</v>
      </c>
      <c r="H1995" s="50" t="s">
        <v>3381</v>
      </c>
      <c r="I1995" s="49" t="s">
        <v>107</v>
      </c>
      <c r="J1995" s="50" t="s">
        <v>109</v>
      </c>
      <c r="K1995" s="50" t="s">
        <v>109</v>
      </c>
      <c r="L1995" s="50" t="s">
        <v>12</v>
      </c>
      <c r="M1995" s="50" t="s">
        <v>10</v>
      </c>
      <c r="N1995" s="50" t="s">
        <v>11</v>
      </c>
      <c r="O1995" s="48" t="s">
        <v>632</v>
      </c>
      <c r="P1995" s="45" t="s">
        <v>453</v>
      </c>
      <c r="Q1995" s="35" t="str">
        <f>MID(Tabla1[[#This Row],[Aplicación]],14,1)</f>
        <v>2</v>
      </c>
      <c r="R1995" s="35" t="s">
        <v>441</v>
      </c>
      <c r="S1995" s="35" t="str">
        <f>MID(Tabla1[[#This Row],[Aplicación]],6,2)</f>
        <v>11</v>
      </c>
      <c r="T1995" s="35" t="str">
        <f>VLOOKUP(Tabla1[[#This Row],[AREA]],Hoja1!A:B,2,FALSE)</f>
        <v>11. Salud pública y seguridad ciudadana</v>
      </c>
      <c r="U1995" s="35" t="str">
        <f>MID(Tabla1[[#This Row],[Aplicación]],9,4)</f>
        <v>1621</v>
      </c>
      <c r="V1995" s="35" t="str">
        <f>VLOOKUP(Tabla1[[#This Row],[PROGRAMA]],Hoja1!A:B,2,FALSE)</f>
        <v>1621. Servicio de limpieza</v>
      </c>
      <c r="W1995" s="35" t="str">
        <f>MID(Tabla1[[#This Row],[Aplicación]],14,2)</f>
        <v>21</v>
      </c>
      <c r="X1995" s="35" t="str">
        <f>MID(Tabla1[[#This Row],[Aplicación]],14,6)</f>
        <v>213</v>
      </c>
    </row>
    <row r="1996" spans="1:24" x14ac:dyDescent="0.25">
      <c r="A1996" s="49">
        <v>220220000390</v>
      </c>
      <c r="B1996" s="50" t="s">
        <v>9</v>
      </c>
      <c r="C1996" s="57">
        <v>44586</v>
      </c>
      <c r="D1996" s="49">
        <v>22022000358</v>
      </c>
      <c r="E1996" s="50" t="s">
        <v>1488</v>
      </c>
      <c r="F1996" s="58">
        <v>2758.8</v>
      </c>
      <c r="G1996" s="50" t="s">
        <v>49</v>
      </c>
      <c r="H1996" s="50" t="s">
        <v>3382</v>
      </c>
      <c r="I1996" s="49" t="s">
        <v>107</v>
      </c>
      <c r="J1996" s="50" t="s">
        <v>109</v>
      </c>
      <c r="K1996" s="50" t="s">
        <v>109</v>
      </c>
      <c r="L1996" s="50" t="s">
        <v>12</v>
      </c>
      <c r="M1996" s="50" t="s">
        <v>10</v>
      </c>
      <c r="N1996" s="50" t="s">
        <v>11</v>
      </c>
      <c r="O1996" s="48" t="s">
        <v>632</v>
      </c>
      <c r="P1996" s="45" t="s">
        <v>453</v>
      </c>
      <c r="Q1996" s="35" t="str">
        <f>MID(Tabla1[[#This Row],[Aplicación]],14,1)</f>
        <v>2</v>
      </c>
      <c r="R1996" s="35" t="s">
        <v>441</v>
      </c>
      <c r="S1996" s="35" t="str">
        <f>MID(Tabla1[[#This Row],[Aplicación]],6,2)</f>
        <v>10</v>
      </c>
      <c r="T1996" s="35" t="str">
        <f>VLOOKUP(Tabla1[[#This Row],[AREA]],Hoja1!A:B,2,FALSE)</f>
        <v>10. Servicios sociales y mediación comunitaria</v>
      </c>
      <c r="U1996" s="35" t="str">
        <f>MID(Tabla1[[#This Row],[Aplicación]],9,4)</f>
        <v>2312</v>
      </c>
      <c r="V1996" s="35" t="str">
        <f>VLOOKUP(Tabla1[[#This Row],[PROGRAMA]],Hoja1!A:B,2,FALSE)</f>
        <v>2312. Iniciativas sociales</v>
      </c>
      <c r="W1996" s="35" t="str">
        <f>MID(Tabla1[[#This Row],[Aplicación]],14,2)</f>
        <v>21</v>
      </c>
      <c r="X1996" s="35" t="str">
        <f>MID(Tabla1[[#This Row],[Aplicación]],14,6)</f>
        <v>213</v>
      </c>
    </row>
    <row r="1997" spans="1:24" x14ac:dyDescent="0.25">
      <c r="A1997" s="49">
        <v>220220000391</v>
      </c>
      <c r="B1997" s="50" t="s">
        <v>9</v>
      </c>
      <c r="C1997" s="57">
        <v>44586</v>
      </c>
      <c r="D1997" s="49">
        <v>22022000378</v>
      </c>
      <c r="E1997" s="50" t="s">
        <v>1488</v>
      </c>
      <c r="F1997" s="58">
        <v>2758.8</v>
      </c>
      <c r="G1997" s="50" t="s">
        <v>49</v>
      </c>
      <c r="H1997" s="50" t="s">
        <v>3383</v>
      </c>
      <c r="I1997" s="49" t="s">
        <v>107</v>
      </c>
      <c r="J1997" s="50" t="s">
        <v>109</v>
      </c>
      <c r="K1997" s="50" t="s">
        <v>109</v>
      </c>
      <c r="L1997" s="50" t="s">
        <v>12</v>
      </c>
      <c r="M1997" s="50" t="s">
        <v>10</v>
      </c>
      <c r="N1997" s="50" t="s">
        <v>11</v>
      </c>
      <c r="O1997" s="48" t="s">
        <v>632</v>
      </c>
      <c r="P1997" s="45" t="s">
        <v>453</v>
      </c>
      <c r="Q1997" s="35" t="str">
        <f>MID(Tabla1[[#This Row],[Aplicación]],14,1)</f>
        <v>2</v>
      </c>
      <c r="R1997" s="35" t="s">
        <v>441</v>
      </c>
      <c r="S1997" s="35" t="str">
        <f>MID(Tabla1[[#This Row],[Aplicación]],6,2)</f>
        <v>10</v>
      </c>
      <c r="T1997" s="35" t="str">
        <f>VLOOKUP(Tabla1[[#This Row],[AREA]],Hoja1!A:B,2,FALSE)</f>
        <v>10. Servicios sociales y mediación comunitaria</v>
      </c>
      <c r="U1997" s="35" t="str">
        <f>MID(Tabla1[[#This Row],[Aplicación]],9,4)</f>
        <v>2312</v>
      </c>
      <c r="V1997" s="35" t="str">
        <f>VLOOKUP(Tabla1[[#This Row],[PROGRAMA]],Hoja1!A:B,2,FALSE)</f>
        <v>2312. Iniciativas sociales</v>
      </c>
      <c r="W1997" s="35" t="str">
        <f>MID(Tabla1[[#This Row],[Aplicación]],14,2)</f>
        <v>21</v>
      </c>
      <c r="X1997" s="35" t="str">
        <f>MID(Tabla1[[#This Row],[Aplicación]],14,6)</f>
        <v>213</v>
      </c>
    </row>
    <row r="1998" spans="1:24" x14ac:dyDescent="0.25">
      <c r="A1998" s="49">
        <v>220220000396</v>
      </c>
      <c r="B1998" s="50" t="s">
        <v>9</v>
      </c>
      <c r="C1998" s="57">
        <v>44586</v>
      </c>
      <c r="D1998" s="49">
        <v>22022000322</v>
      </c>
      <c r="E1998" s="50" t="s">
        <v>1496</v>
      </c>
      <c r="F1998" s="58">
        <v>2032.8</v>
      </c>
      <c r="G1998" s="50" t="s">
        <v>49</v>
      </c>
      <c r="H1998" s="50" t="s">
        <v>3384</v>
      </c>
      <c r="I1998" s="49" t="s">
        <v>107</v>
      </c>
      <c r="J1998" s="50" t="s">
        <v>109</v>
      </c>
      <c r="K1998" s="50" t="s">
        <v>109</v>
      </c>
      <c r="L1998" s="50" t="s">
        <v>12</v>
      </c>
      <c r="M1998" s="50" t="s">
        <v>10</v>
      </c>
      <c r="N1998" s="50" t="s">
        <v>11</v>
      </c>
      <c r="O1998" s="48" t="s">
        <v>632</v>
      </c>
      <c r="P1998" s="45" t="s">
        <v>453</v>
      </c>
      <c r="Q1998" s="35" t="str">
        <f>MID(Tabla1[[#This Row],[Aplicación]],14,1)</f>
        <v>2</v>
      </c>
      <c r="R1998" s="35" t="s">
        <v>441</v>
      </c>
      <c r="S1998" s="35" t="str">
        <f>MID(Tabla1[[#This Row],[Aplicación]],6,2)</f>
        <v>10</v>
      </c>
      <c r="T1998" s="35" t="str">
        <f>VLOOKUP(Tabla1[[#This Row],[AREA]],Hoja1!A:B,2,FALSE)</f>
        <v>10. Servicios sociales y mediación comunitaria</v>
      </c>
      <c r="U1998" s="35" t="str">
        <f>MID(Tabla1[[#This Row],[Aplicación]],9,4)</f>
        <v>2311</v>
      </c>
      <c r="V1998" s="35" t="str">
        <f>VLOOKUP(Tabla1[[#This Row],[PROGRAMA]],Hoja1!A:B,2,FALSE)</f>
        <v>2311. Intervención social</v>
      </c>
      <c r="W1998" s="35" t="str">
        <f>MID(Tabla1[[#This Row],[Aplicación]],14,2)</f>
        <v>21</v>
      </c>
      <c r="X1998" s="35" t="str">
        <f>MID(Tabla1[[#This Row],[Aplicación]],14,6)</f>
        <v>213</v>
      </c>
    </row>
    <row r="1999" spans="1:24" x14ac:dyDescent="0.25">
      <c r="A1999" s="49">
        <v>220220001612</v>
      </c>
      <c r="B1999" s="50" t="s">
        <v>9</v>
      </c>
      <c r="C1999" s="57">
        <v>44587</v>
      </c>
      <c r="D1999" s="49">
        <v>22022001549</v>
      </c>
      <c r="E1999" s="50" t="s">
        <v>1488</v>
      </c>
      <c r="F1999" s="58">
        <v>1331</v>
      </c>
      <c r="G1999" s="50" t="s">
        <v>49</v>
      </c>
      <c r="H1999" s="50" t="s">
        <v>3385</v>
      </c>
      <c r="I1999" s="49" t="s">
        <v>107</v>
      </c>
      <c r="J1999" s="50" t="s">
        <v>109</v>
      </c>
      <c r="K1999" s="50" t="s">
        <v>109</v>
      </c>
      <c r="L1999" s="50" t="s">
        <v>15</v>
      </c>
      <c r="M1999" s="50" t="s">
        <v>10</v>
      </c>
      <c r="N1999" s="50" t="s">
        <v>11</v>
      </c>
      <c r="O1999" s="48" t="s">
        <v>632</v>
      </c>
      <c r="P1999" s="45" t="s">
        <v>453</v>
      </c>
      <c r="Q1999" s="35" t="str">
        <f>MID(Tabla1[[#This Row],[Aplicación]],14,1)</f>
        <v>2</v>
      </c>
      <c r="R1999" s="35" t="s">
        <v>441</v>
      </c>
      <c r="S1999" s="35" t="str">
        <f>MID(Tabla1[[#This Row],[Aplicación]],6,2)</f>
        <v>10</v>
      </c>
      <c r="T1999" s="35" t="str">
        <f>VLOOKUP(Tabla1[[#This Row],[AREA]],Hoja1!A:B,2,FALSE)</f>
        <v>10. Servicios sociales y mediación comunitaria</v>
      </c>
      <c r="U1999" s="35" t="str">
        <f>MID(Tabla1[[#This Row],[Aplicación]],9,4)</f>
        <v>2312</v>
      </c>
      <c r="V1999" s="35" t="str">
        <f>VLOOKUP(Tabla1[[#This Row],[PROGRAMA]],Hoja1!A:B,2,FALSE)</f>
        <v>2312. Iniciativas sociales</v>
      </c>
      <c r="W1999" s="35" t="str">
        <f>MID(Tabla1[[#This Row],[Aplicación]],14,2)</f>
        <v>21</v>
      </c>
      <c r="X1999" s="35" t="str">
        <f>MID(Tabla1[[#This Row],[Aplicación]],14,6)</f>
        <v>213</v>
      </c>
    </row>
    <row r="2000" spans="1:24" x14ac:dyDescent="0.25">
      <c r="A2000" s="49">
        <v>220220000337</v>
      </c>
      <c r="B2000" s="50" t="s">
        <v>9</v>
      </c>
      <c r="C2000" s="57">
        <v>44585</v>
      </c>
      <c r="D2000" s="49">
        <v>22022000730</v>
      </c>
      <c r="E2000" s="50" t="s">
        <v>1492</v>
      </c>
      <c r="F2000" s="58">
        <v>1016.4</v>
      </c>
      <c r="G2000" s="50" t="s">
        <v>49</v>
      </c>
      <c r="H2000" s="50" t="s">
        <v>3386</v>
      </c>
      <c r="I2000" s="49" t="s">
        <v>107</v>
      </c>
      <c r="J2000" s="50" t="s">
        <v>109</v>
      </c>
      <c r="K2000" s="50" t="s">
        <v>109</v>
      </c>
      <c r="L2000" s="50" t="s">
        <v>12</v>
      </c>
      <c r="M2000" s="50" t="s">
        <v>10</v>
      </c>
      <c r="N2000" s="50" t="s">
        <v>11</v>
      </c>
      <c r="O2000" s="48" t="s">
        <v>632</v>
      </c>
      <c r="P2000" s="45" t="s">
        <v>453</v>
      </c>
      <c r="Q2000" s="35" t="str">
        <f>MID(Tabla1[[#This Row],[Aplicación]],14,1)</f>
        <v>2</v>
      </c>
      <c r="R2000" s="35" t="s">
        <v>441</v>
      </c>
      <c r="S2000" s="35" t="str">
        <f>MID(Tabla1[[#This Row],[Aplicación]],6,2)</f>
        <v>11</v>
      </c>
      <c r="T2000" s="35" t="str">
        <f>VLOOKUP(Tabla1[[#This Row],[AREA]],Hoja1!A:B,2,FALSE)</f>
        <v>11. Salud pública y seguridad ciudadana</v>
      </c>
      <c r="U2000" s="35" t="str">
        <f>MID(Tabla1[[#This Row],[Aplicación]],9,4)</f>
        <v>1361</v>
      </c>
      <c r="V2000" s="35" t="str">
        <f>VLOOKUP(Tabla1[[#This Row],[PROGRAMA]],Hoja1!A:B,2,FALSE)</f>
        <v>1361. Prevención y extinción de incencios</v>
      </c>
      <c r="W2000" s="35" t="str">
        <f>MID(Tabla1[[#This Row],[Aplicación]],14,2)</f>
        <v>21</v>
      </c>
      <c r="X2000" s="35" t="str">
        <f>MID(Tabla1[[#This Row],[Aplicación]],14,6)</f>
        <v>213</v>
      </c>
    </row>
    <row r="2001" spans="1:24" x14ac:dyDescent="0.25">
      <c r="A2001" s="49">
        <v>220220012367</v>
      </c>
      <c r="B2001" s="50" t="s">
        <v>9</v>
      </c>
      <c r="C2001" s="57">
        <v>44643</v>
      </c>
      <c r="D2001" s="49">
        <v>22022002608</v>
      </c>
      <c r="E2001" s="50" t="s">
        <v>1488</v>
      </c>
      <c r="F2001" s="58">
        <v>580.79999999999995</v>
      </c>
      <c r="G2001" s="50" t="s">
        <v>49</v>
      </c>
      <c r="H2001" s="50" t="s">
        <v>3387</v>
      </c>
      <c r="I2001" s="49" t="s">
        <v>107</v>
      </c>
      <c r="J2001" s="50" t="s">
        <v>109</v>
      </c>
      <c r="K2001" s="50" t="s">
        <v>109</v>
      </c>
      <c r="L2001" s="50" t="s">
        <v>15</v>
      </c>
      <c r="M2001" s="50" t="s">
        <v>10</v>
      </c>
      <c r="N2001" s="50" t="s">
        <v>11</v>
      </c>
      <c r="O2001" s="48" t="s">
        <v>632</v>
      </c>
      <c r="P2001" s="45" t="s">
        <v>453</v>
      </c>
      <c r="Q2001" s="35" t="str">
        <f>MID(Tabla1[[#This Row],[Aplicación]],14,1)</f>
        <v>2</v>
      </c>
      <c r="R2001" s="35" t="s">
        <v>441</v>
      </c>
      <c r="S2001" s="35" t="str">
        <f>MID(Tabla1[[#This Row],[Aplicación]],6,2)</f>
        <v>10</v>
      </c>
      <c r="T2001" s="35" t="str">
        <f>VLOOKUP(Tabla1[[#This Row],[AREA]],Hoja1!A:B,2,FALSE)</f>
        <v>10. Servicios sociales y mediación comunitaria</v>
      </c>
      <c r="U2001" s="35" t="str">
        <f>MID(Tabla1[[#This Row],[Aplicación]],9,4)</f>
        <v>2312</v>
      </c>
      <c r="V2001" s="35" t="str">
        <f>VLOOKUP(Tabla1[[#This Row],[PROGRAMA]],Hoja1!A:B,2,FALSE)</f>
        <v>2312. Iniciativas sociales</v>
      </c>
      <c r="W2001" s="35" t="str">
        <f>MID(Tabla1[[#This Row],[Aplicación]],14,2)</f>
        <v>21</v>
      </c>
      <c r="X2001" s="35" t="str">
        <f>MID(Tabla1[[#This Row],[Aplicación]],14,6)</f>
        <v>213</v>
      </c>
    </row>
    <row r="2002" spans="1:24" x14ac:dyDescent="0.25">
      <c r="A2002" s="49">
        <v>220220000395</v>
      </c>
      <c r="B2002" s="50" t="s">
        <v>9</v>
      </c>
      <c r="C2002" s="57">
        <v>44586</v>
      </c>
      <c r="D2002" s="49">
        <v>22022000309</v>
      </c>
      <c r="E2002" s="50" t="s">
        <v>1496</v>
      </c>
      <c r="F2002" s="58">
        <v>290.39999999999998</v>
      </c>
      <c r="G2002" s="50" t="s">
        <v>49</v>
      </c>
      <c r="H2002" s="50" t="s">
        <v>3388</v>
      </c>
      <c r="I2002" s="49" t="s">
        <v>107</v>
      </c>
      <c r="J2002" s="50" t="s">
        <v>109</v>
      </c>
      <c r="K2002" s="50" t="s">
        <v>109</v>
      </c>
      <c r="L2002" s="50" t="s">
        <v>12</v>
      </c>
      <c r="M2002" s="50" t="s">
        <v>10</v>
      </c>
      <c r="N2002" s="50" t="s">
        <v>11</v>
      </c>
      <c r="O2002" s="48" t="s">
        <v>632</v>
      </c>
      <c r="P2002" s="45" t="s">
        <v>453</v>
      </c>
      <c r="Q2002" s="35" t="str">
        <f>MID(Tabla1[[#This Row],[Aplicación]],14,1)</f>
        <v>2</v>
      </c>
      <c r="R2002" s="35" t="s">
        <v>441</v>
      </c>
      <c r="S2002" s="35" t="str">
        <f>MID(Tabla1[[#This Row],[Aplicación]],6,2)</f>
        <v>10</v>
      </c>
      <c r="T2002" s="35" t="str">
        <f>VLOOKUP(Tabla1[[#This Row],[AREA]],Hoja1!A:B,2,FALSE)</f>
        <v>10. Servicios sociales y mediación comunitaria</v>
      </c>
      <c r="U2002" s="35" t="str">
        <f>MID(Tabla1[[#This Row],[Aplicación]],9,4)</f>
        <v>2311</v>
      </c>
      <c r="V2002" s="35" t="str">
        <f>VLOOKUP(Tabla1[[#This Row],[PROGRAMA]],Hoja1!A:B,2,FALSE)</f>
        <v>2311. Intervención social</v>
      </c>
      <c r="W2002" s="35" t="str">
        <f>MID(Tabla1[[#This Row],[Aplicación]],14,2)</f>
        <v>21</v>
      </c>
      <c r="X2002" s="35" t="str">
        <f>MID(Tabla1[[#This Row],[Aplicación]],14,6)</f>
        <v>213</v>
      </c>
    </row>
    <row r="2003" spans="1:24" x14ac:dyDescent="0.25">
      <c r="A2003" s="49">
        <v>220220006378</v>
      </c>
      <c r="B2003" s="50" t="s">
        <v>9</v>
      </c>
      <c r="C2003" s="57">
        <v>44617</v>
      </c>
      <c r="D2003" s="49">
        <v>22022002452</v>
      </c>
      <c r="E2003" s="50" t="s">
        <v>2412</v>
      </c>
      <c r="F2003" s="58">
        <v>181.5</v>
      </c>
      <c r="G2003" s="50" t="s">
        <v>49</v>
      </c>
      <c r="H2003" s="50" t="s">
        <v>3389</v>
      </c>
      <c r="I2003" s="49" t="s">
        <v>107</v>
      </c>
      <c r="J2003" s="50" t="s">
        <v>109</v>
      </c>
      <c r="K2003" s="50" t="s">
        <v>109</v>
      </c>
      <c r="L2003" s="50" t="s">
        <v>12</v>
      </c>
      <c r="M2003" s="50" t="s">
        <v>10</v>
      </c>
      <c r="N2003" s="50" t="s">
        <v>11</v>
      </c>
      <c r="O2003" s="48" t="s">
        <v>632</v>
      </c>
      <c r="P2003" s="45" t="s">
        <v>453</v>
      </c>
      <c r="Q2003" s="35" t="str">
        <f>MID(Tabla1[[#This Row],[Aplicación]],14,1)</f>
        <v>2</v>
      </c>
      <c r="R2003" s="35" t="s">
        <v>441</v>
      </c>
      <c r="S2003" s="35" t="str">
        <f>MID(Tabla1[[#This Row],[Aplicación]],6,2)</f>
        <v>05</v>
      </c>
      <c r="T2003" s="35" t="str">
        <f>VLOOKUP(Tabla1[[#This Row],[AREA]],Hoja1!A:B,2,FALSE)</f>
        <v>05. Innovación, desarrollo económico, empleo y comercio</v>
      </c>
      <c r="U2003" s="35" t="str">
        <f>MID(Tabla1[[#This Row],[Aplicación]],9,4)</f>
        <v>4331</v>
      </c>
      <c r="V2003" s="35" t="str">
        <f>VLOOKUP(Tabla1[[#This Row],[PROGRAMA]],Hoja1!A:B,2,FALSE)</f>
        <v>4331. Desarrollo empresarial</v>
      </c>
      <c r="W2003" s="35" t="str">
        <f>MID(Tabla1[[#This Row],[Aplicación]],14,2)</f>
        <v>21</v>
      </c>
      <c r="X2003" s="35" t="str">
        <f>MID(Tabla1[[#This Row],[Aplicación]],14,6)</f>
        <v>213</v>
      </c>
    </row>
    <row r="2004" spans="1:24" x14ac:dyDescent="0.25">
      <c r="A2004" s="49">
        <v>220220013100</v>
      </c>
      <c r="B2004" s="50" t="s">
        <v>172</v>
      </c>
      <c r="C2004" s="57">
        <v>44649</v>
      </c>
      <c r="D2004" s="49">
        <v>22022001178</v>
      </c>
      <c r="E2004" s="50" t="s">
        <v>1653</v>
      </c>
      <c r="F2004" s="58">
        <v>175.45</v>
      </c>
      <c r="G2004" s="50" t="s">
        <v>49</v>
      </c>
      <c r="H2004" s="50" t="s">
        <v>3390</v>
      </c>
      <c r="I2004" s="49" t="s">
        <v>173</v>
      </c>
      <c r="J2004" s="50" t="s">
        <v>109</v>
      </c>
      <c r="K2004" s="50" t="s">
        <v>109</v>
      </c>
      <c r="L2004" s="50" t="s">
        <v>15</v>
      </c>
      <c r="M2004" s="50" t="s">
        <v>13</v>
      </c>
      <c r="N2004" s="50" t="s">
        <v>14</v>
      </c>
      <c r="O2004" s="48" t="s">
        <v>631</v>
      </c>
      <c r="P2004" s="45" t="s">
        <v>453</v>
      </c>
      <c r="Q2004" s="35" t="str">
        <f>MID(Tabla1[[#This Row],[Aplicación]],14,1)</f>
        <v>2</v>
      </c>
      <c r="R2004" s="35" t="s">
        <v>441</v>
      </c>
      <c r="S2004" s="35" t="str">
        <f>MID(Tabla1[[#This Row],[Aplicación]],6,2)</f>
        <v>10</v>
      </c>
      <c r="T2004" s="35" t="str">
        <f>VLOOKUP(Tabla1[[#This Row],[AREA]],Hoja1!A:B,2,FALSE)</f>
        <v>10. Servicios sociales y mediación comunitaria</v>
      </c>
      <c r="U2004" s="35" t="str">
        <f>MID(Tabla1[[#This Row],[Aplicación]],9,4)</f>
        <v>2311</v>
      </c>
      <c r="V2004" s="35" t="str">
        <f>VLOOKUP(Tabla1[[#This Row],[PROGRAMA]],Hoja1!A:B,2,FALSE)</f>
        <v>2311. Intervención social</v>
      </c>
      <c r="W2004" s="35" t="str">
        <f>MID(Tabla1[[#This Row],[Aplicación]],14,2)</f>
        <v>21</v>
      </c>
      <c r="X2004" s="35" t="str">
        <f>MID(Tabla1[[#This Row],[Aplicación]],14,6)</f>
        <v>212</v>
      </c>
    </row>
    <row r="2005" spans="1:24" x14ac:dyDescent="0.25">
      <c r="A2005" s="49">
        <v>220220012895</v>
      </c>
      <c r="B2005" s="50" t="s">
        <v>9</v>
      </c>
      <c r="C2005" s="57">
        <v>44648</v>
      </c>
      <c r="D2005" s="49">
        <v>22022002975</v>
      </c>
      <c r="E2005" s="50" t="s">
        <v>1488</v>
      </c>
      <c r="F2005" s="58">
        <v>128.26</v>
      </c>
      <c r="G2005" s="50" t="s">
        <v>49</v>
      </c>
      <c r="H2005" s="50" t="s">
        <v>3391</v>
      </c>
      <c r="I2005" s="49" t="s">
        <v>107</v>
      </c>
      <c r="J2005" s="50" t="s">
        <v>109</v>
      </c>
      <c r="K2005" s="50" t="s">
        <v>109</v>
      </c>
      <c r="L2005" s="50" t="s">
        <v>15</v>
      </c>
      <c r="M2005" s="50" t="s">
        <v>10</v>
      </c>
      <c r="N2005" s="50" t="s">
        <v>11</v>
      </c>
      <c r="O2005" s="48" t="s">
        <v>632</v>
      </c>
      <c r="P2005" s="45" t="s">
        <v>453</v>
      </c>
      <c r="Q2005" s="35" t="str">
        <f>MID(Tabla1[[#This Row],[Aplicación]],14,1)</f>
        <v>2</v>
      </c>
      <c r="R2005" s="35" t="s">
        <v>441</v>
      </c>
      <c r="S2005" s="35" t="str">
        <f>MID(Tabla1[[#This Row],[Aplicación]],6,2)</f>
        <v>10</v>
      </c>
      <c r="T2005" s="35" t="str">
        <f>VLOOKUP(Tabla1[[#This Row],[AREA]],Hoja1!A:B,2,FALSE)</f>
        <v>10. Servicios sociales y mediación comunitaria</v>
      </c>
      <c r="U2005" s="35" t="str">
        <f>MID(Tabla1[[#This Row],[Aplicación]],9,4)</f>
        <v>2312</v>
      </c>
      <c r="V2005" s="35" t="str">
        <f>VLOOKUP(Tabla1[[#This Row],[PROGRAMA]],Hoja1!A:B,2,FALSE)</f>
        <v>2312. Iniciativas sociales</v>
      </c>
      <c r="W2005" s="35" t="str">
        <f>MID(Tabla1[[#This Row],[Aplicación]],14,2)</f>
        <v>21</v>
      </c>
      <c r="X2005" s="35" t="str">
        <f>MID(Tabla1[[#This Row],[Aplicación]],14,6)</f>
        <v>213</v>
      </c>
    </row>
    <row r="2006" spans="1:24" x14ac:dyDescent="0.25">
      <c r="A2006" s="49">
        <v>220220003755</v>
      </c>
      <c r="B2006" s="50" t="s">
        <v>172</v>
      </c>
      <c r="C2006" s="57">
        <v>44608</v>
      </c>
      <c r="D2006" s="49">
        <v>22022001178</v>
      </c>
      <c r="E2006" s="50" t="s">
        <v>1653</v>
      </c>
      <c r="F2006" s="58">
        <v>91.96</v>
      </c>
      <c r="G2006" s="50" t="s">
        <v>49</v>
      </c>
      <c r="H2006" s="50" t="s">
        <v>3392</v>
      </c>
      <c r="I2006" s="49" t="s">
        <v>173</v>
      </c>
      <c r="J2006" s="50" t="s">
        <v>109</v>
      </c>
      <c r="K2006" s="50" t="s">
        <v>109</v>
      </c>
      <c r="L2006" s="50" t="s">
        <v>15</v>
      </c>
      <c r="M2006" s="50" t="s">
        <v>13</v>
      </c>
      <c r="N2006" s="50" t="s">
        <v>14</v>
      </c>
      <c r="O2006" s="48" t="s">
        <v>631</v>
      </c>
      <c r="P2006" s="45" t="s">
        <v>453</v>
      </c>
      <c r="Q2006" s="35" t="str">
        <f>MID(Tabla1[[#This Row],[Aplicación]],14,1)</f>
        <v>2</v>
      </c>
      <c r="R2006" s="35" t="s">
        <v>441</v>
      </c>
      <c r="S2006" s="35" t="str">
        <f>MID(Tabla1[[#This Row],[Aplicación]],6,2)</f>
        <v>10</v>
      </c>
      <c r="T2006" s="35" t="str">
        <f>VLOOKUP(Tabla1[[#This Row],[AREA]],Hoja1!A:B,2,FALSE)</f>
        <v>10. Servicios sociales y mediación comunitaria</v>
      </c>
      <c r="U2006" s="35" t="str">
        <f>MID(Tabla1[[#This Row],[Aplicación]],9,4)</f>
        <v>2311</v>
      </c>
      <c r="V2006" s="35" t="str">
        <f>VLOOKUP(Tabla1[[#This Row],[PROGRAMA]],Hoja1!A:B,2,FALSE)</f>
        <v>2311. Intervención social</v>
      </c>
      <c r="W2006" s="35" t="str">
        <f>MID(Tabla1[[#This Row],[Aplicación]],14,2)</f>
        <v>21</v>
      </c>
      <c r="X2006" s="35" t="str">
        <f>MID(Tabla1[[#This Row],[Aplicación]],14,6)</f>
        <v>212</v>
      </c>
    </row>
    <row r="2007" spans="1:24" x14ac:dyDescent="0.25">
      <c r="A2007" s="49">
        <v>220220012895</v>
      </c>
      <c r="B2007" s="50" t="s">
        <v>9</v>
      </c>
      <c r="C2007" s="57">
        <v>44648</v>
      </c>
      <c r="D2007" s="49">
        <v>22022002976</v>
      </c>
      <c r="E2007" s="50" t="s">
        <v>1488</v>
      </c>
      <c r="F2007" s="58">
        <v>58.08</v>
      </c>
      <c r="G2007" s="50" t="s">
        <v>49</v>
      </c>
      <c r="H2007" s="50" t="s">
        <v>3391</v>
      </c>
      <c r="I2007" s="49" t="s">
        <v>107</v>
      </c>
      <c r="J2007" s="50" t="s">
        <v>109</v>
      </c>
      <c r="K2007" s="50" t="s">
        <v>109</v>
      </c>
      <c r="L2007" s="50" t="s">
        <v>15</v>
      </c>
      <c r="M2007" s="50" t="s">
        <v>10</v>
      </c>
      <c r="N2007" s="50" t="s">
        <v>11</v>
      </c>
      <c r="O2007" s="48" t="s">
        <v>632</v>
      </c>
      <c r="P2007" s="45" t="s">
        <v>453</v>
      </c>
      <c r="Q2007" s="35" t="str">
        <f>MID(Tabla1[[#This Row],[Aplicación]],14,1)</f>
        <v>2</v>
      </c>
      <c r="R2007" s="35" t="s">
        <v>441</v>
      </c>
      <c r="S2007" s="35" t="str">
        <f>MID(Tabla1[[#This Row],[Aplicación]],6,2)</f>
        <v>10</v>
      </c>
      <c r="T2007" s="35" t="str">
        <f>VLOOKUP(Tabla1[[#This Row],[AREA]],Hoja1!A:B,2,FALSE)</f>
        <v>10. Servicios sociales y mediación comunitaria</v>
      </c>
      <c r="U2007" s="35" t="str">
        <f>MID(Tabla1[[#This Row],[Aplicación]],9,4)</f>
        <v>2312</v>
      </c>
      <c r="V2007" s="35" t="str">
        <f>VLOOKUP(Tabla1[[#This Row],[PROGRAMA]],Hoja1!A:B,2,FALSE)</f>
        <v>2312. Iniciativas sociales</v>
      </c>
      <c r="W2007" s="35" t="str">
        <f>MID(Tabla1[[#This Row],[Aplicación]],14,2)</f>
        <v>21</v>
      </c>
      <c r="X2007" s="35" t="str">
        <f>MID(Tabla1[[#This Row],[Aplicación]],14,6)</f>
        <v>213</v>
      </c>
    </row>
    <row r="2008" spans="1:24" x14ac:dyDescent="0.25">
      <c r="A2008" s="49">
        <v>220220012770</v>
      </c>
      <c r="B2008" s="50" t="s">
        <v>9</v>
      </c>
      <c r="C2008" s="57">
        <v>44644</v>
      </c>
      <c r="D2008" s="49">
        <v>22022002938</v>
      </c>
      <c r="E2008" s="50" t="s">
        <v>3393</v>
      </c>
      <c r="F2008" s="58">
        <v>56.87</v>
      </c>
      <c r="G2008" s="50" t="s">
        <v>49</v>
      </c>
      <c r="H2008" s="50" t="s">
        <v>3394</v>
      </c>
      <c r="I2008" s="49" t="s">
        <v>107</v>
      </c>
      <c r="J2008" s="50" t="s">
        <v>109</v>
      </c>
      <c r="K2008" s="50" t="s">
        <v>109</v>
      </c>
      <c r="L2008" s="50" t="s">
        <v>12</v>
      </c>
      <c r="M2008" s="50" t="s">
        <v>10</v>
      </c>
      <c r="N2008" s="50" t="s">
        <v>11</v>
      </c>
      <c r="O2008" s="48" t="s">
        <v>632</v>
      </c>
      <c r="P2008" s="45" t="s">
        <v>453</v>
      </c>
      <c r="Q2008" s="35" t="str">
        <f>MID(Tabla1[[#This Row],[Aplicación]],14,1)</f>
        <v>2</v>
      </c>
      <c r="R2008" s="35" t="s">
        <v>441</v>
      </c>
      <c r="S2008" s="35" t="str">
        <f>MID(Tabla1[[#This Row],[Aplicación]],6,2)</f>
        <v>05</v>
      </c>
      <c r="T2008" s="35" t="str">
        <f>VLOOKUP(Tabla1[[#This Row],[AREA]],Hoja1!A:B,2,FALSE)</f>
        <v>05. Innovación, desarrollo económico, empleo y comercio</v>
      </c>
      <c r="U2008" s="35" t="str">
        <f>MID(Tabla1[[#This Row],[Aplicación]],9,4)</f>
        <v>4331</v>
      </c>
      <c r="V2008" s="35" t="str">
        <f>VLOOKUP(Tabla1[[#This Row],[PROGRAMA]],Hoja1!A:B,2,FALSE)</f>
        <v>4331. Desarrollo empresarial</v>
      </c>
      <c r="W2008" s="35" t="str">
        <f>MID(Tabla1[[#This Row],[Aplicación]],14,2)</f>
        <v>21</v>
      </c>
      <c r="X2008" s="35" t="str">
        <f>MID(Tabla1[[#This Row],[Aplicación]],14,6)</f>
        <v>212</v>
      </c>
    </row>
    <row r="2009" spans="1:24" x14ac:dyDescent="0.25">
      <c r="A2009" s="49">
        <v>220220002774</v>
      </c>
      <c r="B2009" s="50" t="s">
        <v>9</v>
      </c>
      <c r="C2009" s="57">
        <v>44600</v>
      </c>
      <c r="D2009" s="49">
        <v>22022001915</v>
      </c>
      <c r="E2009" s="50" t="s">
        <v>1488</v>
      </c>
      <c r="F2009" s="58">
        <v>41.14</v>
      </c>
      <c r="G2009" s="50" t="s">
        <v>49</v>
      </c>
      <c r="H2009" s="50" t="s">
        <v>3395</v>
      </c>
      <c r="I2009" s="49" t="s">
        <v>107</v>
      </c>
      <c r="J2009" s="50" t="s">
        <v>109</v>
      </c>
      <c r="K2009" s="50" t="s">
        <v>109</v>
      </c>
      <c r="L2009" s="50" t="s">
        <v>15</v>
      </c>
      <c r="M2009" s="50" t="s">
        <v>10</v>
      </c>
      <c r="N2009" s="50" t="s">
        <v>11</v>
      </c>
      <c r="O2009" s="48" t="s">
        <v>632</v>
      </c>
      <c r="P2009" s="45" t="s">
        <v>453</v>
      </c>
      <c r="Q2009" s="35" t="str">
        <f>MID(Tabla1[[#This Row],[Aplicación]],14,1)</f>
        <v>2</v>
      </c>
      <c r="R2009" s="35" t="s">
        <v>441</v>
      </c>
      <c r="S2009" s="35" t="str">
        <f>MID(Tabla1[[#This Row],[Aplicación]],6,2)</f>
        <v>10</v>
      </c>
      <c r="T2009" s="35" t="str">
        <f>VLOOKUP(Tabla1[[#This Row],[AREA]],Hoja1!A:B,2,FALSE)</f>
        <v>10. Servicios sociales y mediación comunitaria</v>
      </c>
      <c r="U2009" s="35" t="str">
        <f>MID(Tabla1[[#This Row],[Aplicación]],9,4)</f>
        <v>2312</v>
      </c>
      <c r="V2009" s="35" t="str">
        <f>VLOOKUP(Tabla1[[#This Row],[PROGRAMA]],Hoja1!A:B,2,FALSE)</f>
        <v>2312. Iniciativas sociales</v>
      </c>
      <c r="W2009" s="35" t="str">
        <f>MID(Tabla1[[#This Row],[Aplicación]],14,2)</f>
        <v>21</v>
      </c>
      <c r="X2009" s="35" t="str">
        <f>MID(Tabla1[[#This Row],[Aplicación]],14,6)</f>
        <v>213</v>
      </c>
    </row>
    <row r="2010" spans="1:24" x14ac:dyDescent="0.25">
      <c r="A2010" s="49">
        <v>220220002774</v>
      </c>
      <c r="B2010" s="50" t="s">
        <v>9</v>
      </c>
      <c r="C2010" s="57">
        <v>44600</v>
      </c>
      <c r="D2010" s="49">
        <v>22022001914</v>
      </c>
      <c r="E2010" s="50" t="s">
        <v>1488</v>
      </c>
      <c r="F2010" s="58">
        <v>18.149999999999999</v>
      </c>
      <c r="G2010" s="50" t="s">
        <v>49</v>
      </c>
      <c r="H2010" s="50" t="s">
        <v>3395</v>
      </c>
      <c r="I2010" s="49" t="s">
        <v>107</v>
      </c>
      <c r="J2010" s="50" t="s">
        <v>109</v>
      </c>
      <c r="K2010" s="50" t="s">
        <v>109</v>
      </c>
      <c r="L2010" s="50" t="s">
        <v>15</v>
      </c>
      <c r="M2010" s="50" t="s">
        <v>10</v>
      </c>
      <c r="N2010" s="50" t="s">
        <v>11</v>
      </c>
      <c r="O2010" s="48" t="s">
        <v>632</v>
      </c>
      <c r="P2010" s="45" t="s">
        <v>453</v>
      </c>
      <c r="Q2010" s="35" t="str">
        <f>MID(Tabla1[[#This Row],[Aplicación]],14,1)</f>
        <v>2</v>
      </c>
      <c r="R2010" s="35" t="s">
        <v>441</v>
      </c>
      <c r="S2010" s="35" t="str">
        <f>MID(Tabla1[[#This Row],[Aplicación]],6,2)</f>
        <v>10</v>
      </c>
      <c r="T2010" s="35" t="str">
        <f>VLOOKUP(Tabla1[[#This Row],[AREA]],Hoja1!A:B,2,FALSE)</f>
        <v>10. Servicios sociales y mediación comunitaria</v>
      </c>
      <c r="U2010" s="35" t="str">
        <f>MID(Tabla1[[#This Row],[Aplicación]],9,4)</f>
        <v>2312</v>
      </c>
      <c r="V2010" s="35" t="str">
        <f>VLOOKUP(Tabla1[[#This Row],[PROGRAMA]],Hoja1!A:B,2,FALSE)</f>
        <v>2312. Iniciativas sociales</v>
      </c>
      <c r="W2010" s="35" t="str">
        <f>MID(Tabla1[[#This Row],[Aplicación]],14,2)</f>
        <v>21</v>
      </c>
      <c r="X2010" s="35" t="str">
        <f>MID(Tabla1[[#This Row],[Aplicación]],14,6)</f>
        <v>213</v>
      </c>
    </row>
    <row r="2011" spans="1:24" x14ac:dyDescent="0.25">
      <c r="A2011" s="49">
        <v>220220002260</v>
      </c>
      <c r="B2011" s="50" t="s">
        <v>9</v>
      </c>
      <c r="C2011" s="57">
        <v>44592</v>
      </c>
      <c r="D2011" s="49">
        <v>22022001702</v>
      </c>
      <c r="E2011" s="50" t="s">
        <v>3083</v>
      </c>
      <c r="F2011" s="58">
        <v>100</v>
      </c>
      <c r="G2011" s="50" t="s">
        <v>224</v>
      </c>
      <c r="H2011" s="50" t="s">
        <v>3084</v>
      </c>
      <c r="I2011" s="49" t="s">
        <v>107</v>
      </c>
      <c r="J2011" s="50" t="s">
        <v>109</v>
      </c>
      <c r="K2011" s="50" t="s">
        <v>109</v>
      </c>
      <c r="L2011" s="50" t="s">
        <v>15</v>
      </c>
      <c r="M2011" s="50" t="s">
        <v>10</v>
      </c>
      <c r="N2011" s="50" t="s">
        <v>11</v>
      </c>
      <c r="O2011" s="48" t="s">
        <v>632</v>
      </c>
      <c r="P2011" s="45" t="s">
        <v>453</v>
      </c>
      <c r="Q2011" s="35" t="str">
        <f>MID(Tabla1[[#This Row],[Aplicación]],14,1)</f>
        <v>2</v>
      </c>
      <c r="R2011" s="35" t="s">
        <v>441</v>
      </c>
      <c r="S2011" s="35" t="str">
        <f>MID(Tabla1[[#This Row],[Aplicación]],6,2)</f>
        <v>10</v>
      </c>
      <c r="T2011" s="35" t="str">
        <f>VLOOKUP(Tabla1[[#This Row],[AREA]],Hoja1!A:B,2,FALSE)</f>
        <v>10. Servicios sociales y mediación comunitaria</v>
      </c>
      <c r="U2011" s="35" t="str">
        <f>MID(Tabla1[[#This Row],[Aplicación]],9,4)</f>
        <v>2412</v>
      </c>
      <c r="V2011" s="35" t="str">
        <f>VLOOKUP(Tabla1[[#This Row],[PROGRAMA]],Hoja1!A:B,2,FALSE)</f>
        <v>2412. Formación para el empleo</v>
      </c>
      <c r="W2011" s="35" t="str">
        <f>MID(Tabla1[[#This Row],[Aplicación]],14,2)</f>
        <v>22</v>
      </c>
      <c r="X2011" s="35" t="str">
        <f>MID(Tabla1[[#This Row],[Aplicación]],14,6)</f>
        <v>22110</v>
      </c>
    </row>
    <row r="2012" spans="1:24" x14ac:dyDescent="0.25">
      <c r="A2012" s="49">
        <v>220220001615</v>
      </c>
      <c r="B2012" s="50" t="s">
        <v>9</v>
      </c>
      <c r="C2012" s="57">
        <v>44587</v>
      </c>
      <c r="D2012" s="49">
        <v>22022001612</v>
      </c>
      <c r="E2012" s="50" t="s">
        <v>1701</v>
      </c>
      <c r="F2012" s="58">
        <v>96.8</v>
      </c>
      <c r="G2012" s="50" t="s">
        <v>56</v>
      </c>
      <c r="H2012" s="50" t="s">
        <v>3396</v>
      </c>
      <c r="I2012" s="49" t="s">
        <v>107</v>
      </c>
      <c r="J2012" s="50" t="s">
        <v>109</v>
      </c>
      <c r="K2012" s="50" t="s">
        <v>109</v>
      </c>
      <c r="L2012" s="50" t="s">
        <v>12</v>
      </c>
      <c r="M2012" s="50" t="s">
        <v>10</v>
      </c>
      <c r="N2012" s="50" t="s">
        <v>11</v>
      </c>
      <c r="O2012" s="48" t="s">
        <v>632</v>
      </c>
      <c r="P2012" s="45" t="s">
        <v>453</v>
      </c>
      <c r="Q2012" s="35" t="str">
        <f>MID(Tabla1[[#This Row],[Aplicación]],14,1)</f>
        <v>2</v>
      </c>
      <c r="R2012" s="35" t="s">
        <v>441</v>
      </c>
      <c r="S2012" s="35" t="str">
        <f>MID(Tabla1[[#This Row],[Aplicación]],6,2)</f>
        <v>11</v>
      </c>
      <c r="T2012" s="35" t="str">
        <f>VLOOKUP(Tabla1[[#This Row],[AREA]],Hoja1!A:B,2,FALSE)</f>
        <v>11. Salud pública y seguridad ciudadana</v>
      </c>
      <c r="U2012" s="35" t="str">
        <f>MID(Tabla1[[#This Row],[Aplicación]],9,4)</f>
        <v>1621</v>
      </c>
      <c r="V2012" s="35" t="str">
        <f>VLOOKUP(Tabla1[[#This Row],[PROGRAMA]],Hoja1!A:B,2,FALSE)</f>
        <v>1621. Servicio de limpieza</v>
      </c>
      <c r="W2012" s="35" t="str">
        <f>MID(Tabla1[[#This Row],[Aplicación]],14,2)</f>
        <v>21</v>
      </c>
      <c r="X2012" s="35" t="str">
        <f>MID(Tabla1[[#This Row],[Aplicación]],14,6)</f>
        <v>212</v>
      </c>
    </row>
    <row r="2013" spans="1:24" x14ac:dyDescent="0.25">
      <c r="A2013" s="49">
        <v>220209000685</v>
      </c>
      <c r="B2013" s="50" t="s">
        <v>9</v>
      </c>
      <c r="C2013" s="57">
        <v>44562</v>
      </c>
      <c r="D2013" s="49">
        <v>22022000239</v>
      </c>
      <c r="E2013" s="50" t="s">
        <v>3397</v>
      </c>
      <c r="F2013" s="58">
        <v>1300</v>
      </c>
      <c r="G2013" s="50" t="s">
        <v>30</v>
      </c>
      <c r="H2013" s="50" t="s">
        <v>850</v>
      </c>
      <c r="I2013" s="49" t="s">
        <v>107</v>
      </c>
      <c r="J2013" s="50" t="s">
        <v>108</v>
      </c>
      <c r="K2013" s="50" t="s">
        <v>108</v>
      </c>
      <c r="L2013" s="50" t="s">
        <v>15</v>
      </c>
      <c r="M2013" s="50" t="s">
        <v>13</v>
      </c>
      <c r="N2013" s="50" t="s">
        <v>16</v>
      </c>
      <c r="O2013" s="48" t="s">
        <v>620</v>
      </c>
      <c r="P2013" s="45" t="s">
        <v>453</v>
      </c>
      <c r="Q2013" s="35" t="str">
        <f>MID(Tabla1[[#This Row],[Aplicación]],14,1)</f>
        <v>2</v>
      </c>
      <c r="R2013" s="35" t="s">
        <v>441</v>
      </c>
      <c r="S2013" s="35" t="str">
        <f>MID(Tabla1[[#This Row],[Aplicación]],6,2)</f>
        <v>06</v>
      </c>
      <c r="T2013" s="35" t="str">
        <f>VLOOKUP(Tabla1[[#This Row],[AREA]],Hoja1!A:B,2,FALSE)</f>
        <v>06. Educación, infancia, juventud e igualdad</v>
      </c>
      <c r="U2013" s="35" t="str">
        <f>MID(Tabla1[[#This Row],[Aplicación]],9,4)</f>
        <v>3261</v>
      </c>
      <c r="V2013" s="35" t="str">
        <f>VLOOKUP(Tabla1[[#This Row],[PROGRAMA]],Hoja1!A:B,2,FALSE)</f>
        <v>3261. Servicios complementarios de educación</v>
      </c>
      <c r="W2013" s="35" t="str">
        <f>MID(Tabla1[[#This Row],[Aplicación]],14,2)</f>
        <v>22</v>
      </c>
      <c r="X2013" s="35" t="str">
        <f>MID(Tabla1[[#This Row],[Aplicación]],14,6)</f>
        <v>22103</v>
      </c>
    </row>
    <row r="2014" spans="1:24" x14ac:dyDescent="0.25">
      <c r="A2014" s="49">
        <v>220220012355</v>
      </c>
      <c r="B2014" s="50" t="s">
        <v>9</v>
      </c>
      <c r="C2014" s="57">
        <v>44643</v>
      </c>
      <c r="D2014" s="49">
        <v>22022002583</v>
      </c>
      <c r="E2014" s="50" t="s">
        <v>3398</v>
      </c>
      <c r="F2014" s="58">
        <v>84.64</v>
      </c>
      <c r="G2014" s="50" t="s">
        <v>1025</v>
      </c>
      <c r="H2014" s="50" t="s">
        <v>3399</v>
      </c>
      <c r="I2014" s="49" t="s">
        <v>107</v>
      </c>
      <c r="J2014" s="50" t="s">
        <v>109</v>
      </c>
      <c r="K2014" s="50" t="s">
        <v>109</v>
      </c>
      <c r="L2014" s="50" t="s">
        <v>15</v>
      </c>
      <c r="M2014" s="50" t="s">
        <v>10</v>
      </c>
      <c r="N2014" s="50" t="s">
        <v>11</v>
      </c>
      <c r="O2014" s="48" t="s">
        <v>632</v>
      </c>
      <c r="P2014" s="45" t="s">
        <v>453</v>
      </c>
      <c r="Q2014" s="35" t="str">
        <f>MID(Tabla1[[#This Row],[Aplicación]],14,1)</f>
        <v>2</v>
      </c>
      <c r="R2014" s="35" t="s">
        <v>441</v>
      </c>
      <c r="S2014" s="35" t="str">
        <f>MID(Tabla1[[#This Row],[Aplicación]],6,2)</f>
        <v>02</v>
      </c>
      <c r="T2014" s="35" t="str">
        <f>VLOOKUP(Tabla1[[#This Row],[AREA]],Hoja1!A:B,2,FALSE)</f>
        <v>02. Planeamiento urbanístico y vivienda</v>
      </c>
      <c r="U2014" s="35" t="str">
        <f>MID(Tabla1[[#This Row],[Aplicación]],9,4)</f>
        <v>9331</v>
      </c>
      <c r="V2014" s="35" t="str">
        <f>VLOOKUP(Tabla1[[#This Row],[PROGRAMA]],Hoja1!A:B,2,FALSE)</f>
        <v>9331. Gestión del patrimonio</v>
      </c>
      <c r="W2014" s="35" t="str">
        <f>MID(Tabla1[[#This Row],[Aplicación]],14,2)</f>
        <v>22</v>
      </c>
      <c r="X2014" s="35" t="str">
        <f>MID(Tabla1[[#This Row],[Aplicación]],14,6)</f>
        <v>22000</v>
      </c>
    </row>
    <row r="2015" spans="1:24" x14ac:dyDescent="0.25">
      <c r="A2015" s="49">
        <v>220210078788</v>
      </c>
      <c r="B2015" s="50" t="s">
        <v>9</v>
      </c>
      <c r="C2015" s="57">
        <v>44620</v>
      </c>
      <c r="D2015" s="49">
        <v>22021007319</v>
      </c>
      <c r="E2015" s="50" t="s">
        <v>1410</v>
      </c>
      <c r="F2015" s="58">
        <v>84.54</v>
      </c>
      <c r="G2015" s="50" t="s">
        <v>932</v>
      </c>
      <c r="H2015" s="50" t="s">
        <v>1244</v>
      </c>
      <c r="I2015" s="49" t="s">
        <v>107</v>
      </c>
      <c r="J2015" s="50" t="s">
        <v>109</v>
      </c>
      <c r="K2015" s="50" t="s">
        <v>109</v>
      </c>
      <c r="L2015" s="50" t="s">
        <v>12</v>
      </c>
      <c r="M2015" s="50" t="s">
        <v>10</v>
      </c>
      <c r="N2015" s="50" t="s">
        <v>11</v>
      </c>
      <c r="O2015" s="48" t="s">
        <v>632</v>
      </c>
      <c r="P2015" s="45" t="s">
        <v>453</v>
      </c>
      <c r="Q2015" s="35" t="str">
        <f>MID(Tabla1[[#This Row],[Aplicación]],14,1)</f>
        <v>6</v>
      </c>
      <c r="R2015" s="35" t="s">
        <v>442</v>
      </c>
      <c r="S2015" s="35" t="str">
        <f>MID(Tabla1[[#This Row],[Aplicación]],6,2)</f>
        <v>03</v>
      </c>
      <c r="T2015" s="35" t="str">
        <f>VLOOKUP(Tabla1[[#This Row],[AREA]],Hoja1!A:B,2,FALSE)</f>
        <v>03. Participación ciudadana y deportes</v>
      </c>
      <c r="U2015" s="35" t="str">
        <f>MID(Tabla1[[#This Row],[Aplicación]],9,4)</f>
        <v>9241</v>
      </c>
      <c r="V2015" s="35" t="str">
        <f>VLOOKUP(Tabla1[[#This Row],[PROGRAMA]],Hoja1!A:B,2,FALSE)</f>
        <v>9241. Participación ciudadana</v>
      </c>
      <c r="W2015" s="35" t="str">
        <f>MID(Tabla1[[#This Row],[Aplicación]],14,2)</f>
        <v>63</v>
      </c>
      <c r="X2015" s="35" t="str">
        <f>MID(Tabla1[[#This Row],[Aplicación]],14,6)</f>
        <v>632</v>
      </c>
    </row>
    <row r="2016" spans="1:24" x14ac:dyDescent="0.25">
      <c r="A2016" s="49">
        <v>220220001617</v>
      </c>
      <c r="B2016" s="50" t="s">
        <v>9</v>
      </c>
      <c r="C2016" s="57">
        <v>44587</v>
      </c>
      <c r="D2016" s="49">
        <v>22022001251</v>
      </c>
      <c r="E2016" s="50" t="s">
        <v>3173</v>
      </c>
      <c r="F2016" s="58">
        <v>868.4</v>
      </c>
      <c r="G2016" s="50" t="s">
        <v>30</v>
      </c>
      <c r="H2016" s="50" t="s">
        <v>3378</v>
      </c>
      <c r="I2016" s="49" t="s">
        <v>107</v>
      </c>
      <c r="J2016" s="50" t="s">
        <v>108</v>
      </c>
      <c r="K2016" s="50" t="s">
        <v>108</v>
      </c>
      <c r="L2016" s="50" t="s">
        <v>15</v>
      </c>
      <c r="M2016" s="50" t="s">
        <v>13</v>
      </c>
      <c r="N2016" s="50" t="s">
        <v>14</v>
      </c>
      <c r="O2016" s="48" t="s">
        <v>620</v>
      </c>
      <c r="P2016" s="45" t="s">
        <v>453</v>
      </c>
      <c r="Q2016" s="35" t="str">
        <f>MID(Tabla1[[#This Row],[Aplicación]],14,1)</f>
        <v>2</v>
      </c>
      <c r="R2016" s="35" t="s">
        <v>441</v>
      </c>
      <c r="S2016" s="35" t="str">
        <f>MID(Tabla1[[#This Row],[Aplicación]],6,2)</f>
        <v>10</v>
      </c>
      <c r="T2016" s="35" t="str">
        <f>VLOOKUP(Tabla1[[#This Row],[AREA]],Hoja1!A:B,2,FALSE)</f>
        <v>10. Servicios sociales y mediación comunitaria</v>
      </c>
      <c r="U2016" s="35" t="str">
        <f>MID(Tabla1[[#This Row],[Aplicación]],9,4)</f>
        <v>2412</v>
      </c>
      <c r="V2016" s="35" t="str">
        <f>VLOOKUP(Tabla1[[#This Row],[PROGRAMA]],Hoja1!A:B,2,FALSE)</f>
        <v>2412. Formación para el empleo</v>
      </c>
      <c r="W2016" s="35" t="str">
        <f>MID(Tabla1[[#This Row],[Aplicación]],14,2)</f>
        <v>22</v>
      </c>
      <c r="X2016" s="35" t="str">
        <f>MID(Tabla1[[#This Row],[Aplicación]],14,6)</f>
        <v>22103</v>
      </c>
    </row>
    <row r="2017" spans="1:24" x14ac:dyDescent="0.25">
      <c r="A2017" s="49">
        <v>220220005216</v>
      </c>
      <c r="B2017" s="50" t="s">
        <v>9</v>
      </c>
      <c r="C2017" s="57">
        <v>44614</v>
      </c>
      <c r="D2017" s="49">
        <v>22022002303</v>
      </c>
      <c r="E2017" s="50" t="s">
        <v>1635</v>
      </c>
      <c r="F2017" s="58">
        <v>81.23</v>
      </c>
      <c r="G2017" s="50" t="s">
        <v>1135</v>
      </c>
      <c r="H2017" s="50" t="s">
        <v>3400</v>
      </c>
      <c r="I2017" s="49" t="s">
        <v>107</v>
      </c>
      <c r="J2017" s="50" t="s">
        <v>578</v>
      </c>
      <c r="K2017" s="50" t="s">
        <v>109</v>
      </c>
      <c r="L2017" s="50" t="s">
        <v>15</v>
      </c>
      <c r="M2017" s="50" t="s">
        <v>10</v>
      </c>
      <c r="N2017" s="50" t="s">
        <v>11</v>
      </c>
      <c r="O2017" s="48" t="s">
        <v>632</v>
      </c>
      <c r="P2017" s="45" t="s">
        <v>453</v>
      </c>
      <c r="Q2017" s="35" t="str">
        <f>MID(Tabla1[[#This Row],[Aplicación]],14,1)</f>
        <v>2</v>
      </c>
      <c r="R2017" s="35" t="s">
        <v>441</v>
      </c>
      <c r="S2017" s="35" t="str">
        <f>MID(Tabla1[[#This Row],[Aplicación]],6,2)</f>
        <v>03</v>
      </c>
      <c r="T2017" s="35" t="str">
        <f>VLOOKUP(Tabla1[[#This Row],[AREA]],Hoja1!A:B,2,FALSE)</f>
        <v>03. Participación ciudadana y deportes</v>
      </c>
      <c r="U2017" s="35" t="str">
        <f>MID(Tabla1[[#This Row],[Aplicación]],9,4)</f>
        <v>9241</v>
      </c>
      <c r="V2017" s="35" t="str">
        <f>VLOOKUP(Tabla1[[#This Row],[PROGRAMA]],Hoja1!A:B,2,FALSE)</f>
        <v>9241. Participación ciudadana</v>
      </c>
      <c r="W2017" s="35" t="str">
        <f>MID(Tabla1[[#This Row],[Aplicación]],14,2)</f>
        <v>21</v>
      </c>
      <c r="X2017" s="35" t="str">
        <f>MID(Tabla1[[#This Row],[Aplicación]],14,6)</f>
        <v>212</v>
      </c>
    </row>
    <row r="2018" spans="1:24" x14ac:dyDescent="0.25">
      <c r="A2018" s="49">
        <v>220220001617</v>
      </c>
      <c r="B2018" s="50" t="s">
        <v>9</v>
      </c>
      <c r="C2018" s="57">
        <v>44587</v>
      </c>
      <c r="D2018" s="49">
        <v>22022001249</v>
      </c>
      <c r="E2018" s="50" t="s">
        <v>3173</v>
      </c>
      <c r="F2018" s="58">
        <v>529.95000000000005</v>
      </c>
      <c r="G2018" s="50" t="s">
        <v>30</v>
      </c>
      <c r="H2018" s="50" t="s">
        <v>3378</v>
      </c>
      <c r="I2018" s="49" t="s">
        <v>107</v>
      </c>
      <c r="J2018" s="50" t="s">
        <v>108</v>
      </c>
      <c r="K2018" s="50" t="s">
        <v>108</v>
      </c>
      <c r="L2018" s="50" t="s">
        <v>15</v>
      </c>
      <c r="M2018" s="50" t="s">
        <v>13</v>
      </c>
      <c r="N2018" s="50" t="s">
        <v>14</v>
      </c>
      <c r="O2018" s="48" t="s">
        <v>620</v>
      </c>
      <c r="P2018" s="45" t="s">
        <v>453</v>
      </c>
      <c r="Q2018" s="35" t="str">
        <f>MID(Tabla1[[#This Row],[Aplicación]],14,1)</f>
        <v>2</v>
      </c>
      <c r="R2018" s="35" t="s">
        <v>441</v>
      </c>
      <c r="S2018" s="35" t="str">
        <f>MID(Tabla1[[#This Row],[Aplicación]],6,2)</f>
        <v>10</v>
      </c>
      <c r="T2018" s="35" t="str">
        <f>VLOOKUP(Tabla1[[#This Row],[AREA]],Hoja1!A:B,2,FALSE)</f>
        <v>10. Servicios sociales y mediación comunitaria</v>
      </c>
      <c r="U2018" s="35" t="str">
        <f>MID(Tabla1[[#This Row],[Aplicación]],9,4)</f>
        <v>2412</v>
      </c>
      <c r="V2018" s="35" t="str">
        <f>VLOOKUP(Tabla1[[#This Row],[PROGRAMA]],Hoja1!A:B,2,FALSE)</f>
        <v>2412. Formación para el empleo</v>
      </c>
      <c r="W2018" s="35" t="str">
        <f>MID(Tabla1[[#This Row],[Aplicación]],14,2)</f>
        <v>22</v>
      </c>
      <c r="X2018" s="35" t="str">
        <f>MID(Tabla1[[#This Row],[Aplicación]],14,6)</f>
        <v>22103</v>
      </c>
    </row>
    <row r="2019" spans="1:24" x14ac:dyDescent="0.25">
      <c r="A2019" s="49">
        <v>220220001617</v>
      </c>
      <c r="B2019" s="50" t="s">
        <v>9</v>
      </c>
      <c r="C2019" s="57">
        <v>44587</v>
      </c>
      <c r="D2019" s="49">
        <v>22022000211</v>
      </c>
      <c r="E2019" s="50" t="s">
        <v>3173</v>
      </c>
      <c r="F2019" s="58">
        <v>511.14</v>
      </c>
      <c r="G2019" s="50" t="s">
        <v>30</v>
      </c>
      <c r="H2019" s="50" t="s">
        <v>3378</v>
      </c>
      <c r="I2019" s="49" t="s">
        <v>107</v>
      </c>
      <c r="J2019" s="50" t="s">
        <v>108</v>
      </c>
      <c r="K2019" s="50" t="s">
        <v>108</v>
      </c>
      <c r="L2019" s="50" t="s">
        <v>15</v>
      </c>
      <c r="M2019" s="50" t="s">
        <v>13</v>
      </c>
      <c r="N2019" s="50" t="s">
        <v>14</v>
      </c>
      <c r="O2019" s="48" t="s">
        <v>620</v>
      </c>
      <c r="P2019" s="45" t="s">
        <v>453</v>
      </c>
      <c r="Q2019" s="35" t="str">
        <f>MID(Tabla1[[#This Row],[Aplicación]],14,1)</f>
        <v>2</v>
      </c>
      <c r="R2019" s="35" t="s">
        <v>441</v>
      </c>
      <c r="S2019" s="35" t="str">
        <f>MID(Tabla1[[#This Row],[Aplicación]],6,2)</f>
        <v>10</v>
      </c>
      <c r="T2019" s="35" t="str">
        <f>VLOOKUP(Tabla1[[#This Row],[AREA]],Hoja1!A:B,2,FALSE)</f>
        <v>10. Servicios sociales y mediación comunitaria</v>
      </c>
      <c r="U2019" s="35" t="str">
        <f>MID(Tabla1[[#This Row],[Aplicación]],9,4)</f>
        <v>2412</v>
      </c>
      <c r="V2019" s="35" t="str">
        <f>VLOOKUP(Tabla1[[#This Row],[PROGRAMA]],Hoja1!A:B,2,FALSE)</f>
        <v>2412. Formación para el empleo</v>
      </c>
      <c r="W2019" s="35" t="str">
        <f>MID(Tabla1[[#This Row],[Aplicación]],14,2)</f>
        <v>22</v>
      </c>
      <c r="X2019" s="35" t="str">
        <f>MID(Tabla1[[#This Row],[Aplicación]],14,6)</f>
        <v>22103</v>
      </c>
    </row>
    <row r="2020" spans="1:24" x14ac:dyDescent="0.25">
      <c r="A2020" s="49">
        <v>220220002395</v>
      </c>
      <c r="B2020" s="50" t="s">
        <v>26</v>
      </c>
      <c r="C2020" s="57">
        <v>44594</v>
      </c>
      <c r="D2020" s="49">
        <v>22022001262</v>
      </c>
      <c r="E2020" s="50" t="s">
        <v>3280</v>
      </c>
      <c r="F2020" s="58">
        <v>72.81</v>
      </c>
      <c r="G2020" s="50" t="s">
        <v>1037</v>
      </c>
      <c r="H2020" s="50" t="s">
        <v>3401</v>
      </c>
      <c r="I2020" s="49" t="s">
        <v>197</v>
      </c>
      <c r="J2020" s="50" t="s">
        <v>513</v>
      </c>
      <c r="K2020" s="50" t="s">
        <v>108</v>
      </c>
      <c r="L2020" s="50" t="s">
        <v>12</v>
      </c>
      <c r="M2020" s="50" t="s">
        <v>13</v>
      </c>
      <c r="N2020" s="50" t="s">
        <v>14</v>
      </c>
      <c r="O2020" s="48" t="s">
        <v>620</v>
      </c>
      <c r="P2020" s="45" t="s">
        <v>453</v>
      </c>
      <c r="Q2020" s="35" t="str">
        <f>MID(Tabla1[[#This Row],[Aplicación]],14,1)</f>
        <v>2</v>
      </c>
      <c r="R2020" s="35" t="s">
        <v>441</v>
      </c>
      <c r="S2020" s="35" t="str">
        <f>MID(Tabla1[[#This Row],[Aplicación]],6,2)</f>
        <v>11</v>
      </c>
      <c r="T2020" s="35" t="str">
        <f>VLOOKUP(Tabla1[[#This Row],[AREA]],Hoja1!A:B,2,FALSE)</f>
        <v>11. Salud pública y seguridad ciudadana</v>
      </c>
      <c r="U2020" s="35" t="str">
        <f>MID(Tabla1[[#This Row],[Aplicación]],9,4)</f>
        <v>1351</v>
      </c>
      <c r="V2020" s="35" t="str">
        <f>VLOOKUP(Tabla1[[#This Row],[PROGRAMA]],Hoja1!A:B,2,FALSE)</f>
        <v>1351. Protección civil</v>
      </c>
      <c r="W2020" s="35" t="str">
        <f>MID(Tabla1[[#This Row],[Aplicación]],14,2)</f>
        <v>22</v>
      </c>
      <c r="X2020" s="35" t="str">
        <f>MID(Tabla1[[#This Row],[Aplicación]],14,6)</f>
        <v>224</v>
      </c>
    </row>
    <row r="2021" spans="1:24" x14ac:dyDescent="0.25">
      <c r="A2021" s="49">
        <v>220220002396</v>
      </c>
      <c r="B2021" s="50" t="s">
        <v>26</v>
      </c>
      <c r="C2021" s="57">
        <v>44594</v>
      </c>
      <c r="D2021" s="49">
        <v>22022001263</v>
      </c>
      <c r="E2021" s="50" t="s">
        <v>3280</v>
      </c>
      <c r="F2021" s="58">
        <v>72.81</v>
      </c>
      <c r="G2021" s="50" t="s">
        <v>1037</v>
      </c>
      <c r="H2021" s="50" t="s">
        <v>3402</v>
      </c>
      <c r="I2021" s="49" t="s">
        <v>197</v>
      </c>
      <c r="J2021" s="50" t="s">
        <v>513</v>
      </c>
      <c r="K2021" s="50" t="s">
        <v>108</v>
      </c>
      <c r="L2021" s="50" t="s">
        <v>12</v>
      </c>
      <c r="M2021" s="50" t="s">
        <v>13</v>
      </c>
      <c r="N2021" s="50" t="s">
        <v>14</v>
      </c>
      <c r="O2021" s="48" t="s">
        <v>620</v>
      </c>
      <c r="P2021" s="45" t="s">
        <v>453</v>
      </c>
      <c r="Q2021" s="35" t="str">
        <f>MID(Tabla1[[#This Row],[Aplicación]],14,1)</f>
        <v>2</v>
      </c>
      <c r="R2021" s="35" t="s">
        <v>441</v>
      </c>
      <c r="S2021" s="35" t="str">
        <f>MID(Tabla1[[#This Row],[Aplicación]],6,2)</f>
        <v>11</v>
      </c>
      <c r="T2021" s="35" t="str">
        <f>VLOOKUP(Tabla1[[#This Row],[AREA]],Hoja1!A:B,2,FALSE)</f>
        <v>11. Salud pública y seguridad ciudadana</v>
      </c>
      <c r="U2021" s="35" t="str">
        <f>MID(Tabla1[[#This Row],[Aplicación]],9,4)</f>
        <v>1351</v>
      </c>
      <c r="V2021" s="35" t="str">
        <f>VLOOKUP(Tabla1[[#This Row],[PROGRAMA]],Hoja1!A:B,2,FALSE)</f>
        <v>1351. Protección civil</v>
      </c>
      <c r="W2021" s="35" t="str">
        <f>MID(Tabla1[[#This Row],[Aplicación]],14,2)</f>
        <v>22</v>
      </c>
      <c r="X2021" s="35" t="str">
        <f>MID(Tabla1[[#This Row],[Aplicación]],14,6)</f>
        <v>224</v>
      </c>
    </row>
    <row r="2022" spans="1:24" x14ac:dyDescent="0.25">
      <c r="A2022" s="49">
        <v>220220006736</v>
      </c>
      <c r="B2022" s="50" t="s">
        <v>9</v>
      </c>
      <c r="C2022" s="57">
        <v>44621</v>
      </c>
      <c r="D2022" s="49">
        <v>22022002521</v>
      </c>
      <c r="E2022" s="50" t="s">
        <v>1719</v>
      </c>
      <c r="F2022" s="58">
        <v>66.55</v>
      </c>
      <c r="G2022" s="50" t="s">
        <v>241</v>
      </c>
      <c r="H2022" s="50" t="s">
        <v>3403</v>
      </c>
      <c r="I2022" s="49" t="s">
        <v>107</v>
      </c>
      <c r="J2022" s="50" t="s">
        <v>109</v>
      </c>
      <c r="K2022" s="50" t="s">
        <v>109</v>
      </c>
      <c r="L2022" s="50" t="s">
        <v>15</v>
      </c>
      <c r="M2022" s="50" t="s">
        <v>10</v>
      </c>
      <c r="N2022" s="50" t="s">
        <v>11</v>
      </c>
      <c r="O2022" s="48" t="s">
        <v>632</v>
      </c>
      <c r="P2022" s="45" t="s">
        <v>453</v>
      </c>
      <c r="Q2022" s="35" t="str">
        <f>MID(Tabla1[[#This Row],[Aplicación]],14,1)</f>
        <v>2</v>
      </c>
      <c r="R2022" s="35" t="s">
        <v>441</v>
      </c>
      <c r="S2022" s="35" t="str">
        <f>MID(Tabla1[[#This Row],[Aplicación]],6,2)</f>
        <v>06</v>
      </c>
      <c r="T2022" s="35" t="str">
        <f>VLOOKUP(Tabla1[[#This Row],[AREA]],Hoja1!A:B,2,FALSE)</f>
        <v>06. Educación, infancia, juventud e igualdad</v>
      </c>
      <c r="U2022" s="35" t="str">
        <f>MID(Tabla1[[#This Row],[Aplicación]],9,4)</f>
        <v>3231</v>
      </c>
      <c r="V2022" s="35" t="str">
        <f>VLOOKUP(Tabla1[[#This Row],[PROGRAMA]],Hoja1!A:B,2,FALSE)</f>
        <v>3231. Escuelas infantiles</v>
      </c>
      <c r="W2022" s="35" t="str">
        <f>MID(Tabla1[[#This Row],[Aplicación]],14,2)</f>
        <v>21</v>
      </c>
      <c r="X2022" s="35" t="str">
        <f>MID(Tabla1[[#This Row],[Aplicación]],14,6)</f>
        <v>212</v>
      </c>
    </row>
    <row r="2023" spans="1:24" x14ac:dyDescent="0.25">
      <c r="A2023" s="49">
        <v>220220007925</v>
      </c>
      <c r="B2023" s="50" t="s">
        <v>9</v>
      </c>
      <c r="C2023" s="57">
        <v>44627</v>
      </c>
      <c r="D2023" s="49">
        <v>22022002566</v>
      </c>
      <c r="E2023" s="50" t="s">
        <v>2162</v>
      </c>
      <c r="F2023" s="58">
        <v>47.57</v>
      </c>
      <c r="G2023" s="50" t="s">
        <v>44</v>
      </c>
      <c r="H2023" s="50" t="s">
        <v>3404</v>
      </c>
      <c r="I2023" s="49" t="s">
        <v>107</v>
      </c>
      <c r="J2023" s="50" t="s">
        <v>109</v>
      </c>
      <c r="K2023" s="50" t="s">
        <v>109</v>
      </c>
      <c r="L2023" s="50" t="s">
        <v>15</v>
      </c>
      <c r="M2023" s="50" t="s">
        <v>10</v>
      </c>
      <c r="N2023" s="50" t="s">
        <v>11</v>
      </c>
      <c r="O2023" s="48" t="s">
        <v>632</v>
      </c>
      <c r="P2023" s="45" t="s">
        <v>453</v>
      </c>
      <c r="Q2023" s="35" t="str">
        <f>MID(Tabla1[[#This Row],[Aplicación]],14,1)</f>
        <v>2</v>
      </c>
      <c r="R2023" s="35" t="s">
        <v>441</v>
      </c>
      <c r="S2023" s="35" t="str">
        <f>MID(Tabla1[[#This Row],[Aplicación]],6,2)</f>
        <v>09</v>
      </c>
      <c r="T2023" s="35" t="str">
        <f>VLOOKUP(Tabla1[[#This Row],[AREA]],Hoja1!A:B,2,FALSE)</f>
        <v>09. Cultura y turismo</v>
      </c>
      <c r="U2023" s="35" t="str">
        <f>MID(Tabla1[[#This Row],[Aplicación]],9,4)</f>
        <v>3341</v>
      </c>
      <c r="V2023" s="35" t="str">
        <f>VLOOKUP(Tabla1[[#This Row],[PROGRAMA]],Hoja1!A:B,2,FALSE)</f>
        <v>3341. Coordinación de políticas culturales</v>
      </c>
      <c r="W2023" s="35" t="str">
        <f>MID(Tabla1[[#This Row],[Aplicación]],14,2)</f>
        <v>22</v>
      </c>
      <c r="X2023" s="35" t="str">
        <f>MID(Tabla1[[#This Row],[Aplicación]],14,6)</f>
        <v>22701</v>
      </c>
    </row>
    <row r="2024" spans="1:24" x14ac:dyDescent="0.25">
      <c r="A2024" s="49">
        <v>220220005927</v>
      </c>
      <c r="B2024" s="50" t="s">
        <v>9</v>
      </c>
      <c r="C2024" s="57">
        <v>44616</v>
      </c>
      <c r="D2024" s="49">
        <v>22022002336</v>
      </c>
      <c r="E2024" s="50" t="s">
        <v>2993</v>
      </c>
      <c r="F2024" s="58">
        <v>948</v>
      </c>
      <c r="G2024" s="50" t="s">
        <v>3405</v>
      </c>
      <c r="H2024" s="50" t="s">
        <v>3406</v>
      </c>
      <c r="I2024" s="49" t="s">
        <v>107</v>
      </c>
      <c r="J2024" s="50" t="s">
        <v>109</v>
      </c>
      <c r="K2024" s="50" t="s">
        <v>109</v>
      </c>
      <c r="L2024" s="50" t="s">
        <v>15</v>
      </c>
      <c r="M2024" s="50" t="s">
        <v>10</v>
      </c>
      <c r="N2024" s="50" t="s">
        <v>11</v>
      </c>
      <c r="O2024" s="48" t="s">
        <v>632</v>
      </c>
      <c r="P2024" s="45" t="s">
        <v>453</v>
      </c>
      <c r="Q2024" s="35" t="str">
        <f>MID(Tabla1[[#This Row],[Aplicación]],14,1)</f>
        <v>2</v>
      </c>
      <c r="R2024" s="35" t="s">
        <v>441</v>
      </c>
      <c r="S2024" s="35" t="str">
        <f>MID(Tabla1[[#This Row],[Aplicación]],6,2)</f>
        <v>10</v>
      </c>
      <c r="T2024" s="35" t="str">
        <f>VLOOKUP(Tabla1[[#This Row],[AREA]],Hoja1!A:B,2,FALSE)</f>
        <v>10. Servicios sociales y mediación comunitaria</v>
      </c>
      <c r="U2024" s="35" t="str">
        <f>MID(Tabla1[[#This Row],[Aplicación]],9,4)</f>
        <v>2316</v>
      </c>
      <c r="V2024" s="35" t="str">
        <f>VLOOKUP(Tabla1[[#This Row],[PROGRAMA]],Hoja1!A:B,2,FALSE)</f>
        <v>2316. Mediación comunitaria</v>
      </c>
      <c r="W2024" s="35" t="str">
        <f>MID(Tabla1[[#This Row],[Aplicación]],14,2)</f>
        <v>22</v>
      </c>
      <c r="X2024" s="35" t="str">
        <f>MID(Tabla1[[#This Row],[Aplicación]],14,6)</f>
        <v>22699</v>
      </c>
    </row>
    <row r="2025" spans="1:24" x14ac:dyDescent="0.25">
      <c r="A2025" s="49">
        <v>220220001616</v>
      </c>
      <c r="B2025" s="50" t="s">
        <v>447</v>
      </c>
      <c r="C2025" s="57">
        <v>44587</v>
      </c>
      <c r="D2025" s="49">
        <v>22022000211</v>
      </c>
      <c r="E2025" s="50" t="s">
        <v>3173</v>
      </c>
      <c r="F2025" s="58">
        <v>-4000</v>
      </c>
      <c r="G2025" s="50" t="s">
        <v>30</v>
      </c>
      <c r="H2025" s="50" t="s">
        <v>749</v>
      </c>
      <c r="I2025" s="49" t="s">
        <v>107</v>
      </c>
      <c r="J2025" s="50" t="s">
        <v>108</v>
      </c>
      <c r="K2025" s="50" t="s">
        <v>108</v>
      </c>
      <c r="L2025" s="50" t="s">
        <v>15</v>
      </c>
      <c r="M2025" s="50" t="s">
        <v>13</v>
      </c>
      <c r="N2025" s="50" t="s">
        <v>14</v>
      </c>
      <c r="O2025" s="48" t="s">
        <v>620</v>
      </c>
      <c r="P2025" s="45" t="s">
        <v>453</v>
      </c>
      <c r="Q2025" s="35" t="str">
        <f>MID(Tabla1[[#This Row],[Aplicación]],14,1)</f>
        <v>2</v>
      </c>
      <c r="R2025" s="35" t="s">
        <v>441</v>
      </c>
      <c r="S2025" s="35" t="str">
        <f>MID(Tabla1[[#This Row],[Aplicación]],6,2)</f>
        <v>10</v>
      </c>
      <c r="T2025" s="35" t="str">
        <f>VLOOKUP(Tabla1[[#This Row],[AREA]],Hoja1!A:B,2,FALSE)</f>
        <v>10. Servicios sociales y mediación comunitaria</v>
      </c>
      <c r="U2025" s="35" t="str">
        <f>MID(Tabla1[[#This Row],[Aplicación]],9,4)</f>
        <v>2412</v>
      </c>
      <c r="V2025" s="35" t="str">
        <f>VLOOKUP(Tabla1[[#This Row],[PROGRAMA]],Hoja1!A:B,2,FALSE)</f>
        <v>2412. Formación para el empleo</v>
      </c>
      <c r="W2025" s="35" t="str">
        <f>MID(Tabla1[[#This Row],[Aplicación]],14,2)</f>
        <v>22</v>
      </c>
      <c r="X2025" s="35" t="str">
        <f>MID(Tabla1[[#This Row],[Aplicación]],14,6)</f>
        <v>22103</v>
      </c>
    </row>
    <row r="2026" spans="1:24" x14ac:dyDescent="0.25">
      <c r="A2026" s="49">
        <v>220220007943</v>
      </c>
      <c r="B2026" s="50" t="s">
        <v>9</v>
      </c>
      <c r="C2026" s="57">
        <v>44628</v>
      </c>
      <c r="D2026" s="49">
        <v>22022002614</v>
      </c>
      <c r="E2026" s="50" t="s">
        <v>1742</v>
      </c>
      <c r="F2026" s="58">
        <v>29.23</v>
      </c>
      <c r="G2026" s="50" t="s">
        <v>44</v>
      </c>
      <c r="H2026" s="50" t="s">
        <v>3407</v>
      </c>
      <c r="I2026" s="49" t="s">
        <v>107</v>
      </c>
      <c r="J2026" s="50" t="s">
        <v>109</v>
      </c>
      <c r="K2026" s="50" t="s">
        <v>109</v>
      </c>
      <c r="L2026" s="50" t="s">
        <v>15</v>
      </c>
      <c r="M2026" s="50" t="s">
        <v>10</v>
      </c>
      <c r="N2026" s="50" t="s">
        <v>11</v>
      </c>
      <c r="O2026" s="48" t="s">
        <v>632</v>
      </c>
      <c r="P2026" s="45" t="s">
        <v>453</v>
      </c>
      <c r="Q2026" s="35" t="str">
        <f>MID(Tabla1[[#This Row],[Aplicación]],14,1)</f>
        <v>2</v>
      </c>
      <c r="R2026" s="35" t="s">
        <v>441</v>
      </c>
      <c r="S2026" s="35" t="str">
        <f>MID(Tabla1[[#This Row],[Aplicación]],6,2)</f>
        <v>03</v>
      </c>
      <c r="T2026" s="35" t="str">
        <f>VLOOKUP(Tabla1[[#This Row],[AREA]],Hoja1!A:B,2,FALSE)</f>
        <v>03. Participación ciudadana y deportes</v>
      </c>
      <c r="U2026" s="35" t="str">
        <f>MID(Tabla1[[#This Row],[Aplicación]],9,4)</f>
        <v>9241</v>
      </c>
      <c r="V2026" s="35" t="str">
        <f>VLOOKUP(Tabla1[[#This Row],[PROGRAMA]],Hoja1!A:B,2,FALSE)</f>
        <v>9241. Participación ciudadana</v>
      </c>
      <c r="W2026" s="35" t="str">
        <f>MID(Tabla1[[#This Row],[Aplicación]],14,2)</f>
        <v>21</v>
      </c>
      <c r="X2026" s="35" t="str">
        <f>MID(Tabla1[[#This Row],[Aplicación]],14,6)</f>
        <v>213</v>
      </c>
    </row>
    <row r="2027" spans="1:24" x14ac:dyDescent="0.25">
      <c r="A2027" s="49">
        <v>220220013186</v>
      </c>
      <c r="B2027" s="50" t="s">
        <v>9</v>
      </c>
      <c r="C2027" s="57">
        <v>44650</v>
      </c>
      <c r="D2027" s="49">
        <v>22022003054</v>
      </c>
      <c r="E2027" s="50" t="s">
        <v>2036</v>
      </c>
      <c r="F2027" s="58">
        <v>29.23</v>
      </c>
      <c r="G2027" s="50" t="s">
        <v>44</v>
      </c>
      <c r="H2027" s="50" t="s">
        <v>3408</v>
      </c>
      <c r="I2027" s="49" t="s">
        <v>107</v>
      </c>
      <c r="J2027" s="50" t="s">
        <v>109</v>
      </c>
      <c r="K2027" s="50" t="s">
        <v>109</v>
      </c>
      <c r="L2027" s="50" t="s">
        <v>15</v>
      </c>
      <c r="M2027" s="50" t="s">
        <v>10</v>
      </c>
      <c r="N2027" s="50" t="s">
        <v>11</v>
      </c>
      <c r="O2027" s="48" t="s">
        <v>632</v>
      </c>
      <c r="P2027" s="45" t="s">
        <v>453</v>
      </c>
      <c r="Q2027" s="35" t="str">
        <f>MID(Tabla1[[#This Row],[Aplicación]],14,1)</f>
        <v>2</v>
      </c>
      <c r="R2027" s="35" t="s">
        <v>441</v>
      </c>
      <c r="S2027" s="35" t="str">
        <f>MID(Tabla1[[#This Row],[Aplicación]],6,2)</f>
        <v>11</v>
      </c>
      <c r="T2027" s="35" t="str">
        <f>VLOOKUP(Tabla1[[#This Row],[AREA]],Hoja1!A:B,2,FALSE)</f>
        <v>11. Salud pública y seguridad ciudadana</v>
      </c>
      <c r="U2027" s="35" t="str">
        <f>MID(Tabla1[[#This Row],[Aplicación]],9,4)</f>
        <v>3111</v>
      </c>
      <c r="V2027" s="35" t="str">
        <f>VLOOKUP(Tabla1[[#This Row],[PROGRAMA]],Hoja1!A:B,2,FALSE)</f>
        <v>3111. Protección de la salubridad pública</v>
      </c>
      <c r="W2027" s="35" t="str">
        <f>MID(Tabla1[[#This Row],[Aplicación]],14,2)</f>
        <v>22</v>
      </c>
      <c r="X2027" s="35" t="str">
        <f>MID(Tabla1[[#This Row],[Aplicación]],14,6)</f>
        <v>22199</v>
      </c>
    </row>
    <row r="2028" spans="1:24" x14ac:dyDescent="0.25">
      <c r="A2028" s="49">
        <v>220210077822</v>
      </c>
      <c r="B2028" s="50" t="s">
        <v>9</v>
      </c>
      <c r="C2028" s="57">
        <v>44631</v>
      </c>
      <c r="D2028" s="49">
        <v>22021008222</v>
      </c>
      <c r="E2028" s="50" t="s">
        <v>2238</v>
      </c>
      <c r="F2028" s="58">
        <v>10.82</v>
      </c>
      <c r="G2028" s="50" t="s">
        <v>1271</v>
      </c>
      <c r="H2028" s="50" t="s">
        <v>1272</v>
      </c>
      <c r="I2028" s="49" t="s">
        <v>107</v>
      </c>
      <c r="J2028" s="50" t="s">
        <v>1273</v>
      </c>
      <c r="K2028" s="50" t="s">
        <v>138</v>
      </c>
      <c r="L2028" s="50" t="s">
        <v>15</v>
      </c>
      <c r="M2028" s="50" t="s">
        <v>10</v>
      </c>
      <c r="N2028" s="50" t="s">
        <v>11</v>
      </c>
      <c r="O2028" s="48" t="s">
        <v>632</v>
      </c>
      <c r="P2028" s="45" t="s">
        <v>453</v>
      </c>
      <c r="Q2028" s="35" t="str">
        <f>MID(Tabla1[[#This Row],[Aplicación]],14,1)</f>
        <v>6</v>
      </c>
      <c r="R2028" s="35" t="s">
        <v>442</v>
      </c>
      <c r="S2028" s="35" t="str">
        <f>MID(Tabla1[[#This Row],[Aplicación]],6,2)</f>
        <v>11</v>
      </c>
      <c r="T2028" s="35" t="str">
        <f>VLOOKUP(Tabla1[[#This Row],[AREA]],Hoja1!A:B,2,FALSE)</f>
        <v>11. Salud pública y seguridad ciudadana</v>
      </c>
      <c r="U2028" s="35" t="str">
        <f>MID(Tabla1[[#This Row],[Aplicación]],9,4)</f>
        <v>1361</v>
      </c>
      <c r="V2028" s="35" t="str">
        <f>VLOOKUP(Tabla1[[#This Row],[PROGRAMA]],Hoja1!A:B,2,FALSE)</f>
        <v>1361. Prevención y extinción de incencios</v>
      </c>
      <c r="W2028" s="35" t="str">
        <f>MID(Tabla1[[#This Row],[Aplicación]],14,2)</f>
        <v>62</v>
      </c>
      <c r="X2028" s="35" t="str">
        <f>MID(Tabla1[[#This Row],[Aplicación]],14,6)</f>
        <v>623</v>
      </c>
    </row>
    <row r="2029" spans="1:24" x14ac:dyDescent="0.25">
      <c r="A2029" s="49">
        <v>220219001070</v>
      </c>
      <c r="B2029" s="50" t="s">
        <v>9</v>
      </c>
      <c r="C2029" s="57">
        <v>44562</v>
      </c>
      <c r="D2029" s="49">
        <v>22022000492</v>
      </c>
      <c r="E2029" s="50" t="s">
        <v>2672</v>
      </c>
      <c r="F2029" s="58">
        <v>51576.27</v>
      </c>
      <c r="G2029" s="50" t="s">
        <v>831</v>
      </c>
      <c r="H2029" s="50" t="s">
        <v>3409</v>
      </c>
      <c r="I2029" s="49" t="s">
        <v>107</v>
      </c>
      <c r="J2029" s="50" t="s">
        <v>561</v>
      </c>
      <c r="K2029" s="50" t="s">
        <v>108</v>
      </c>
      <c r="L2029" s="50" t="s">
        <v>15</v>
      </c>
      <c r="M2029" s="50" t="s">
        <v>13</v>
      </c>
      <c r="N2029" s="50" t="s">
        <v>14</v>
      </c>
      <c r="O2029" s="48" t="s">
        <v>620</v>
      </c>
      <c r="P2029" s="45" t="s">
        <v>453</v>
      </c>
      <c r="Q2029" s="35" t="str">
        <f>MID(Tabla1[[#This Row],[Aplicación]],14,1)</f>
        <v>2</v>
      </c>
      <c r="R2029" s="35" t="s">
        <v>441</v>
      </c>
      <c r="S2029" s="35" t="str">
        <f>MID(Tabla1[[#This Row],[Aplicación]],6,2)</f>
        <v>08</v>
      </c>
      <c r="T2029" s="35" t="str">
        <f>VLOOKUP(Tabla1[[#This Row],[AREA]],Hoja1!A:B,2,FALSE)</f>
        <v>08. Movilidad y espacio urbano</v>
      </c>
      <c r="U2029" s="35" t="str">
        <f>MID(Tabla1[[#This Row],[Aplicación]],9,4)</f>
        <v>1651</v>
      </c>
      <c r="V2029" s="35" t="str">
        <f>VLOOKUP(Tabla1[[#This Row],[PROGRAMA]],Hoja1!A:B,2,FALSE)</f>
        <v>1651. Alumbrado público</v>
      </c>
      <c r="W2029" s="35" t="str">
        <f>MID(Tabla1[[#This Row],[Aplicación]],14,2)</f>
        <v>21</v>
      </c>
      <c r="X2029" s="35" t="str">
        <f>MID(Tabla1[[#This Row],[Aplicación]],14,6)</f>
        <v>213</v>
      </c>
    </row>
    <row r="2030" spans="1:24" x14ac:dyDescent="0.25">
      <c r="A2030" s="49">
        <v>220220000402</v>
      </c>
      <c r="B2030" s="50" t="s">
        <v>9</v>
      </c>
      <c r="C2030" s="57">
        <v>44586</v>
      </c>
      <c r="D2030" s="49">
        <v>22022000031</v>
      </c>
      <c r="E2030" s="50" t="s">
        <v>1502</v>
      </c>
      <c r="F2030" s="58">
        <v>641.96</v>
      </c>
      <c r="G2030" s="50" t="s">
        <v>44</v>
      </c>
      <c r="H2030" s="50" t="s">
        <v>3410</v>
      </c>
      <c r="I2030" s="49" t="s">
        <v>107</v>
      </c>
      <c r="J2030" s="50" t="s">
        <v>109</v>
      </c>
      <c r="K2030" s="50" t="s">
        <v>109</v>
      </c>
      <c r="L2030" s="50" t="s">
        <v>12</v>
      </c>
      <c r="M2030" s="50" t="s">
        <v>10</v>
      </c>
      <c r="N2030" s="50" t="s">
        <v>11</v>
      </c>
      <c r="O2030" s="48" t="s">
        <v>632</v>
      </c>
      <c r="P2030" s="45" t="s">
        <v>453</v>
      </c>
      <c r="Q2030" s="35" t="str">
        <f>MID(Tabla1[[#This Row],[Aplicación]],14,1)</f>
        <v>2</v>
      </c>
      <c r="R2030" s="35" t="s">
        <v>441</v>
      </c>
      <c r="S2030" s="35" t="str">
        <f>MID(Tabla1[[#This Row],[Aplicación]],6,2)</f>
        <v>10</v>
      </c>
      <c r="T2030" s="35" t="str">
        <f>VLOOKUP(Tabla1[[#This Row],[AREA]],Hoja1!A:B,2,FALSE)</f>
        <v>10. Servicios sociales y mediación comunitaria</v>
      </c>
      <c r="U2030" s="35" t="str">
        <f>MID(Tabla1[[#This Row],[Aplicación]],9,4)</f>
        <v>2412</v>
      </c>
      <c r="V2030" s="35" t="str">
        <f>VLOOKUP(Tabla1[[#This Row],[PROGRAMA]],Hoja1!A:B,2,FALSE)</f>
        <v>2412. Formación para el empleo</v>
      </c>
      <c r="W2030" s="35" t="str">
        <f>MID(Tabla1[[#This Row],[Aplicación]],14,2)</f>
        <v>21</v>
      </c>
      <c r="X2030" s="35" t="str">
        <f>MID(Tabla1[[#This Row],[Aplicación]],14,6)</f>
        <v>213</v>
      </c>
    </row>
    <row r="2031" spans="1:24" x14ac:dyDescent="0.25">
      <c r="A2031" s="49">
        <v>220209000120</v>
      </c>
      <c r="B2031" s="50" t="s">
        <v>9</v>
      </c>
      <c r="C2031" s="57">
        <v>44562</v>
      </c>
      <c r="D2031" s="49">
        <v>22022000175</v>
      </c>
      <c r="E2031" s="50" t="s">
        <v>1659</v>
      </c>
      <c r="F2031" s="58">
        <v>347.6</v>
      </c>
      <c r="G2031" s="50" t="s">
        <v>826</v>
      </c>
      <c r="H2031" s="50" t="s">
        <v>833</v>
      </c>
      <c r="I2031" s="49" t="s">
        <v>107</v>
      </c>
      <c r="J2031" s="50" t="s">
        <v>109</v>
      </c>
      <c r="K2031" s="50" t="s">
        <v>109</v>
      </c>
      <c r="L2031" s="50" t="s">
        <v>12</v>
      </c>
      <c r="M2031" s="50" t="s">
        <v>13</v>
      </c>
      <c r="N2031" s="50" t="s">
        <v>14</v>
      </c>
      <c r="O2031" s="48" t="s">
        <v>620</v>
      </c>
      <c r="P2031" s="45" t="s">
        <v>453</v>
      </c>
      <c r="Q2031" s="35" t="str">
        <f>MID(Tabla1[[#This Row],[Aplicación]],14,1)</f>
        <v>2</v>
      </c>
      <c r="R2031" s="35" t="s">
        <v>441</v>
      </c>
      <c r="S2031" s="35" t="str">
        <f>MID(Tabla1[[#This Row],[Aplicación]],6,2)</f>
        <v>05</v>
      </c>
      <c r="T2031" s="35" t="str">
        <f>VLOOKUP(Tabla1[[#This Row],[AREA]],Hoja1!A:B,2,FALSE)</f>
        <v>05. Innovación, desarrollo económico, empleo y comercio</v>
      </c>
      <c r="U2031" s="35" t="str">
        <f>MID(Tabla1[[#This Row],[Aplicación]],9,4)</f>
        <v>4331</v>
      </c>
      <c r="V2031" s="35" t="str">
        <f>VLOOKUP(Tabla1[[#This Row],[PROGRAMA]],Hoja1!A:B,2,FALSE)</f>
        <v>4331. Desarrollo empresarial</v>
      </c>
      <c r="W2031" s="35" t="str">
        <f>MID(Tabla1[[#This Row],[Aplicación]],14,2)</f>
        <v>22</v>
      </c>
      <c r="X2031" s="35" t="str">
        <f>MID(Tabla1[[#This Row],[Aplicación]],14,6)</f>
        <v>22799</v>
      </c>
    </row>
    <row r="2032" spans="1:24" x14ac:dyDescent="0.25">
      <c r="A2032" s="49">
        <v>220220003541</v>
      </c>
      <c r="B2032" s="50" t="s">
        <v>26</v>
      </c>
      <c r="C2032" s="57">
        <v>44607</v>
      </c>
      <c r="D2032" s="49">
        <v>22022001839</v>
      </c>
      <c r="E2032" s="50" t="s">
        <v>1659</v>
      </c>
      <c r="F2032" s="58">
        <v>347.6</v>
      </c>
      <c r="G2032" s="50" t="s">
        <v>826</v>
      </c>
      <c r="H2032" s="50" t="s">
        <v>3411</v>
      </c>
      <c r="I2032" s="49" t="s">
        <v>197</v>
      </c>
      <c r="J2032" s="50" t="s">
        <v>109</v>
      </c>
      <c r="K2032" s="50" t="s">
        <v>109</v>
      </c>
      <c r="L2032" s="50" t="s">
        <v>12</v>
      </c>
      <c r="M2032" s="50" t="s">
        <v>13</v>
      </c>
      <c r="N2032" s="50" t="s">
        <v>14</v>
      </c>
      <c r="O2032" s="48" t="s">
        <v>620</v>
      </c>
      <c r="P2032" s="45" t="s">
        <v>453</v>
      </c>
      <c r="Q2032" s="35" t="str">
        <f>MID(Tabla1[[#This Row],[Aplicación]],14,1)</f>
        <v>2</v>
      </c>
      <c r="R2032" s="35" t="s">
        <v>441</v>
      </c>
      <c r="S2032" s="35" t="str">
        <f>MID(Tabla1[[#This Row],[Aplicación]],6,2)</f>
        <v>05</v>
      </c>
      <c r="T2032" s="35" t="str">
        <f>VLOOKUP(Tabla1[[#This Row],[AREA]],Hoja1!A:B,2,FALSE)</f>
        <v>05. Innovación, desarrollo económico, empleo y comercio</v>
      </c>
      <c r="U2032" s="35" t="str">
        <f>MID(Tabla1[[#This Row],[Aplicación]],9,4)</f>
        <v>4331</v>
      </c>
      <c r="V2032" s="35" t="str">
        <f>VLOOKUP(Tabla1[[#This Row],[PROGRAMA]],Hoja1!A:B,2,FALSE)</f>
        <v>4331. Desarrollo empresarial</v>
      </c>
      <c r="W2032" s="35" t="str">
        <f>MID(Tabla1[[#This Row],[Aplicación]],14,2)</f>
        <v>22</v>
      </c>
      <c r="X2032" s="35" t="str">
        <f>MID(Tabla1[[#This Row],[Aplicación]],14,6)</f>
        <v>22799</v>
      </c>
    </row>
    <row r="2033" spans="1:24" x14ac:dyDescent="0.25">
      <c r="A2033" s="49">
        <v>220220012892</v>
      </c>
      <c r="B2033" s="50" t="s">
        <v>9</v>
      </c>
      <c r="C2033" s="57">
        <v>44648</v>
      </c>
      <c r="D2033" s="49">
        <v>22022002849</v>
      </c>
      <c r="E2033" s="50" t="s">
        <v>1475</v>
      </c>
      <c r="F2033" s="58">
        <v>300</v>
      </c>
      <c r="G2033" s="50" t="s">
        <v>44</v>
      </c>
      <c r="H2033" s="50" t="s">
        <v>3412</v>
      </c>
      <c r="I2033" s="49" t="s">
        <v>107</v>
      </c>
      <c r="J2033" s="50" t="s">
        <v>109</v>
      </c>
      <c r="K2033" s="50" t="s">
        <v>109</v>
      </c>
      <c r="L2033" s="50" t="s">
        <v>12</v>
      </c>
      <c r="M2033" s="50" t="s">
        <v>10</v>
      </c>
      <c r="N2033" s="50" t="s">
        <v>11</v>
      </c>
      <c r="O2033" s="48" t="s">
        <v>632</v>
      </c>
      <c r="P2033" s="45" t="s">
        <v>453</v>
      </c>
      <c r="Q2033" s="35" t="str">
        <f>MID(Tabla1[[#This Row],[Aplicación]],14,1)</f>
        <v>2</v>
      </c>
      <c r="R2033" s="35" t="s">
        <v>441</v>
      </c>
      <c r="S2033" s="35" t="str">
        <f>MID(Tabla1[[#This Row],[Aplicación]],6,2)</f>
        <v>06</v>
      </c>
      <c r="T2033" s="35" t="str">
        <f>VLOOKUP(Tabla1[[#This Row],[AREA]],Hoja1!A:B,2,FALSE)</f>
        <v>06. Educación, infancia, juventud e igualdad</v>
      </c>
      <c r="U2033" s="35" t="str">
        <f>MID(Tabla1[[#This Row],[Aplicación]],9,4)</f>
        <v>3232</v>
      </c>
      <c r="V2033" s="35" t="str">
        <f>VLOOKUP(Tabla1[[#This Row],[PROGRAMA]],Hoja1!A:B,2,FALSE)</f>
        <v>3232. Conservación y mantenimiento centros educación infantil y primaria</v>
      </c>
      <c r="W2033" s="35" t="str">
        <f>MID(Tabla1[[#This Row],[Aplicación]],14,2)</f>
        <v>21</v>
      </c>
      <c r="X2033" s="35" t="str">
        <f>MID(Tabla1[[#This Row],[Aplicación]],14,6)</f>
        <v>213</v>
      </c>
    </row>
    <row r="2034" spans="1:24" x14ac:dyDescent="0.25">
      <c r="A2034" s="49">
        <v>220210030272</v>
      </c>
      <c r="B2034" s="50" t="s">
        <v>9</v>
      </c>
      <c r="C2034" s="57">
        <v>44631</v>
      </c>
      <c r="D2034" s="49">
        <v>22021004358</v>
      </c>
      <c r="E2034" s="50" t="s">
        <v>1593</v>
      </c>
      <c r="F2034" s="58">
        <v>278.86</v>
      </c>
      <c r="G2034" s="50" t="s">
        <v>102</v>
      </c>
      <c r="H2034" s="50" t="s">
        <v>1028</v>
      </c>
      <c r="I2034" s="49" t="s">
        <v>107</v>
      </c>
      <c r="J2034" s="50" t="s">
        <v>108</v>
      </c>
      <c r="K2034" s="50" t="s">
        <v>108</v>
      </c>
      <c r="L2034" s="50" t="s">
        <v>12</v>
      </c>
      <c r="M2034" s="50" t="s">
        <v>13</v>
      </c>
      <c r="N2034" s="50" t="s">
        <v>14</v>
      </c>
      <c r="O2034" s="48" t="s">
        <v>631</v>
      </c>
      <c r="P2034" s="45" t="s">
        <v>453</v>
      </c>
      <c r="Q2034" s="35" t="str">
        <f>MID(Tabla1[[#This Row],[Aplicación]],14,1)</f>
        <v>6</v>
      </c>
      <c r="R2034" s="35" t="s">
        <v>442</v>
      </c>
      <c r="S2034" s="35" t="str">
        <f>MID(Tabla1[[#This Row],[Aplicación]],6,2)</f>
        <v>07</v>
      </c>
      <c r="T2034" s="35" t="str">
        <f>VLOOKUP(Tabla1[[#This Row],[AREA]],Hoja1!A:B,2,FALSE)</f>
        <v>07. Medio ambiente y desarrollo sostenible</v>
      </c>
      <c r="U2034" s="35" t="str">
        <f>MID(Tabla1[[#This Row],[Aplicación]],9,4)</f>
        <v>1711</v>
      </c>
      <c r="V2034" s="35" t="str">
        <f>VLOOKUP(Tabla1[[#This Row],[PROGRAMA]],Hoja1!A:B,2,FALSE)</f>
        <v>1711. Parques y jardines</v>
      </c>
      <c r="W2034" s="35" t="str">
        <f>MID(Tabla1[[#This Row],[Aplicación]],14,2)</f>
        <v>61</v>
      </c>
      <c r="X2034" s="35" t="str">
        <f>MID(Tabla1[[#This Row],[Aplicación]],14,6)</f>
        <v>619</v>
      </c>
    </row>
    <row r="2035" spans="1:24" x14ac:dyDescent="0.25">
      <c r="A2035" s="49">
        <v>220220000403</v>
      </c>
      <c r="B2035" s="50" t="s">
        <v>9</v>
      </c>
      <c r="C2035" s="57">
        <v>44586</v>
      </c>
      <c r="D2035" s="49">
        <v>22022000033</v>
      </c>
      <c r="E2035" s="50" t="s">
        <v>1502</v>
      </c>
      <c r="F2035" s="58">
        <v>266.67</v>
      </c>
      <c r="G2035" s="50" t="s">
        <v>44</v>
      </c>
      <c r="H2035" s="50" t="s">
        <v>3413</v>
      </c>
      <c r="I2035" s="49" t="s">
        <v>107</v>
      </c>
      <c r="J2035" s="50" t="s">
        <v>109</v>
      </c>
      <c r="K2035" s="50" t="s">
        <v>109</v>
      </c>
      <c r="L2035" s="50" t="s">
        <v>12</v>
      </c>
      <c r="M2035" s="50" t="s">
        <v>10</v>
      </c>
      <c r="N2035" s="50" t="s">
        <v>11</v>
      </c>
      <c r="O2035" s="48" t="s">
        <v>632</v>
      </c>
      <c r="P2035" s="45" t="s">
        <v>453</v>
      </c>
      <c r="Q2035" s="35" t="str">
        <f>MID(Tabla1[[#This Row],[Aplicación]],14,1)</f>
        <v>2</v>
      </c>
      <c r="R2035" s="35" t="s">
        <v>441</v>
      </c>
      <c r="S2035" s="35" t="str">
        <f>MID(Tabla1[[#This Row],[Aplicación]],6,2)</f>
        <v>10</v>
      </c>
      <c r="T2035" s="35" t="str">
        <f>VLOOKUP(Tabla1[[#This Row],[AREA]],Hoja1!A:B,2,FALSE)</f>
        <v>10. Servicios sociales y mediación comunitaria</v>
      </c>
      <c r="U2035" s="35" t="str">
        <f>MID(Tabla1[[#This Row],[Aplicación]],9,4)</f>
        <v>2412</v>
      </c>
      <c r="V2035" s="35" t="str">
        <f>VLOOKUP(Tabla1[[#This Row],[PROGRAMA]],Hoja1!A:B,2,FALSE)</f>
        <v>2412. Formación para el empleo</v>
      </c>
      <c r="W2035" s="35" t="str">
        <f>MID(Tabla1[[#This Row],[Aplicación]],14,2)</f>
        <v>21</v>
      </c>
      <c r="X2035" s="35" t="str">
        <f>MID(Tabla1[[#This Row],[Aplicación]],14,6)</f>
        <v>213</v>
      </c>
    </row>
    <row r="2036" spans="1:24" x14ac:dyDescent="0.25">
      <c r="A2036" s="49">
        <v>220219001147</v>
      </c>
      <c r="B2036" s="50" t="s">
        <v>9</v>
      </c>
      <c r="C2036" s="57">
        <v>44562</v>
      </c>
      <c r="D2036" s="49">
        <v>22022000526</v>
      </c>
      <c r="E2036" s="50" t="s">
        <v>2910</v>
      </c>
      <c r="F2036" s="58">
        <v>266.58999999999997</v>
      </c>
      <c r="G2036" s="50" t="s">
        <v>556</v>
      </c>
      <c r="H2036" s="50" t="s">
        <v>3414</v>
      </c>
      <c r="I2036" s="49" t="s">
        <v>107</v>
      </c>
      <c r="J2036" s="50" t="s">
        <v>108</v>
      </c>
      <c r="K2036" s="50" t="s">
        <v>108</v>
      </c>
      <c r="L2036" s="50" t="s">
        <v>12</v>
      </c>
      <c r="M2036" s="50" t="s">
        <v>13</v>
      </c>
      <c r="N2036" s="50" t="s">
        <v>14</v>
      </c>
      <c r="O2036" s="48" t="s">
        <v>620</v>
      </c>
      <c r="P2036" s="45" t="s">
        <v>453</v>
      </c>
      <c r="Q2036" s="35" t="str">
        <f>MID(Tabla1[[#This Row],[Aplicación]],14,1)</f>
        <v>2</v>
      </c>
      <c r="R2036" s="35" t="s">
        <v>441</v>
      </c>
      <c r="S2036" s="35" t="str">
        <f>MID(Tabla1[[#This Row],[Aplicación]],6,2)</f>
        <v>10</v>
      </c>
      <c r="T2036" s="35" t="str">
        <f>VLOOKUP(Tabla1[[#This Row],[AREA]],Hoja1!A:B,2,FALSE)</f>
        <v>10. Servicios sociales y mediación comunitaria</v>
      </c>
      <c r="U2036" s="35" t="str">
        <f>MID(Tabla1[[#This Row],[Aplicación]],9,4)</f>
        <v>2312</v>
      </c>
      <c r="V2036" s="35" t="str">
        <f>VLOOKUP(Tabla1[[#This Row],[PROGRAMA]],Hoja1!A:B,2,FALSE)</f>
        <v>2312. Iniciativas sociales</v>
      </c>
      <c r="W2036" s="35" t="str">
        <f>MID(Tabla1[[#This Row],[Aplicación]],14,2)</f>
        <v>21</v>
      </c>
      <c r="X2036" s="35" t="str">
        <f>MID(Tabla1[[#This Row],[Aplicación]],14,6)</f>
        <v>216</v>
      </c>
    </row>
    <row r="2037" spans="1:24" x14ac:dyDescent="0.25">
      <c r="A2037" s="49">
        <v>220220000338</v>
      </c>
      <c r="B2037" s="50" t="s">
        <v>9</v>
      </c>
      <c r="C2037" s="57">
        <v>44585</v>
      </c>
      <c r="D2037" s="49">
        <v>22022001166</v>
      </c>
      <c r="E2037" s="50" t="s">
        <v>1579</v>
      </c>
      <c r="F2037" s="58">
        <v>112.51</v>
      </c>
      <c r="G2037" s="50" t="s">
        <v>797</v>
      </c>
      <c r="H2037" s="50" t="s">
        <v>3415</v>
      </c>
      <c r="I2037" s="49" t="s">
        <v>107</v>
      </c>
      <c r="J2037" s="50" t="s">
        <v>109</v>
      </c>
      <c r="K2037" s="50" t="s">
        <v>109</v>
      </c>
      <c r="L2037" s="50" t="s">
        <v>15</v>
      </c>
      <c r="M2037" s="50" t="s">
        <v>10</v>
      </c>
      <c r="N2037" s="50" t="s">
        <v>11</v>
      </c>
      <c r="O2037" s="48" t="s">
        <v>632</v>
      </c>
      <c r="P2037" s="45" t="s">
        <v>453</v>
      </c>
      <c r="Q2037" s="35" t="str">
        <f>MID(Tabla1[[#This Row],[Aplicación]],14,1)</f>
        <v>2</v>
      </c>
      <c r="R2037" s="35" t="s">
        <v>441</v>
      </c>
      <c r="S2037" s="35" t="str">
        <f>MID(Tabla1[[#This Row],[Aplicación]],6,2)</f>
        <v>10</v>
      </c>
      <c r="T2037" s="35" t="str">
        <f>VLOOKUP(Tabla1[[#This Row],[AREA]],Hoja1!A:B,2,FALSE)</f>
        <v>10. Servicios sociales y mediación comunitaria</v>
      </c>
      <c r="U2037" s="35" t="str">
        <f>MID(Tabla1[[#This Row],[Aplicación]],9,4)</f>
        <v>2412</v>
      </c>
      <c r="V2037" s="35" t="str">
        <f>VLOOKUP(Tabla1[[#This Row],[PROGRAMA]],Hoja1!A:B,2,FALSE)</f>
        <v>2412. Formación para el empleo</v>
      </c>
      <c r="W2037" s="35" t="str">
        <f>MID(Tabla1[[#This Row],[Aplicación]],14,2)</f>
        <v>22</v>
      </c>
      <c r="X2037" s="35" t="str">
        <f>MID(Tabla1[[#This Row],[Aplicación]],14,6)</f>
        <v>22199</v>
      </c>
    </row>
    <row r="2038" spans="1:24" x14ac:dyDescent="0.25">
      <c r="A2038" s="49">
        <v>220220007929</v>
      </c>
      <c r="B2038" s="50" t="s">
        <v>9</v>
      </c>
      <c r="C2038" s="57">
        <v>44627</v>
      </c>
      <c r="D2038" s="49">
        <v>22022002599</v>
      </c>
      <c r="E2038" s="50" t="s">
        <v>1759</v>
      </c>
      <c r="F2038" s="58">
        <v>252.19</v>
      </c>
      <c r="G2038" s="50" t="s">
        <v>153</v>
      </c>
      <c r="H2038" s="50" t="s">
        <v>3416</v>
      </c>
      <c r="I2038" s="49" t="s">
        <v>107</v>
      </c>
      <c r="J2038" s="50" t="s">
        <v>126</v>
      </c>
      <c r="K2038" s="50" t="s">
        <v>126</v>
      </c>
      <c r="L2038" s="50" t="s">
        <v>12</v>
      </c>
      <c r="M2038" s="50" t="s">
        <v>10</v>
      </c>
      <c r="N2038" s="50" t="s">
        <v>11</v>
      </c>
      <c r="O2038" s="48" t="s">
        <v>632</v>
      </c>
      <c r="P2038" s="45" t="s">
        <v>453</v>
      </c>
      <c r="Q2038" s="35" t="str">
        <f>MID(Tabla1[[#This Row],[Aplicación]],14,1)</f>
        <v>2</v>
      </c>
      <c r="R2038" s="35" t="s">
        <v>441</v>
      </c>
      <c r="S2038" s="35" t="str">
        <f>MID(Tabla1[[#This Row],[Aplicación]],6,2)</f>
        <v>02</v>
      </c>
      <c r="T2038" s="35" t="str">
        <f>VLOOKUP(Tabla1[[#This Row],[AREA]],Hoja1!A:B,2,FALSE)</f>
        <v>02. Planeamiento urbanístico y vivienda</v>
      </c>
      <c r="U2038" s="35" t="str">
        <f>MID(Tabla1[[#This Row],[Aplicación]],9,4)</f>
        <v>9332</v>
      </c>
      <c r="V2038" s="35" t="str">
        <f>VLOOKUP(Tabla1[[#This Row],[PROGRAMA]],Hoja1!A:B,2,FALSE)</f>
        <v>9332. Mantenimiento de edificios e instalaciones municipales</v>
      </c>
      <c r="W2038" s="35" t="str">
        <f>MID(Tabla1[[#This Row],[Aplicación]],14,2)</f>
        <v>21</v>
      </c>
      <c r="X2038" s="35" t="str">
        <f>MID(Tabla1[[#This Row],[Aplicación]],14,6)</f>
        <v>213</v>
      </c>
    </row>
    <row r="2039" spans="1:24" x14ac:dyDescent="0.25">
      <c r="A2039" s="49">
        <v>220220000341</v>
      </c>
      <c r="B2039" s="50" t="s">
        <v>9</v>
      </c>
      <c r="C2039" s="57">
        <v>44585</v>
      </c>
      <c r="D2039" s="49">
        <v>22022001238</v>
      </c>
      <c r="E2039" s="50" t="s">
        <v>1579</v>
      </c>
      <c r="F2039" s="58">
        <v>2750</v>
      </c>
      <c r="G2039" s="50" t="s">
        <v>176</v>
      </c>
      <c r="H2039" s="50" t="s">
        <v>3417</v>
      </c>
      <c r="I2039" s="49" t="s">
        <v>107</v>
      </c>
      <c r="J2039" s="50" t="s">
        <v>109</v>
      </c>
      <c r="K2039" s="50" t="s">
        <v>109</v>
      </c>
      <c r="L2039" s="50" t="s">
        <v>15</v>
      </c>
      <c r="M2039" s="50" t="s">
        <v>10</v>
      </c>
      <c r="N2039" s="50" t="s">
        <v>11</v>
      </c>
      <c r="O2039" s="48" t="s">
        <v>632</v>
      </c>
      <c r="P2039" s="45" t="s">
        <v>453</v>
      </c>
      <c r="Q2039" s="35" t="str">
        <f>MID(Tabla1[[#This Row],[Aplicación]],14,1)</f>
        <v>2</v>
      </c>
      <c r="R2039" s="35" t="s">
        <v>441</v>
      </c>
      <c r="S2039" s="35" t="str">
        <f>MID(Tabla1[[#This Row],[Aplicación]],6,2)</f>
        <v>10</v>
      </c>
      <c r="T2039" s="35" t="str">
        <f>VLOOKUP(Tabla1[[#This Row],[AREA]],Hoja1!A:B,2,FALSE)</f>
        <v>10. Servicios sociales y mediación comunitaria</v>
      </c>
      <c r="U2039" s="35" t="str">
        <f>MID(Tabla1[[#This Row],[Aplicación]],9,4)</f>
        <v>2412</v>
      </c>
      <c r="V2039" s="35" t="str">
        <f>VLOOKUP(Tabla1[[#This Row],[PROGRAMA]],Hoja1!A:B,2,FALSE)</f>
        <v>2412. Formación para el empleo</v>
      </c>
      <c r="W2039" s="35" t="str">
        <f>MID(Tabla1[[#This Row],[Aplicación]],14,2)</f>
        <v>22</v>
      </c>
      <c r="X2039" s="35" t="str">
        <f>MID(Tabla1[[#This Row],[Aplicación]],14,6)</f>
        <v>22199</v>
      </c>
    </row>
    <row r="2040" spans="1:24" x14ac:dyDescent="0.25">
      <c r="A2040" s="49">
        <v>220219001133</v>
      </c>
      <c r="B2040" s="50" t="s">
        <v>9</v>
      </c>
      <c r="C2040" s="57">
        <v>44562</v>
      </c>
      <c r="D2040" s="49">
        <v>22022000296</v>
      </c>
      <c r="E2040" s="50" t="s">
        <v>2309</v>
      </c>
      <c r="F2040" s="58">
        <v>234.86</v>
      </c>
      <c r="G2040" s="50" t="s">
        <v>2947</v>
      </c>
      <c r="H2040" s="50" t="s">
        <v>3418</v>
      </c>
      <c r="I2040" s="49" t="s">
        <v>107</v>
      </c>
      <c r="J2040" s="50" t="s">
        <v>2949</v>
      </c>
      <c r="K2040" s="50" t="s">
        <v>2950</v>
      </c>
      <c r="L2040" s="50" t="s">
        <v>12</v>
      </c>
      <c r="M2040" s="50" t="s">
        <v>13</v>
      </c>
      <c r="N2040" s="50" t="s">
        <v>14</v>
      </c>
      <c r="O2040" s="48" t="s">
        <v>620</v>
      </c>
      <c r="P2040" s="45" t="s">
        <v>453</v>
      </c>
      <c r="Q2040" s="35" t="str">
        <f>MID(Tabla1[[#This Row],[Aplicación]],14,1)</f>
        <v>2</v>
      </c>
      <c r="R2040" s="35" t="s">
        <v>441</v>
      </c>
      <c r="S2040" s="35" t="str">
        <f>MID(Tabla1[[#This Row],[Aplicación]],6,2)</f>
        <v>07</v>
      </c>
      <c r="T2040" s="35" t="str">
        <f>VLOOKUP(Tabla1[[#This Row],[AREA]],Hoja1!A:B,2,FALSE)</f>
        <v>07. Medio ambiente y desarrollo sostenible</v>
      </c>
      <c r="U2040" s="35" t="str">
        <f>MID(Tabla1[[#This Row],[Aplicación]],9,4)</f>
        <v>1721</v>
      </c>
      <c r="V2040" s="35" t="str">
        <f>VLOOKUP(Tabla1[[#This Row],[PROGRAMA]],Hoja1!A:B,2,FALSE)</f>
        <v>1721. Protección del medio ambiente</v>
      </c>
      <c r="W2040" s="35" t="str">
        <f>MID(Tabla1[[#This Row],[Aplicación]],14,2)</f>
        <v>21</v>
      </c>
      <c r="X2040" s="35" t="str">
        <f>MID(Tabla1[[#This Row],[Aplicación]],14,6)</f>
        <v>213</v>
      </c>
    </row>
    <row r="2041" spans="1:24" x14ac:dyDescent="0.25">
      <c r="A2041" s="49">
        <v>220210041558</v>
      </c>
      <c r="B2041" s="50" t="s">
        <v>9</v>
      </c>
      <c r="C2041" s="57">
        <v>44631</v>
      </c>
      <c r="D2041" s="49">
        <v>22021002556</v>
      </c>
      <c r="E2041" s="50" t="s">
        <v>1713</v>
      </c>
      <c r="F2041" s="58">
        <v>220.53</v>
      </c>
      <c r="G2041" s="50" t="s">
        <v>1143</v>
      </c>
      <c r="H2041" s="50" t="s">
        <v>1144</v>
      </c>
      <c r="I2041" s="49" t="s">
        <v>107</v>
      </c>
      <c r="J2041" s="50" t="s">
        <v>109</v>
      </c>
      <c r="K2041" s="50" t="s">
        <v>109</v>
      </c>
      <c r="L2041" s="50" t="s">
        <v>25</v>
      </c>
      <c r="M2041" s="50" t="s">
        <v>13</v>
      </c>
      <c r="N2041" s="50" t="s">
        <v>14</v>
      </c>
      <c r="O2041" s="48" t="s">
        <v>620</v>
      </c>
      <c r="P2041" s="45" t="s">
        <v>453</v>
      </c>
      <c r="Q2041" s="35" t="str">
        <f>MID(Tabla1[[#This Row],[Aplicación]],14,1)</f>
        <v>6</v>
      </c>
      <c r="R2041" s="35" t="s">
        <v>442</v>
      </c>
      <c r="S2041" s="35" t="str">
        <f>MID(Tabla1[[#This Row],[Aplicación]],6,2)</f>
        <v>11</v>
      </c>
      <c r="T2041" s="35" t="str">
        <f>VLOOKUP(Tabla1[[#This Row],[AREA]],Hoja1!A:B,2,FALSE)</f>
        <v>11. Salud pública y seguridad ciudadana</v>
      </c>
      <c r="U2041" s="35" t="str">
        <f>MID(Tabla1[[#This Row],[Aplicación]],9,4)</f>
        <v>3111</v>
      </c>
      <c r="V2041" s="35" t="str">
        <f>VLOOKUP(Tabla1[[#This Row],[PROGRAMA]],Hoja1!A:B,2,FALSE)</f>
        <v>3111. Protección de la salubridad pública</v>
      </c>
      <c r="W2041" s="35" t="str">
        <f>MID(Tabla1[[#This Row],[Aplicación]],14,2)</f>
        <v>63</v>
      </c>
      <c r="X2041" s="35" t="str">
        <f>MID(Tabla1[[#This Row],[Aplicación]],14,6)</f>
        <v>632</v>
      </c>
    </row>
    <row r="2042" spans="1:24" x14ac:dyDescent="0.25">
      <c r="A2042" s="49">
        <v>220219000660</v>
      </c>
      <c r="B2042" s="50" t="s">
        <v>9</v>
      </c>
      <c r="C2042" s="57">
        <v>44562</v>
      </c>
      <c r="D2042" s="49">
        <v>22022002213</v>
      </c>
      <c r="E2042" s="50" t="s">
        <v>1383</v>
      </c>
      <c r="F2042" s="58">
        <v>116666.68</v>
      </c>
      <c r="G2042" s="50" t="s">
        <v>496</v>
      </c>
      <c r="H2042" s="50" t="s">
        <v>3419</v>
      </c>
      <c r="I2042" s="49" t="s">
        <v>107</v>
      </c>
      <c r="J2042" s="50" t="s">
        <v>522</v>
      </c>
      <c r="K2042" s="50" t="s">
        <v>523</v>
      </c>
      <c r="L2042" s="50" t="s">
        <v>12</v>
      </c>
      <c r="M2042" s="50" t="s">
        <v>13</v>
      </c>
      <c r="N2042" s="50" t="s">
        <v>14</v>
      </c>
      <c r="O2042" s="48" t="s">
        <v>620</v>
      </c>
      <c r="P2042" s="45" t="s">
        <v>453</v>
      </c>
      <c r="Q2042" s="35" t="str">
        <f>MID(Tabla1[[#This Row],[Aplicación]],14,1)</f>
        <v>6</v>
      </c>
      <c r="R2042" s="35" t="s">
        <v>442</v>
      </c>
      <c r="S2042" s="35" t="str">
        <f>MID(Tabla1[[#This Row],[Aplicación]],6,2)</f>
        <v>08</v>
      </c>
      <c r="T2042" s="35" t="str">
        <f>VLOOKUP(Tabla1[[#This Row],[AREA]],Hoja1!A:B,2,FALSE)</f>
        <v>08. Movilidad y espacio urbano</v>
      </c>
      <c r="U2042" s="35" t="str">
        <f>MID(Tabla1[[#This Row],[Aplicación]],9,4)</f>
        <v>1341</v>
      </c>
      <c r="V2042" s="35" t="str">
        <f>VLOOKUP(Tabla1[[#This Row],[PROGRAMA]],Hoja1!A:B,2,FALSE)</f>
        <v>1341. Movilidad</v>
      </c>
      <c r="W2042" s="35" t="str">
        <f>MID(Tabla1[[#This Row],[Aplicación]],14,2)</f>
        <v>61</v>
      </c>
      <c r="X2042" s="35" t="str">
        <f>MID(Tabla1[[#This Row],[Aplicación]],14,6)</f>
        <v>619</v>
      </c>
    </row>
    <row r="2043" spans="1:24" x14ac:dyDescent="0.25">
      <c r="A2043" s="49">
        <v>220220005791</v>
      </c>
      <c r="B2043" s="50" t="s">
        <v>9</v>
      </c>
      <c r="C2043" s="57">
        <v>44615</v>
      </c>
      <c r="D2043" s="49">
        <v>22022002304</v>
      </c>
      <c r="E2043" s="50" t="s">
        <v>1890</v>
      </c>
      <c r="F2043" s="58">
        <v>208.73</v>
      </c>
      <c r="G2043" s="50" t="s">
        <v>153</v>
      </c>
      <c r="H2043" s="50" t="s">
        <v>3420</v>
      </c>
      <c r="I2043" s="49" t="s">
        <v>107</v>
      </c>
      <c r="J2043" s="50" t="s">
        <v>126</v>
      </c>
      <c r="K2043" s="50" t="s">
        <v>126</v>
      </c>
      <c r="L2043" s="50" t="s">
        <v>12</v>
      </c>
      <c r="M2043" s="50" t="s">
        <v>10</v>
      </c>
      <c r="N2043" s="50" t="s">
        <v>11</v>
      </c>
      <c r="O2043" s="48" t="s">
        <v>632</v>
      </c>
      <c r="P2043" s="45" t="s">
        <v>453</v>
      </c>
      <c r="Q2043" s="35" t="str">
        <f>MID(Tabla1[[#This Row],[Aplicación]],14,1)</f>
        <v>2</v>
      </c>
      <c r="R2043" s="35" t="s">
        <v>441</v>
      </c>
      <c r="S2043" s="35" t="str">
        <f>MID(Tabla1[[#This Row],[Aplicación]],6,2)</f>
        <v>02</v>
      </c>
      <c r="T2043" s="35" t="str">
        <f>VLOOKUP(Tabla1[[#This Row],[AREA]],Hoja1!A:B,2,FALSE)</f>
        <v>02. Planeamiento urbanístico y vivienda</v>
      </c>
      <c r="U2043" s="35" t="str">
        <f>MID(Tabla1[[#This Row],[Aplicación]],9,4)</f>
        <v>9332</v>
      </c>
      <c r="V2043" s="35" t="str">
        <f>VLOOKUP(Tabla1[[#This Row],[PROGRAMA]],Hoja1!A:B,2,FALSE)</f>
        <v>9332. Mantenimiento de edificios e instalaciones municipales</v>
      </c>
      <c r="W2043" s="35" t="str">
        <f>MID(Tabla1[[#This Row],[Aplicación]],14,2)</f>
        <v>21</v>
      </c>
      <c r="X2043" s="35" t="str">
        <f>MID(Tabla1[[#This Row],[Aplicación]],14,6)</f>
        <v>212</v>
      </c>
    </row>
    <row r="2044" spans="1:24" x14ac:dyDescent="0.25">
      <c r="A2044" s="49">
        <v>220220002264</v>
      </c>
      <c r="B2044" s="50" t="s">
        <v>9</v>
      </c>
      <c r="C2044" s="57">
        <v>44592</v>
      </c>
      <c r="D2044" s="49">
        <v>22022001745</v>
      </c>
      <c r="E2044" s="50" t="s">
        <v>1488</v>
      </c>
      <c r="F2044" s="58">
        <v>208.59</v>
      </c>
      <c r="G2044" s="50" t="s">
        <v>44</v>
      </c>
      <c r="H2044" s="50" t="s">
        <v>3421</v>
      </c>
      <c r="I2044" s="49" t="s">
        <v>107</v>
      </c>
      <c r="J2044" s="50" t="s">
        <v>109</v>
      </c>
      <c r="K2044" s="50" t="s">
        <v>109</v>
      </c>
      <c r="L2044" s="50" t="s">
        <v>12</v>
      </c>
      <c r="M2044" s="50" t="s">
        <v>10</v>
      </c>
      <c r="N2044" s="50" t="s">
        <v>11</v>
      </c>
      <c r="O2044" s="48" t="s">
        <v>632</v>
      </c>
      <c r="P2044" s="45" t="s">
        <v>453</v>
      </c>
      <c r="Q2044" s="35" t="str">
        <f>MID(Tabla1[[#This Row],[Aplicación]],14,1)</f>
        <v>2</v>
      </c>
      <c r="R2044" s="35" t="s">
        <v>441</v>
      </c>
      <c r="S2044" s="35" t="str">
        <f>MID(Tabla1[[#This Row],[Aplicación]],6,2)</f>
        <v>10</v>
      </c>
      <c r="T2044" s="35" t="str">
        <f>VLOOKUP(Tabla1[[#This Row],[AREA]],Hoja1!A:B,2,FALSE)</f>
        <v>10. Servicios sociales y mediación comunitaria</v>
      </c>
      <c r="U2044" s="35" t="str">
        <f>MID(Tabla1[[#This Row],[Aplicación]],9,4)</f>
        <v>2312</v>
      </c>
      <c r="V2044" s="35" t="str">
        <f>VLOOKUP(Tabla1[[#This Row],[PROGRAMA]],Hoja1!A:B,2,FALSE)</f>
        <v>2312. Iniciativas sociales</v>
      </c>
      <c r="W2044" s="35" t="str">
        <f>MID(Tabla1[[#This Row],[Aplicación]],14,2)</f>
        <v>21</v>
      </c>
      <c r="X2044" s="35" t="str">
        <f>MID(Tabla1[[#This Row],[Aplicación]],14,6)</f>
        <v>213</v>
      </c>
    </row>
    <row r="2045" spans="1:24" x14ac:dyDescent="0.25">
      <c r="A2045" s="49">
        <v>220219000435</v>
      </c>
      <c r="B2045" s="50" t="s">
        <v>9</v>
      </c>
      <c r="C2045" s="57">
        <v>44562</v>
      </c>
      <c r="D2045" s="49">
        <v>22022000558</v>
      </c>
      <c r="E2045" s="50" t="s">
        <v>1981</v>
      </c>
      <c r="F2045" s="58">
        <v>2722.5</v>
      </c>
      <c r="G2045" s="50" t="s">
        <v>190</v>
      </c>
      <c r="H2045" s="50" t="s">
        <v>3422</v>
      </c>
      <c r="I2045" s="49" t="s">
        <v>107</v>
      </c>
      <c r="J2045" s="50" t="s">
        <v>549</v>
      </c>
      <c r="K2045" s="50" t="s">
        <v>118</v>
      </c>
      <c r="L2045" s="50" t="s">
        <v>12</v>
      </c>
      <c r="M2045" s="50" t="s">
        <v>23</v>
      </c>
      <c r="N2045" s="50" t="s">
        <v>11</v>
      </c>
      <c r="O2045" s="48" t="s">
        <v>622</v>
      </c>
      <c r="P2045" s="45" t="s">
        <v>453</v>
      </c>
      <c r="Q2045" s="35" t="str">
        <f>MID(Tabla1[[#This Row],[Aplicación]],14,1)</f>
        <v>2</v>
      </c>
      <c r="R2045" s="35" t="s">
        <v>441</v>
      </c>
      <c r="S2045" s="35" t="str">
        <f>MID(Tabla1[[#This Row],[Aplicación]],6,2)</f>
        <v>01</v>
      </c>
      <c r="T2045" s="35" t="str">
        <f>VLOOKUP(Tabla1[[#This Row],[AREA]],Hoja1!A:B,2,FALSE)</f>
        <v>01. Alcaldía</v>
      </c>
      <c r="U2045" s="35" t="str">
        <f>MID(Tabla1[[#This Row],[Aplicación]],9,4)</f>
        <v>9312</v>
      </c>
      <c r="V2045" s="35" t="str">
        <f>VLOOKUP(Tabla1[[#This Row],[PROGRAMA]],Hoja1!A:B,2,FALSE)</f>
        <v>9312. Intervención general</v>
      </c>
      <c r="W2045" s="35" t="str">
        <f>MID(Tabla1[[#This Row],[Aplicación]],14,2)</f>
        <v>22</v>
      </c>
      <c r="X2045" s="35" t="str">
        <f>MID(Tabla1[[#This Row],[Aplicación]],14,6)</f>
        <v>22706</v>
      </c>
    </row>
    <row r="2046" spans="1:24" x14ac:dyDescent="0.25">
      <c r="A2046" s="49">
        <v>220199000159</v>
      </c>
      <c r="B2046" s="50" t="s">
        <v>9</v>
      </c>
      <c r="C2046" s="57">
        <v>44562</v>
      </c>
      <c r="D2046" s="49">
        <v>22022000153</v>
      </c>
      <c r="E2046" s="50" t="s">
        <v>3090</v>
      </c>
      <c r="F2046" s="58">
        <v>2016.64</v>
      </c>
      <c r="G2046" s="50" t="s">
        <v>482</v>
      </c>
      <c r="H2046" s="50" t="s">
        <v>577</v>
      </c>
      <c r="I2046" s="49" t="s">
        <v>107</v>
      </c>
      <c r="J2046" s="50" t="s">
        <v>109</v>
      </c>
      <c r="K2046" s="50" t="s">
        <v>109</v>
      </c>
      <c r="L2046" s="50" t="s">
        <v>12</v>
      </c>
      <c r="M2046" s="50" t="s">
        <v>23</v>
      </c>
      <c r="N2046" s="50" t="s">
        <v>11</v>
      </c>
      <c r="O2046" s="48" t="s">
        <v>622</v>
      </c>
      <c r="P2046" s="45" t="s">
        <v>453</v>
      </c>
      <c r="Q2046" s="35" t="str">
        <f>MID(Tabla1[[#This Row],[Aplicación]],14,1)</f>
        <v>2</v>
      </c>
      <c r="R2046" s="35" t="s">
        <v>441</v>
      </c>
      <c r="S2046" s="35" t="str">
        <f>MID(Tabla1[[#This Row],[Aplicación]],6,2)</f>
        <v>10</v>
      </c>
      <c r="T2046" s="35" t="str">
        <f>VLOOKUP(Tabla1[[#This Row],[AREA]],Hoja1!A:B,2,FALSE)</f>
        <v>10. Servicios sociales y mediación comunitaria</v>
      </c>
      <c r="U2046" s="35" t="str">
        <f>MID(Tabla1[[#This Row],[Aplicación]],9,4)</f>
        <v>2311</v>
      </c>
      <c r="V2046" s="35" t="str">
        <f>VLOOKUP(Tabla1[[#This Row],[PROGRAMA]],Hoja1!A:B,2,FALSE)</f>
        <v>2311. Intervención social</v>
      </c>
      <c r="W2046" s="35" t="str">
        <f>MID(Tabla1[[#This Row],[Aplicación]],14,2)</f>
        <v>22</v>
      </c>
      <c r="X2046" s="35" t="str">
        <f>MID(Tabla1[[#This Row],[Aplicación]],14,6)</f>
        <v>22706</v>
      </c>
    </row>
    <row r="2047" spans="1:24" x14ac:dyDescent="0.25">
      <c r="A2047" s="49">
        <v>220220003791</v>
      </c>
      <c r="B2047" s="50" t="s">
        <v>172</v>
      </c>
      <c r="C2047" s="57">
        <v>44608</v>
      </c>
      <c r="D2047" s="49">
        <v>22022002149</v>
      </c>
      <c r="E2047" s="50" t="s">
        <v>3247</v>
      </c>
      <c r="F2047" s="58">
        <v>1362.23</v>
      </c>
      <c r="G2047" s="50" t="s">
        <v>1111</v>
      </c>
      <c r="H2047" s="50" t="s">
        <v>3423</v>
      </c>
      <c r="I2047" s="49" t="s">
        <v>173</v>
      </c>
      <c r="J2047" s="50" t="s">
        <v>167</v>
      </c>
      <c r="K2047" s="50" t="s">
        <v>167</v>
      </c>
      <c r="L2047" s="50" t="s">
        <v>15</v>
      </c>
      <c r="M2047" s="50" t="s">
        <v>13</v>
      </c>
      <c r="N2047" s="50" t="s">
        <v>14</v>
      </c>
      <c r="O2047" s="48" t="s">
        <v>631</v>
      </c>
      <c r="P2047" s="45" t="s">
        <v>453</v>
      </c>
      <c r="Q2047" s="35" t="str">
        <f>MID(Tabla1[[#This Row],[Aplicación]],14,1)</f>
        <v>6</v>
      </c>
      <c r="R2047" s="35" t="s">
        <v>442</v>
      </c>
      <c r="S2047" s="35" t="str">
        <f>MID(Tabla1[[#This Row],[Aplicación]],6,2)</f>
        <v>06</v>
      </c>
      <c r="T2047" s="35" t="str">
        <f>VLOOKUP(Tabla1[[#This Row],[AREA]],Hoja1!A:B,2,FALSE)</f>
        <v>06. Educación, infancia, juventud e igualdad</v>
      </c>
      <c r="U2047" s="35" t="str">
        <f>MID(Tabla1[[#This Row],[Aplicación]],9,4)</f>
        <v>3321</v>
      </c>
      <c r="V2047" s="35" t="str">
        <f>VLOOKUP(Tabla1[[#This Row],[PROGRAMA]],Hoja1!A:B,2,FALSE)</f>
        <v>3321. Bibliotecas públicas</v>
      </c>
      <c r="W2047" s="35" t="str">
        <f>MID(Tabla1[[#This Row],[Aplicación]],14,2)</f>
        <v>62</v>
      </c>
      <c r="X2047" s="35" t="str">
        <f>MID(Tabla1[[#This Row],[Aplicación]],14,6)</f>
        <v>629</v>
      </c>
    </row>
    <row r="2048" spans="1:24" x14ac:dyDescent="0.25">
      <c r="A2048" s="49">
        <v>220210056286</v>
      </c>
      <c r="B2048" s="50" t="s">
        <v>9</v>
      </c>
      <c r="C2048" s="57">
        <v>44620</v>
      </c>
      <c r="D2048" s="49">
        <v>22021005169</v>
      </c>
      <c r="E2048" s="50" t="s">
        <v>1383</v>
      </c>
      <c r="F2048" s="58">
        <v>4527.5600000000004</v>
      </c>
      <c r="G2048" s="50" t="s">
        <v>496</v>
      </c>
      <c r="H2048" s="50" t="s">
        <v>1047</v>
      </c>
      <c r="I2048" s="49" t="s">
        <v>107</v>
      </c>
      <c r="J2048" s="50" t="s">
        <v>522</v>
      </c>
      <c r="K2048" s="50" t="s">
        <v>523</v>
      </c>
      <c r="L2048" s="50" t="s">
        <v>12</v>
      </c>
      <c r="M2048" s="50" t="s">
        <v>13</v>
      </c>
      <c r="N2048" s="50" t="s">
        <v>14</v>
      </c>
      <c r="O2048" s="48" t="s">
        <v>620</v>
      </c>
      <c r="P2048" s="45" t="s">
        <v>453</v>
      </c>
      <c r="Q2048" s="35" t="str">
        <f>MID(Tabla1[[#This Row],[Aplicación]],14,1)</f>
        <v>6</v>
      </c>
      <c r="R2048" s="35" t="s">
        <v>442</v>
      </c>
      <c r="S2048" s="35" t="str">
        <f>MID(Tabla1[[#This Row],[Aplicación]],6,2)</f>
        <v>08</v>
      </c>
      <c r="T2048" s="35" t="str">
        <f>VLOOKUP(Tabla1[[#This Row],[AREA]],Hoja1!A:B,2,FALSE)</f>
        <v>08. Movilidad y espacio urbano</v>
      </c>
      <c r="U2048" s="35" t="str">
        <f>MID(Tabla1[[#This Row],[Aplicación]],9,4)</f>
        <v>1341</v>
      </c>
      <c r="V2048" s="35" t="str">
        <f>VLOOKUP(Tabla1[[#This Row],[PROGRAMA]],Hoja1!A:B,2,FALSE)</f>
        <v>1341. Movilidad</v>
      </c>
      <c r="W2048" s="35" t="str">
        <f>MID(Tabla1[[#This Row],[Aplicación]],14,2)</f>
        <v>61</v>
      </c>
      <c r="X2048" s="35" t="str">
        <f>MID(Tabla1[[#This Row],[Aplicación]],14,6)</f>
        <v>619</v>
      </c>
    </row>
    <row r="2049" spans="1:24" x14ac:dyDescent="0.25">
      <c r="A2049" s="49">
        <v>220220000341</v>
      </c>
      <c r="B2049" s="50" t="s">
        <v>9</v>
      </c>
      <c r="C2049" s="57">
        <v>44585</v>
      </c>
      <c r="D2049" s="49">
        <v>22022001239</v>
      </c>
      <c r="E2049" s="50" t="s">
        <v>1579</v>
      </c>
      <c r="F2049" s="58">
        <v>1750</v>
      </c>
      <c r="G2049" s="50" t="s">
        <v>176</v>
      </c>
      <c r="H2049" s="50" t="s">
        <v>3417</v>
      </c>
      <c r="I2049" s="49" t="s">
        <v>107</v>
      </c>
      <c r="J2049" s="50" t="s">
        <v>109</v>
      </c>
      <c r="K2049" s="50" t="s">
        <v>109</v>
      </c>
      <c r="L2049" s="50" t="s">
        <v>15</v>
      </c>
      <c r="M2049" s="50" t="s">
        <v>10</v>
      </c>
      <c r="N2049" s="50" t="s">
        <v>11</v>
      </c>
      <c r="O2049" s="48" t="s">
        <v>632</v>
      </c>
      <c r="P2049" s="45" t="s">
        <v>453</v>
      </c>
      <c r="Q2049" s="35" t="str">
        <f>MID(Tabla1[[#This Row],[Aplicación]],14,1)</f>
        <v>2</v>
      </c>
      <c r="R2049" s="35" t="s">
        <v>441</v>
      </c>
      <c r="S2049" s="35" t="str">
        <f>MID(Tabla1[[#This Row],[Aplicación]],6,2)</f>
        <v>10</v>
      </c>
      <c r="T2049" s="35" t="str">
        <f>VLOOKUP(Tabla1[[#This Row],[AREA]],Hoja1!A:B,2,FALSE)</f>
        <v>10. Servicios sociales y mediación comunitaria</v>
      </c>
      <c r="U2049" s="35" t="str">
        <f>MID(Tabla1[[#This Row],[Aplicación]],9,4)</f>
        <v>2412</v>
      </c>
      <c r="V2049" s="35" t="str">
        <f>VLOOKUP(Tabla1[[#This Row],[PROGRAMA]],Hoja1!A:B,2,FALSE)</f>
        <v>2412. Formación para el empleo</v>
      </c>
      <c r="W2049" s="35" t="str">
        <f>MID(Tabla1[[#This Row],[Aplicación]],14,2)</f>
        <v>22</v>
      </c>
      <c r="X2049" s="35" t="str">
        <f>MID(Tabla1[[#This Row],[Aplicación]],14,6)</f>
        <v>22199</v>
      </c>
    </row>
    <row r="2050" spans="1:24" x14ac:dyDescent="0.25">
      <c r="A2050" s="49">
        <v>220220002264</v>
      </c>
      <c r="B2050" s="50" t="s">
        <v>9</v>
      </c>
      <c r="C2050" s="57">
        <v>44592</v>
      </c>
      <c r="D2050" s="49">
        <v>22022001746</v>
      </c>
      <c r="E2050" s="50" t="s">
        <v>1488</v>
      </c>
      <c r="F2050" s="58">
        <v>208.58</v>
      </c>
      <c r="G2050" s="50" t="s">
        <v>44</v>
      </c>
      <c r="H2050" s="50" t="s">
        <v>3421</v>
      </c>
      <c r="I2050" s="49" t="s">
        <v>107</v>
      </c>
      <c r="J2050" s="50" t="s">
        <v>109</v>
      </c>
      <c r="K2050" s="50" t="s">
        <v>109</v>
      </c>
      <c r="L2050" s="50" t="s">
        <v>12</v>
      </c>
      <c r="M2050" s="50" t="s">
        <v>10</v>
      </c>
      <c r="N2050" s="50" t="s">
        <v>11</v>
      </c>
      <c r="O2050" s="48" t="s">
        <v>632</v>
      </c>
      <c r="P2050" s="45" t="s">
        <v>453</v>
      </c>
      <c r="Q2050" s="35" t="str">
        <f>MID(Tabla1[[#This Row],[Aplicación]],14,1)</f>
        <v>2</v>
      </c>
      <c r="R2050" s="35" t="s">
        <v>441</v>
      </c>
      <c r="S2050" s="35" t="str">
        <f>MID(Tabla1[[#This Row],[Aplicación]],6,2)</f>
        <v>10</v>
      </c>
      <c r="T2050" s="35" t="str">
        <f>VLOOKUP(Tabla1[[#This Row],[AREA]],Hoja1!A:B,2,FALSE)</f>
        <v>10. Servicios sociales y mediación comunitaria</v>
      </c>
      <c r="U2050" s="35" t="str">
        <f>MID(Tabla1[[#This Row],[Aplicación]],9,4)</f>
        <v>2312</v>
      </c>
      <c r="V2050" s="35" t="str">
        <f>VLOOKUP(Tabla1[[#This Row],[PROGRAMA]],Hoja1!A:B,2,FALSE)</f>
        <v>2312. Iniciativas sociales</v>
      </c>
      <c r="W2050" s="35" t="str">
        <f>MID(Tabla1[[#This Row],[Aplicación]],14,2)</f>
        <v>21</v>
      </c>
      <c r="X2050" s="35" t="str">
        <f>MID(Tabla1[[#This Row],[Aplicación]],14,6)</f>
        <v>213</v>
      </c>
    </row>
    <row r="2051" spans="1:24" x14ac:dyDescent="0.25">
      <c r="A2051" s="49">
        <v>220220000341</v>
      </c>
      <c r="B2051" s="50" t="s">
        <v>9</v>
      </c>
      <c r="C2051" s="57">
        <v>44585</v>
      </c>
      <c r="D2051" s="49">
        <v>22022001237</v>
      </c>
      <c r="E2051" s="50" t="s">
        <v>1579</v>
      </c>
      <c r="F2051" s="58">
        <v>1000</v>
      </c>
      <c r="G2051" s="50" t="s">
        <v>176</v>
      </c>
      <c r="H2051" s="50" t="s">
        <v>3417</v>
      </c>
      <c r="I2051" s="49" t="s">
        <v>107</v>
      </c>
      <c r="J2051" s="50" t="s">
        <v>109</v>
      </c>
      <c r="K2051" s="50" t="s">
        <v>109</v>
      </c>
      <c r="L2051" s="50" t="s">
        <v>15</v>
      </c>
      <c r="M2051" s="50" t="s">
        <v>10</v>
      </c>
      <c r="N2051" s="50" t="s">
        <v>11</v>
      </c>
      <c r="O2051" s="48" t="s">
        <v>632</v>
      </c>
      <c r="P2051" s="45" t="s">
        <v>453</v>
      </c>
      <c r="Q2051" s="35" t="str">
        <f>MID(Tabla1[[#This Row],[Aplicación]],14,1)</f>
        <v>2</v>
      </c>
      <c r="R2051" s="35" t="s">
        <v>441</v>
      </c>
      <c r="S2051" s="35" t="str">
        <f>MID(Tabla1[[#This Row],[Aplicación]],6,2)</f>
        <v>10</v>
      </c>
      <c r="T2051" s="35" t="str">
        <f>VLOOKUP(Tabla1[[#This Row],[AREA]],Hoja1!A:B,2,FALSE)</f>
        <v>10. Servicios sociales y mediación comunitaria</v>
      </c>
      <c r="U2051" s="35" t="str">
        <f>MID(Tabla1[[#This Row],[Aplicación]],9,4)</f>
        <v>2412</v>
      </c>
      <c r="V2051" s="35" t="str">
        <f>VLOOKUP(Tabla1[[#This Row],[PROGRAMA]],Hoja1!A:B,2,FALSE)</f>
        <v>2412. Formación para el empleo</v>
      </c>
      <c r="W2051" s="35" t="str">
        <f>MID(Tabla1[[#This Row],[Aplicación]],14,2)</f>
        <v>22</v>
      </c>
      <c r="X2051" s="35" t="str">
        <f>MID(Tabla1[[#This Row],[Aplicación]],14,6)</f>
        <v>22199</v>
      </c>
    </row>
    <row r="2052" spans="1:24" x14ac:dyDescent="0.25">
      <c r="A2052" s="49">
        <v>220220000341</v>
      </c>
      <c r="B2052" s="50" t="s">
        <v>9</v>
      </c>
      <c r="C2052" s="57">
        <v>44585</v>
      </c>
      <c r="D2052" s="49">
        <v>22022001240</v>
      </c>
      <c r="E2052" s="50" t="s">
        <v>1579</v>
      </c>
      <c r="F2052" s="58">
        <v>500</v>
      </c>
      <c r="G2052" s="50" t="s">
        <v>176</v>
      </c>
      <c r="H2052" s="50" t="s">
        <v>3417</v>
      </c>
      <c r="I2052" s="49" t="s">
        <v>107</v>
      </c>
      <c r="J2052" s="50" t="s">
        <v>109</v>
      </c>
      <c r="K2052" s="50" t="s">
        <v>109</v>
      </c>
      <c r="L2052" s="50" t="s">
        <v>15</v>
      </c>
      <c r="M2052" s="50" t="s">
        <v>10</v>
      </c>
      <c r="N2052" s="50" t="s">
        <v>11</v>
      </c>
      <c r="O2052" s="48" t="s">
        <v>632</v>
      </c>
      <c r="P2052" s="45" t="s">
        <v>453</v>
      </c>
      <c r="Q2052" s="35" t="str">
        <f>MID(Tabla1[[#This Row],[Aplicación]],14,1)</f>
        <v>2</v>
      </c>
      <c r="R2052" s="35" t="s">
        <v>441</v>
      </c>
      <c r="S2052" s="35" t="str">
        <f>MID(Tabla1[[#This Row],[Aplicación]],6,2)</f>
        <v>10</v>
      </c>
      <c r="T2052" s="35" t="str">
        <f>VLOOKUP(Tabla1[[#This Row],[AREA]],Hoja1!A:B,2,FALSE)</f>
        <v>10. Servicios sociales y mediación comunitaria</v>
      </c>
      <c r="U2052" s="35" t="str">
        <f>MID(Tabla1[[#This Row],[Aplicación]],9,4)</f>
        <v>2412</v>
      </c>
      <c r="V2052" s="35" t="str">
        <f>VLOOKUP(Tabla1[[#This Row],[PROGRAMA]],Hoja1!A:B,2,FALSE)</f>
        <v>2412. Formación para el empleo</v>
      </c>
      <c r="W2052" s="35" t="str">
        <f>MID(Tabla1[[#This Row],[Aplicación]],14,2)</f>
        <v>22</v>
      </c>
      <c r="X2052" s="35" t="str">
        <f>MID(Tabla1[[#This Row],[Aplicación]],14,6)</f>
        <v>22199</v>
      </c>
    </row>
    <row r="2053" spans="1:24" x14ac:dyDescent="0.25">
      <c r="A2053" s="49">
        <v>220219001139</v>
      </c>
      <c r="B2053" s="50" t="s">
        <v>9</v>
      </c>
      <c r="C2053" s="57">
        <v>44562</v>
      </c>
      <c r="D2053" s="49">
        <v>22022000302</v>
      </c>
      <c r="E2053" s="50" t="s">
        <v>1502</v>
      </c>
      <c r="F2053" s="58">
        <v>207.08</v>
      </c>
      <c r="G2053" s="50" t="s">
        <v>1166</v>
      </c>
      <c r="H2053" s="50" t="s">
        <v>3424</v>
      </c>
      <c r="I2053" s="49" t="s">
        <v>107</v>
      </c>
      <c r="J2053" s="50" t="s">
        <v>539</v>
      </c>
      <c r="K2053" s="50" t="s">
        <v>109</v>
      </c>
      <c r="L2053" s="50" t="s">
        <v>12</v>
      </c>
      <c r="M2053" s="50" t="s">
        <v>13</v>
      </c>
      <c r="N2053" s="50" t="s">
        <v>14</v>
      </c>
      <c r="O2053" s="48" t="s">
        <v>620</v>
      </c>
      <c r="P2053" s="45" t="s">
        <v>453</v>
      </c>
      <c r="Q2053" s="35" t="str">
        <f>MID(Tabla1[[#This Row],[Aplicación]],14,1)</f>
        <v>2</v>
      </c>
      <c r="R2053" s="35" t="s">
        <v>441</v>
      </c>
      <c r="S2053" s="35" t="str">
        <f>MID(Tabla1[[#This Row],[Aplicación]],6,2)</f>
        <v>10</v>
      </c>
      <c r="T2053" s="35" t="str">
        <f>VLOOKUP(Tabla1[[#This Row],[AREA]],Hoja1!A:B,2,FALSE)</f>
        <v>10. Servicios sociales y mediación comunitaria</v>
      </c>
      <c r="U2053" s="35" t="str">
        <f>MID(Tabla1[[#This Row],[Aplicación]],9,4)</f>
        <v>2412</v>
      </c>
      <c r="V2053" s="35" t="str">
        <f>VLOOKUP(Tabla1[[#This Row],[PROGRAMA]],Hoja1!A:B,2,FALSE)</f>
        <v>2412. Formación para el empleo</v>
      </c>
      <c r="W2053" s="35" t="str">
        <f>MID(Tabla1[[#This Row],[Aplicación]],14,2)</f>
        <v>21</v>
      </c>
      <c r="X2053" s="35" t="str">
        <f>MID(Tabla1[[#This Row],[Aplicación]],14,6)</f>
        <v>213</v>
      </c>
    </row>
    <row r="2054" spans="1:24" x14ac:dyDescent="0.25">
      <c r="A2054" s="49">
        <v>220220007104</v>
      </c>
      <c r="B2054" s="50" t="s">
        <v>9</v>
      </c>
      <c r="C2054" s="57">
        <v>44623</v>
      </c>
      <c r="D2054" s="49">
        <v>22022002523</v>
      </c>
      <c r="E2054" s="50" t="s">
        <v>1868</v>
      </c>
      <c r="F2054" s="58">
        <v>200</v>
      </c>
      <c r="G2054" s="50" t="s">
        <v>3425</v>
      </c>
      <c r="H2054" s="50" t="s">
        <v>3426</v>
      </c>
      <c r="I2054" s="49" t="s">
        <v>107</v>
      </c>
      <c r="J2054" s="50" t="s">
        <v>109</v>
      </c>
      <c r="K2054" s="50" t="s">
        <v>109</v>
      </c>
      <c r="L2054" s="50" t="s">
        <v>15</v>
      </c>
      <c r="M2054" s="50" t="s">
        <v>10</v>
      </c>
      <c r="N2054" s="50" t="s">
        <v>11</v>
      </c>
      <c r="O2054" s="48" t="s">
        <v>632</v>
      </c>
      <c r="P2054" s="45" t="s">
        <v>453</v>
      </c>
      <c r="Q2054" s="35" t="str">
        <f>MID(Tabla1[[#This Row],[Aplicación]],14,1)</f>
        <v>2</v>
      </c>
      <c r="R2054" s="35" t="s">
        <v>441</v>
      </c>
      <c r="S2054" s="35" t="str">
        <f>MID(Tabla1[[#This Row],[Aplicación]],6,2)</f>
        <v>10</v>
      </c>
      <c r="T2054" s="35" t="str">
        <f>VLOOKUP(Tabla1[[#This Row],[AREA]],Hoja1!A:B,2,FALSE)</f>
        <v>10. Servicios sociales y mediación comunitaria</v>
      </c>
      <c r="U2054" s="35" t="str">
        <f>MID(Tabla1[[#This Row],[Aplicación]],9,4)</f>
        <v>2311</v>
      </c>
      <c r="V2054" s="35" t="str">
        <f>VLOOKUP(Tabla1[[#This Row],[PROGRAMA]],Hoja1!A:B,2,FALSE)</f>
        <v>2311. Intervención social</v>
      </c>
      <c r="W2054" s="35" t="str">
        <f>MID(Tabla1[[#This Row],[Aplicación]],14,2)</f>
        <v>22</v>
      </c>
      <c r="X2054" s="35" t="str">
        <f>MID(Tabla1[[#This Row],[Aplicación]],14,6)</f>
        <v>22699</v>
      </c>
    </row>
    <row r="2055" spans="1:24" x14ac:dyDescent="0.25">
      <c r="A2055" s="49">
        <v>220220004094</v>
      </c>
      <c r="B2055" s="50" t="s">
        <v>172</v>
      </c>
      <c r="C2055" s="57">
        <v>44610</v>
      </c>
      <c r="D2055" s="49">
        <v>22022001643</v>
      </c>
      <c r="E2055" s="50" t="s">
        <v>2116</v>
      </c>
      <c r="F2055" s="58">
        <v>193.6</v>
      </c>
      <c r="G2055" s="50" t="s">
        <v>130</v>
      </c>
      <c r="H2055" s="50" t="s">
        <v>3427</v>
      </c>
      <c r="I2055" s="49" t="s">
        <v>173</v>
      </c>
      <c r="J2055" s="50" t="s">
        <v>128</v>
      </c>
      <c r="K2055" s="50" t="s">
        <v>128</v>
      </c>
      <c r="L2055" s="50" t="s">
        <v>15</v>
      </c>
      <c r="M2055" s="50" t="s">
        <v>13</v>
      </c>
      <c r="N2055" s="50" t="s">
        <v>14</v>
      </c>
      <c r="O2055" s="48" t="s">
        <v>631</v>
      </c>
      <c r="P2055" s="45" t="s">
        <v>453</v>
      </c>
      <c r="Q2055" s="35" t="str">
        <f>MID(Tabla1[[#This Row],[Aplicación]],14,1)</f>
        <v>2</v>
      </c>
      <c r="R2055" s="35" t="s">
        <v>441</v>
      </c>
      <c r="S2055" s="35" t="str">
        <f>MID(Tabla1[[#This Row],[Aplicación]],6,2)</f>
        <v>06</v>
      </c>
      <c r="T2055" s="35" t="str">
        <f>VLOOKUP(Tabla1[[#This Row],[AREA]],Hoja1!A:B,2,FALSE)</f>
        <v>06. Educación, infancia, juventud e igualdad</v>
      </c>
      <c r="U2055" s="35" t="str">
        <f>MID(Tabla1[[#This Row],[Aplicación]],9,4)</f>
        <v>3321</v>
      </c>
      <c r="V2055" s="35" t="str">
        <f>VLOOKUP(Tabla1[[#This Row],[PROGRAMA]],Hoja1!A:B,2,FALSE)</f>
        <v>3321. Bibliotecas públicas</v>
      </c>
      <c r="W2055" s="35" t="str">
        <f>MID(Tabla1[[#This Row],[Aplicación]],14,2)</f>
        <v>21</v>
      </c>
      <c r="X2055" s="35" t="str">
        <f>MID(Tabla1[[#This Row],[Aplicación]],14,6)</f>
        <v>212</v>
      </c>
    </row>
    <row r="2056" spans="1:24" x14ac:dyDescent="0.25">
      <c r="A2056" s="49">
        <v>220219000218</v>
      </c>
      <c r="B2056" s="50" t="s">
        <v>9</v>
      </c>
      <c r="C2056" s="57">
        <v>44562</v>
      </c>
      <c r="D2056" s="49">
        <v>22022000051</v>
      </c>
      <c r="E2056" s="50" t="s">
        <v>1421</v>
      </c>
      <c r="F2056" s="58">
        <v>5009.3999999999996</v>
      </c>
      <c r="G2056" s="50" t="s">
        <v>595</v>
      </c>
      <c r="H2056" s="50" t="s">
        <v>3428</v>
      </c>
      <c r="I2056" s="49" t="s">
        <v>107</v>
      </c>
      <c r="J2056" s="50" t="s">
        <v>109</v>
      </c>
      <c r="K2056" s="50" t="s">
        <v>109</v>
      </c>
      <c r="L2056" s="50" t="s">
        <v>12</v>
      </c>
      <c r="M2056" s="50" t="s">
        <v>13</v>
      </c>
      <c r="N2056" s="50" t="s">
        <v>16</v>
      </c>
      <c r="O2056" s="48" t="s">
        <v>620</v>
      </c>
      <c r="P2056" s="45" t="s">
        <v>453</v>
      </c>
      <c r="Q2056" s="35" t="str">
        <f>MID(Tabla1[[#This Row],[Aplicación]],14,1)</f>
        <v>2</v>
      </c>
      <c r="R2056" s="35" t="s">
        <v>441</v>
      </c>
      <c r="S2056" s="35" t="str">
        <f>MID(Tabla1[[#This Row],[Aplicación]],6,2)</f>
        <v>03</v>
      </c>
      <c r="T2056" s="35" t="str">
        <f>VLOOKUP(Tabla1[[#This Row],[AREA]],Hoja1!A:B,2,FALSE)</f>
        <v>03. Participación ciudadana y deportes</v>
      </c>
      <c r="U2056" s="35" t="str">
        <f>MID(Tabla1[[#This Row],[Aplicación]],9,4)</f>
        <v>9241</v>
      </c>
      <c r="V2056" s="35" t="str">
        <f>VLOOKUP(Tabla1[[#This Row],[PROGRAMA]],Hoja1!A:B,2,FALSE)</f>
        <v>9241. Participación ciudadana</v>
      </c>
      <c r="W2056" s="35" t="str">
        <f>MID(Tabla1[[#This Row],[Aplicación]],14,2)</f>
        <v>22</v>
      </c>
      <c r="X2056" s="35" t="str">
        <f>MID(Tabla1[[#This Row],[Aplicación]],14,6)</f>
        <v>22700</v>
      </c>
    </row>
    <row r="2057" spans="1:24" x14ac:dyDescent="0.25">
      <c r="A2057" s="49">
        <v>220219000527</v>
      </c>
      <c r="B2057" s="50" t="s">
        <v>9</v>
      </c>
      <c r="C2057" s="57">
        <v>44562</v>
      </c>
      <c r="D2057" s="49">
        <v>22022001995</v>
      </c>
      <c r="E2057" s="50" t="s">
        <v>1676</v>
      </c>
      <c r="F2057" s="58">
        <v>11664.4</v>
      </c>
      <c r="G2057" s="50" t="s">
        <v>500</v>
      </c>
      <c r="H2057" s="50" t="s">
        <v>3429</v>
      </c>
      <c r="I2057" s="49" t="s">
        <v>107</v>
      </c>
      <c r="J2057" s="50" t="s">
        <v>128</v>
      </c>
      <c r="K2057" s="50" t="s">
        <v>128</v>
      </c>
      <c r="L2057" s="50" t="s">
        <v>15</v>
      </c>
      <c r="M2057" s="50" t="s">
        <v>13</v>
      </c>
      <c r="N2057" s="50" t="s">
        <v>16</v>
      </c>
      <c r="O2057" s="48" t="s">
        <v>620</v>
      </c>
      <c r="P2057" s="45" t="s">
        <v>453</v>
      </c>
      <c r="Q2057" s="35" t="str">
        <f>MID(Tabla1[[#This Row],[Aplicación]],14,1)</f>
        <v>6</v>
      </c>
      <c r="R2057" s="35" t="s">
        <v>442</v>
      </c>
      <c r="S2057" s="35" t="str">
        <f>MID(Tabla1[[#This Row],[Aplicación]],6,2)</f>
        <v>04</v>
      </c>
      <c r="T2057" s="35" t="str">
        <f>VLOOKUP(Tabla1[[#This Row],[AREA]],Hoja1!A:B,2,FALSE)</f>
        <v>04. Planificación y recursos</v>
      </c>
      <c r="U2057" s="35" t="str">
        <f>MID(Tabla1[[#This Row],[Aplicación]],9,4)</f>
        <v>9204</v>
      </c>
      <c r="V2057" s="35" t="str">
        <f>VLOOKUP(Tabla1[[#This Row],[PROGRAMA]],Hoja1!A:B,2,FALSE)</f>
        <v>9204. Tecnologías de la información y comunicación</v>
      </c>
      <c r="W2057" s="35" t="str">
        <f>MID(Tabla1[[#This Row],[Aplicación]],14,2)</f>
        <v>64</v>
      </c>
      <c r="X2057" s="35" t="str">
        <f>MID(Tabla1[[#This Row],[Aplicación]],14,6)</f>
        <v>641</v>
      </c>
    </row>
    <row r="2058" spans="1:24" x14ac:dyDescent="0.25">
      <c r="A2058" s="49">
        <v>220209000747</v>
      </c>
      <c r="B2058" s="50" t="s">
        <v>9</v>
      </c>
      <c r="C2058" s="57">
        <v>44562</v>
      </c>
      <c r="D2058" s="49">
        <v>22022000268</v>
      </c>
      <c r="E2058" s="50" t="s">
        <v>1475</v>
      </c>
      <c r="F2058" s="58">
        <v>1167.8800000000001</v>
      </c>
      <c r="G2058" s="50" t="s">
        <v>836</v>
      </c>
      <c r="H2058" s="50" t="s">
        <v>837</v>
      </c>
      <c r="I2058" s="49" t="s">
        <v>107</v>
      </c>
      <c r="J2058" s="50" t="s">
        <v>597</v>
      </c>
      <c r="K2058" s="50" t="s">
        <v>108</v>
      </c>
      <c r="L2058" s="50" t="s">
        <v>12</v>
      </c>
      <c r="M2058" s="50" t="s">
        <v>13</v>
      </c>
      <c r="N2058" s="50" t="s">
        <v>16</v>
      </c>
      <c r="O2058" s="48" t="s">
        <v>620</v>
      </c>
      <c r="P2058" s="45" t="s">
        <v>453</v>
      </c>
      <c r="Q2058" s="35" t="str">
        <f>MID(Tabla1[[#This Row],[Aplicación]],14,1)</f>
        <v>2</v>
      </c>
      <c r="R2058" s="35" t="s">
        <v>441</v>
      </c>
      <c r="S2058" s="35" t="str">
        <f>MID(Tabla1[[#This Row],[Aplicación]],6,2)</f>
        <v>06</v>
      </c>
      <c r="T2058" s="35" t="str">
        <f>VLOOKUP(Tabla1[[#This Row],[AREA]],Hoja1!A:B,2,FALSE)</f>
        <v>06. Educación, infancia, juventud e igualdad</v>
      </c>
      <c r="U2058" s="35" t="str">
        <f>MID(Tabla1[[#This Row],[Aplicación]],9,4)</f>
        <v>3232</v>
      </c>
      <c r="V2058" s="35" t="str">
        <f>VLOOKUP(Tabla1[[#This Row],[PROGRAMA]],Hoja1!A:B,2,FALSE)</f>
        <v>3232. Conservación y mantenimiento centros educación infantil y primaria</v>
      </c>
      <c r="W2058" s="35" t="str">
        <f>MID(Tabla1[[#This Row],[Aplicación]],14,2)</f>
        <v>21</v>
      </c>
      <c r="X2058" s="35" t="str">
        <f>MID(Tabla1[[#This Row],[Aplicación]],14,6)</f>
        <v>213</v>
      </c>
    </row>
    <row r="2059" spans="1:24" x14ac:dyDescent="0.25">
      <c r="A2059" s="49">
        <v>220209000756</v>
      </c>
      <c r="B2059" s="50" t="s">
        <v>9</v>
      </c>
      <c r="C2059" s="57">
        <v>44562</v>
      </c>
      <c r="D2059" s="49">
        <v>22022000277</v>
      </c>
      <c r="E2059" s="50" t="s">
        <v>1759</v>
      </c>
      <c r="F2059" s="58">
        <v>64.89</v>
      </c>
      <c r="G2059" s="50" t="s">
        <v>836</v>
      </c>
      <c r="H2059" s="50" t="s">
        <v>841</v>
      </c>
      <c r="I2059" s="49" t="s">
        <v>107</v>
      </c>
      <c r="J2059" s="50" t="s">
        <v>597</v>
      </c>
      <c r="K2059" s="50" t="s">
        <v>108</v>
      </c>
      <c r="L2059" s="50" t="s">
        <v>12</v>
      </c>
      <c r="M2059" s="50" t="s">
        <v>13</v>
      </c>
      <c r="N2059" s="50" t="s">
        <v>14</v>
      </c>
      <c r="O2059" s="48" t="s">
        <v>620</v>
      </c>
      <c r="P2059" s="45" t="s">
        <v>453</v>
      </c>
      <c r="Q2059" s="35" t="str">
        <f>MID(Tabla1[[#This Row],[Aplicación]],14,1)</f>
        <v>2</v>
      </c>
      <c r="R2059" s="35" t="s">
        <v>441</v>
      </c>
      <c r="S2059" s="35" t="str">
        <f>MID(Tabla1[[#This Row],[Aplicación]],6,2)</f>
        <v>02</v>
      </c>
      <c r="T2059" s="35" t="str">
        <f>VLOOKUP(Tabla1[[#This Row],[AREA]],Hoja1!A:B,2,FALSE)</f>
        <v>02. Planeamiento urbanístico y vivienda</v>
      </c>
      <c r="U2059" s="35" t="str">
        <f>MID(Tabla1[[#This Row],[Aplicación]],9,4)</f>
        <v>9332</v>
      </c>
      <c r="V2059" s="35" t="str">
        <f>VLOOKUP(Tabla1[[#This Row],[PROGRAMA]],Hoja1!A:B,2,FALSE)</f>
        <v>9332. Mantenimiento de edificios e instalaciones municipales</v>
      </c>
      <c r="W2059" s="35" t="str">
        <f>MID(Tabla1[[#This Row],[Aplicación]],14,2)</f>
        <v>21</v>
      </c>
      <c r="X2059" s="35" t="str">
        <f>MID(Tabla1[[#This Row],[Aplicación]],14,6)</f>
        <v>213</v>
      </c>
    </row>
    <row r="2060" spans="1:24" x14ac:dyDescent="0.25">
      <c r="A2060" s="49">
        <v>220209000749</v>
      </c>
      <c r="B2060" s="50" t="s">
        <v>9</v>
      </c>
      <c r="C2060" s="57">
        <v>44562</v>
      </c>
      <c r="D2060" s="49">
        <v>22022000270</v>
      </c>
      <c r="E2060" s="50" t="s">
        <v>1910</v>
      </c>
      <c r="F2060" s="58">
        <v>64.88</v>
      </c>
      <c r="G2060" s="50" t="s">
        <v>836</v>
      </c>
      <c r="H2060" s="50" t="s">
        <v>838</v>
      </c>
      <c r="I2060" s="49" t="s">
        <v>107</v>
      </c>
      <c r="J2060" s="50" t="s">
        <v>597</v>
      </c>
      <c r="K2060" s="50" t="s">
        <v>108</v>
      </c>
      <c r="L2060" s="50" t="s">
        <v>12</v>
      </c>
      <c r="M2060" s="50" t="s">
        <v>13</v>
      </c>
      <c r="N2060" s="50" t="s">
        <v>16</v>
      </c>
      <c r="O2060" s="48" t="s">
        <v>620</v>
      </c>
      <c r="P2060" s="45" t="s">
        <v>453</v>
      </c>
      <c r="Q2060" s="35" t="str">
        <f>MID(Tabla1[[#This Row],[Aplicación]],14,1)</f>
        <v>2</v>
      </c>
      <c r="R2060" s="35" t="s">
        <v>441</v>
      </c>
      <c r="S2060" s="35" t="str">
        <f>MID(Tabla1[[#This Row],[Aplicación]],6,2)</f>
        <v>06</v>
      </c>
      <c r="T2060" s="35" t="str">
        <f>VLOOKUP(Tabla1[[#This Row],[AREA]],Hoja1!A:B,2,FALSE)</f>
        <v>06. Educación, infancia, juventud e igualdad</v>
      </c>
      <c r="U2060" s="35" t="str">
        <f>MID(Tabla1[[#This Row],[Aplicación]],9,4)</f>
        <v>3261</v>
      </c>
      <c r="V2060" s="35" t="str">
        <f>VLOOKUP(Tabla1[[#This Row],[PROGRAMA]],Hoja1!A:B,2,FALSE)</f>
        <v>3261. Servicios complementarios de educación</v>
      </c>
      <c r="W2060" s="35" t="str">
        <f>MID(Tabla1[[#This Row],[Aplicación]],14,2)</f>
        <v>21</v>
      </c>
      <c r="X2060" s="35" t="str">
        <f>MID(Tabla1[[#This Row],[Aplicación]],14,6)</f>
        <v>213</v>
      </c>
    </row>
    <row r="2061" spans="1:24" x14ac:dyDescent="0.25">
      <c r="A2061" s="49">
        <v>220209000754</v>
      </c>
      <c r="B2061" s="50" t="s">
        <v>9</v>
      </c>
      <c r="C2061" s="57">
        <v>44562</v>
      </c>
      <c r="D2061" s="49">
        <v>22022000275</v>
      </c>
      <c r="E2061" s="50" t="s">
        <v>1911</v>
      </c>
      <c r="F2061" s="58">
        <v>64.88</v>
      </c>
      <c r="G2061" s="50" t="s">
        <v>836</v>
      </c>
      <c r="H2061" s="50" t="s">
        <v>840</v>
      </c>
      <c r="I2061" s="49" t="s">
        <v>107</v>
      </c>
      <c r="J2061" s="50" t="s">
        <v>597</v>
      </c>
      <c r="K2061" s="50" t="s">
        <v>108</v>
      </c>
      <c r="L2061" s="50" t="s">
        <v>12</v>
      </c>
      <c r="M2061" s="50" t="s">
        <v>13</v>
      </c>
      <c r="N2061" s="50" t="s">
        <v>16</v>
      </c>
      <c r="O2061" s="48" t="s">
        <v>620</v>
      </c>
      <c r="P2061" s="45" t="s">
        <v>453</v>
      </c>
      <c r="Q2061" s="35" t="str">
        <f>MID(Tabla1[[#This Row],[Aplicación]],14,1)</f>
        <v>2</v>
      </c>
      <c r="R2061" s="35" t="s">
        <v>441</v>
      </c>
      <c r="S2061" s="35" t="str">
        <f>MID(Tabla1[[#This Row],[Aplicación]],6,2)</f>
        <v>06</v>
      </c>
      <c r="T2061" s="35" t="str">
        <f>VLOOKUP(Tabla1[[#This Row],[AREA]],Hoja1!A:B,2,FALSE)</f>
        <v>06. Educación, infancia, juventud e igualdad</v>
      </c>
      <c r="U2061" s="35" t="str">
        <f>MID(Tabla1[[#This Row],[Aplicación]],9,4)</f>
        <v>2314</v>
      </c>
      <c r="V2061" s="35" t="str">
        <f>VLOOKUP(Tabla1[[#This Row],[PROGRAMA]],Hoja1!A:B,2,FALSE)</f>
        <v>2314. Centro de programas juveniles</v>
      </c>
      <c r="W2061" s="35" t="str">
        <f>MID(Tabla1[[#This Row],[Aplicación]],14,2)</f>
        <v>21</v>
      </c>
      <c r="X2061" s="35" t="str">
        <f>MID(Tabla1[[#This Row],[Aplicación]],14,6)</f>
        <v>213</v>
      </c>
    </row>
    <row r="2062" spans="1:24" x14ac:dyDescent="0.25">
      <c r="A2062" s="49">
        <v>220209000751</v>
      </c>
      <c r="B2062" s="50" t="s">
        <v>9</v>
      </c>
      <c r="C2062" s="57">
        <v>44562</v>
      </c>
      <c r="D2062" s="49">
        <v>22022000272</v>
      </c>
      <c r="E2062" s="50" t="s">
        <v>1714</v>
      </c>
      <c r="F2062" s="58">
        <v>0.01</v>
      </c>
      <c r="G2062" s="50" t="s">
        <v>836</v>
      </c>
      <c r="H2062" s="50" t="s">
        <v>839</v>
      </c>
      <c r="I2062" s="49" t="s">
        <v>107</v>
      </c>
      <c r="J2062" s="50" t="s">
        <v>597</v>
      </c>
      <c r="K2062" s="50" t="s">
        <v>108</v>
      </c>
      <c r="L2062" s="50" t="s">
        <v>12</v>
      </c>
      <c r="M2062" s="50" t="s">
        <v>13</v>
      </c>
      <c r="N2062" s="50" t="s">
        <v>16</v>
      </c>
      <c r="O2062" s="48" t="s">
        <v>620</v>
      </c>
      <c r="P2062" s="45" t="s">
        <v>453</v>
      </c>
      <c r="Q2062" s="35" t="str">
        <f>MID(Tabla1[[#This Row],[Aplicación]],14,1)</f>
        <v>2</v>
      </c>
      <c r="R2062" s="35" t="s">
        <v>441</v>
      </c>
      <c r="S2062" s="35" t="str">
        <f>MID(Tabla1[[#This Row],[Aplicación]],6,2)</f>
        <v>06</v>
      </c>
      <c r="T2062" s="35" t="str">
        <f>VLOOKUP(Tabla1[[#This Row],[AREA]],Hoja1!A:B,2,FALSE)</f>
        <v>06. Educación, infancia, juventud e igualdad</v>
      </c>
      <c r="U2062" s="35" t="str">
        <f>MID(Tabla1[[#This Row],[Aplicación]],9,4)</f>
        <v>3231</v>
      </c>
      <c r="V2062" s="35" t="str">
        <f>VLOOKUP(Tabla1[[#This Row],[PROGRAMA]],Hoja1!A:B,2,FALSE)</f>
        <v>3231. Escuelas infantiles</v>
      </c>
      <c r="W2062" s="35" t="str">
        <f>MID(Tabla1[[#This Row],[Aplicación]],14,2)</f>
        <v>21</v>
      </c>
      <c r="X2062" s="35" t="str">
        <f>MID(Tabla1[[#This Row],[Aplicación]],14,6)</f>
        <v>213</v>
      </c>
    </row>
    <row r="2063" spans="1:24" x14ac:dyDescent="0.25">
      <c r="A2063" s="49">
        <v>220220000401</v>
      </c>
      <c r="B2063" s="50" t="s">
        <v>9</v>
      </c>
      <c r="C2063" s="57">
        <v>44586</v>
      </c>
      <c r="D2063" s="49">
        <v>22022000023</v>
      </c>
      <c r="E2063" s="50" t="s">
        <v>1502</v>
      </c>
      <c r="F2063" s="58">
        <v>162.74</v>
      </c>
      <c r="G2063" s="50" t="s">
        <v>44</v>
      </c>
      <c r="H2063" s="50" t="s">
        <v>3430</v>
      </c>
      <c r="I2063" s="49" t="s">
        <v>107</v>
      </c>
      <c r="J2063" s="50" t="s">
        <v>109</v>
      </c>
      <c r="K2063" s="50" t="s">
        <v>109</v>
      </c>
      <c r="L2063" s="50" t="s">
        <v>12</v>
      </c>
      <c r="M2063" s="50" t="s">
        <v>10</v>
      </c>
      <c r="N2063" s="50" t="s">
        <v>11</v>
      </c>
      <c r="O2063" s="48" t="s">
        <v>632</v>
      </c>
      <c r="P2063" s="45" t="s">
        <v>453</v>
      </c>
      <c r="Q2063" s="35" t="str">
        <f>MID(Tabla1[[#This Row],[Aplicación]],14,1)</f>
        <v>2</v>
      </c>
      <c r="R2063" s="35" t="s">
        <v>441</v>
      </c>
      <c r="S2063" s="35" t="str">
        <f>MID(Tabla1[[#This Row],[Aplicación]],6,2)</f>
        <v>10</v>
      </c>
      <c r="T2063" s="35" t="str">
        <f>VLOOKUP(Tabla1[[#This Row],[AREA]],Hoja1!A:B,2,FALSE)</f>
        <v>10. Servicios sociales y mediación comunitaria</v>
      </c>
      <c r="U2063" s="35" t="str">
        <f>MID(Tabla1[[#This Row],[Aplicación]],9,4)</f>
        <v>2412</v>
      </c>
      <c r="V2063" s="35" t="str">
        <f>VLOOKUP(Tabla1[[#This Row],[PROGRAMA]],Hoja1!A:B,2,FALSE)</f>
        <v>2412. Formación para el empleo</v>
      </c>
      <c r="W2063" s="35" t="str">
        <f>MID(Tabla1[[#This Row],[Aplicación]],14,2)</f>
        <v>21</v>
      </c>
      <c r="X2063" s="35" t="str">
        <f>MID(Tabla1[[#This Row],[Aplicación]],14,6)</f>
        <v>213</v>
      </c>
    </row>
    <row r="2064" spans="1:24" x14ac:dyDescent="0.25">
      <c r="A2064" s="49">
        <v>220220000404</v>
      </c>
      <c r="B2064" s="50" t="s">
        <v>9</v>
      </c>
      <c r="C2064" s="57">
        <v>44586</v>
      </c>
      <c r="D2064" s="49">
        <v>22022000057</v>
      </c>
      <c r="E2064" s="50" t="s">
        <v>1502</v>
      </c>
      <c r="F2064" s="58">
        <v>156.94999999999999</v>
      </c>
      <c r="G2064" s="50" t="s">
        <v>44</v>
      </c>
      <c r="H2064" s="50" t="s">
        <v>3431</v>
      </c>
      <c r="I2064" s="49" t="s">
        <v>107</v>
      </c>
      <c r="J2064" s="50" t="s">
        <v>109</v>
      </c>
      <c r="K2064" s="50" t="s">
        <v>109</v>
      </c>
      <c r="L2064" s="50" t="s">
        <v>12</v>
      </c>
      <c r="M2064" s="50" t="s">
        <v>10</v>
      </c>
      <c r="N2064" s="50" t="s">
        <v>11</v>
      </c>
      <c r="O2064" s="48" t="s">
        <v>632</v>
      </c>
      <c r="P2064" s="45" t="s">
        <v>453</v>
      </c>
      <c r="Q2064" s="35" t="str">
        <f>MID(Tabla1[[#This Row],[Aplicación]],14,1)</f>
        <v>2</v>
      </c>
      <c r="R2064" s="35" t="s">
        <v>441</v>
      </c>
      <c r="S2064" s="35" t="str">
        <f>MID(Tabla1[[#This Row],[Aplicación]],6,2)</f>
        <v>10</v>
      </c>
      <c r="T2064" s="35" t="str">
        <f>VLOOKUP(Tabla1[[#This Row],[AREA]],Hoja1!A:B,2,FALSE)</f>
        <v>10. Servicios sociales y mediación comunitaria</v>
      </c>
      <c r="U2064" s="35" t="str">
        <f>MID(Tabla1[[#This Row],[Aplicación]],9,4)</f>
        <v>2412</v>
      </c>
      <c r="V2064" s="35" t="str">
        <f>VLOOKUP(Tabla1[[#This Row],[PROGRAMA]],Hoja1!A:B,2,FALSE)</f>
        <v>2412. Formación para el empleo</v>
      </c>
      <c r="W2064" s="35" t="str">
        <f>MID(Tabla1[[#This Row],[Aplicación]],14,2)</f>
        <v>21</v>
      </c>
      <c r="X2064" s="35" t="str">
        <f>MID(Tabla1[[#This Row],[Aplicación]],14,6)</f>
        <v>213</v>
      </c>
    </row>
    <row r="2065" spans="1:24" x14ac:dyDescent="0.25">
      <c r="A2065" s="49">
        <v>220220006720</v>
      </c>
      <c r="B2065" s="50" t="s">
        <v>9</v>
      </c>
      <c r="C2065" s="57">
        <v>44620</v>
      </c>
      <c r="D2065" s="49">
        <v>22021000726</v>
      </c>
      <c r="E2065" s="50" t="s">
        <v>1424</v>
      </c>
      <c r="F2065" s="58">
        <v>118.26</v>
      </c>
      <c r="G2065" s="50" t="s">
        <v>102</v>
      </c>
      <c r="H2065" s="50" t="s">
        <v>745</v>
      </c>
      <c r="I2065" s="49" t="s">
        <v>107</v>
      </c>
      <c r="J2065" s="50" t="s">
        <v>108</v>
      </c>
      <c r="K2065" s="50" t="s">
        <v>108</v>
      </c>
      <c r="L2065" s="50" t="s">
        <v>12</v>
      </c>
      <c r="M2065" s="50" t="s">
        <v>13</v>
      </c>
      <c r="N2065" s="50" t="s">
        <v>14</v>
      </c>
      <c r="O2065" s="48" t="s">
        <v>620</v>
      </c>
      <c r="P2065" s="45" t="s">
        <v>453</v>
      </c>
      <c r="Q2065" s="35" t="str">
        <f>MID(Tabla1[[#This Row],[Aplicación]],14,1)</f>
        <v>6</v>
      </c>
      <c r="R2065" s="35" t="s">
        <v>442</v>
      </c>
      <c r="S2065" s="35" t="str">
        <f>MID(Tabla1[[#This Row],[Aplicación]],6,2)</f>
        <v>06</v>
      </c>
      <c r="T2065" s="35" t="str">
        <f>VLOOKUP(Tabla1[[#This Row],[AREA]],Hoja1!A:B,2,FALSE)</f>
        <v>06. Educación, infancia, juventud e igualdad</v>
      </c>
      <c r="U2065" s="35" t="str">
        <f>MID(Tabla1[[#This Row],[Aplicación]],9,4)</f>
        <v>3321</v>
      </c>
      <c r="V2065" s="35" t="str">
        <f>VLOOKUP(Tabla1[[#This Row],[PROGRAMA]],Hoja1!A:B,2,FALSE)</f>
        <v>3321. Bibliotecas públicas</v>
      </c>
      <c r="W2065" s="35" t="str">
        <f>MID(Tabla1[[#This Row],[Aplicación]],14,2)</f>
        <v>62</v>
      </c>
      <c r="X2065" s="35" t="str">
        <f>MID(Tabla1[[#This Row],[Aplicación]],14,6)</f>
        <v>622</v>
      </c>
    </row>
    <row r="2066" spans="1:24" x14ac:dyDescent="0.25">
      <c r="A2066" s="49">
        <v>220220003551</v>
      </c>
      <c r="B2066" s="50" t="s">
        <v>172</v>
      </c>
      <c r="C2066" s="57">
        <v>44607</v>
      </c>
      <c r="D2066" s="49">
        <v>22022001628</v>
      </c>
      <c r="E2066" s="50" t="s">
        <v>1742</v>
      </c>
      <c r="F2066" s="58">
        <v>113.26</v>
      </c>
      <c r="G2066" s="50" t="s">
        <v>130</v>
      </c>
      <c r="H2066" s="50" t="s">
        <v>3432</v>
      </c>
      <c r="I2066" s="49" t="s">
        <v>173</v>
      </c>
      <c r="J2066" s="50" t="s">
        <v>128</v>
      </c>
      <c r="K2066" s="50" t="s">
        <v>128</v>
      </c>
      <c r="L2066" s="50" t="s">
        <v>15</v>
      </c>
      <c r="M2066" s="50" t="s">
        <v>13</v>
      </c>
      <c r="N2066" s="50" t="s">
        <v>16</v>
      </c>
      <c r="O2066" s="48" t="s">
        <v>631</v>
      </c>
      <c r="P2066" s="45" t="s">
        <v>453</v>
      </c>
      <c r="Q2066" s="35" t="str">
        <f>MID(Tabla1[[#This Row],[Aplicación]],14,1)</f>
        <v>2</v>
      </c>
      <c r="R2066" s="35" t="s">
        <v>441</v>
      </c>
      <c r="S2066" s="35" t="str">
        <f>MID(Tabla1[[#This Row],[Aplicación]],6,2)</f>
        <v>03</v>
      </c>
      <c r="T2066" s="35" t="str">
        <f>VLOOKUP(Tabla1[[#This Row],[AREA]],Hoja1!A:B,2,FALSE)</f>
        <v>03. Participación ciudadana y deportes</v>
      </c>
      <c r="U2066" s="35" t="str">
        <f>MID(Tabla1[[#This Row],[Aplicación]],9,4)</f>
        <v>9241</v>
      </c>
      <c r="V2066" s="35" t="str">
        <f>VLOOKUP(Tabla1[[#This Row],[PROGRAMA]],Hoja1!A:B,2,FALSE)</f>
        <v>9241. Participación ciudadana</v>
      </c>
      <c r="W2066" s="35" t="str">
        <f>MID(Tabla1[[#This Row],[Aplicación]],14,2)</f>
        <v>21</v>
      </c>
      <c r="X2066" s="35" t="str">
        <f>MID(Tabla1[[#This Row],[Aplicación]],14,6)</f>
        <v>213</v>
      </c>
    </row>
    <row r="2067" spans="1:24" x14ac:dyDescent="0.25">
      <c r="A2067" s="49">
        <v>220219000227</v>
      </c>
      <c r="B2067" s="50" t="s">
        <v>9</v>
      </c>
      <c r="C2067" s="57">
        <v>44562</v>
      </c>
      <c r="D2067" s="49">
        <v>22022000415</v>
      </c>
      <c r="E2067" s="50" t="s">
        <v>1425</v>
      </c>
      <c r="F2067" s="58">
        <v>59506.41</v>
      </c>
      <c r="G2067" s="50" t="s">
        <v>106</v>
      </c>
      <c r="H2067" s="50" t="s">
        <v>3433</v>
      </c>
      <c r="I2067" s="49" t="s">
        <v>107</v>
      </c>
      <c r="J2067" s="50" t="s">
        <v>108</v>
      </c>
      <c r="K2067" s="50" t="s">
        <v>108</v>
      </c>
      <c r="L2067" s="50" t="s">
        <v>12</v>
      </c>
      <c r="M2067" s="50" t="s">
        <v>13</v>
      </c>
      <c r="N2067" s="50" t="s">
        <v>14</v>
      </c>
      <c r="O2067" s="48" t="s">
        <v>620</v>
      </c>
      <c r="P2067" s="45" t="s">
        <v>453</v>
      </c>
      <c r="Q2067" s="35" t="str">
        <f>MID(Tabla1[[#This Row],[Aplicación]],14,1)</f>
        <v>2</v>
      </c>
      <c r="R2067" s="35" t="s">
        <v>441</v>
      </c>
      <c r="S2067" s="35" t="str">
        <f>MID(Tabla1[[#This Row],[Aplicación]],6,2)</f>
        <v>04</v>
      </c>
      <c r="T2067" s="35" t="str">
        <f>VLOOKUP(Tabla1[[#This Row],[AREA]],Hoja1!A:B,2,FALSE)</f>
        <v>04. Planificación y recursos</v>
      </c>
      <c r="U2067" s="35" t="str">
        <f>MID(Tabla1[[#This Row],[Aplicación]],9,4)</f>
        <v>9204</v>
      </c>
      <c r="V2067" s="35" t="str">
        <f>VLOOKUP(Tabla1[[#This Row],[PROGRAMA]],Hoja1!A:B,2,FALSE)</f>
        <v>9204. Tecnologías de la información y comunicación</v>
      </c>
      <c r="W2067" s="35" t="str">
        <f>MID(Tabla1[[#This Row],[Aplicación]],14,2)</f>
        <v>22</v>
      </c>
      <c r="X2067" s="35" t="str">
        <f>MID(Tabla1[[#This Row],[Aplicación]],14,6)</f>
        <v>22200</v>
      </c>
    </row>
    <row r="2068" spans="1:24" x14ac:dyDescent="0.25">
      <c r="A2068" s="49">
        <v>220219000224</v>
      </c>
      <c r="B2068" s="50" t="s">
        <v>9</v>
      </c>
      <c r="C2068" s="57">
        <v>44562</v>
      </c>
      <c r="D2068" s="49">
        <v>22022000412</v>
      </c>
      <c r="E2068" s="50" t="s">
        <v>3434</v>
      </c>
      <c r="F2068" s="58">
        <v>9252.86</v>
      </c>
      <c r="G2068" s="50" t="s">
        <v>106</v>
      </c>
      <c r="H2068" s="50" t="s">
        <v>974</v>
      </c>
      <c r="I2068" s="49" t="s">
        <v>107</v>
      </c>
      <c r="J2068" s="50" t="s">
        <v>108</v>
      </c>
      <c r="K2068" s="50" t="s">
        <v>108</v>
      </c>
      <c r="L2068" s="50" t="s">
        <v>15</v>
      </c>
      <c r="M2068" s="50" t="s">
        <v>13</v>
      </c>
      <c r="N2068" s="50" t="s">
        <v>14</v>
      </c>
      <c r="O2068" s="48" t="s">
        <v>620</v>
      </c>
      <c r="P2068" s="45" t="s">
        <v>453</v>
      </c>
      <c r="Q2068" s="35" t="str">
        <f>MID(Tabla1[[#This Row],[Aplicación]],14,1)</f>
        <v>2</v>
      </c>
      <c r="R2068" s="35" t="s">
        <v>441</v>
      </c>
      <c r="S2068" s="35" t="str">
        <f>MID(Tabla1[[#This Row],[Aplicación]],6,2)</f>
        <v>03</v>
      </c>
      <c r="T2068" s="35" t="str">
        <f>VLOOKUP(Tabla1[[#This Row],[AREA]],Hoja1!A:B,2,FALSE)</f>
        <v>03. Participación ciudadana y deportes</v>
      </c>
      <c r="U2068" s="35" t="str">
        <f>MID(Tabla1[[#This Row],[Aplicación]],9,4)</f>
        <v>9241</v>
      </c>
      <c r="V2068" s="35" t="str">
        <f>VLOOKUP(Tabla1[[#This Row],[PROGRAMA]],Hoja1!A:B,2,FALSE)</f>
        <v>9241. Participación ciudadana</v>
      </c>
      <c r="W2068" s="35" t="str">
        <f>MID(Tabla1[[#This Row],[Aplicación]],14,2)</f>
        <v>22</v>
      </c>
      <c r="X2068" s="35" t="str">
        <f>MID(Tabla1[[#This Row],[Aplicación]],14,6)</f>
        <v>22200</v>
      </c>
    </row>
    <row r="2069" spans="1:24" x14ac:dyDescent="0.25">
      <c r="A2069" s="49">
        <v>220219000230</v>
      </c>
      <c r="B2069" s="50" t="s">
        <v>9</v>
      </c>
      <c r="C2069" s="57">
        <v>44562</v>
      </c>
      <c r="D2069" s="49">
        <v>22022000418</v>
      </c>
      <c r="E2069" s="50" t="s">
        <v>3435</v>
      </c>
      <c r="F2069" s="58">
        <v>5760.2</v>
      </c>
      <c r="G2069" s="50" t="s">
        <v>106</v>
      </c>
      <c r="H2069" s="50" t="s">
        <v>3436</v>
      </c>
      <c r="I2069" s="49" t="s">
        <v>107</v>
      </c>
      <c r="J2069" s="50" t="s">
        <v>108</v>
      </c>
      <c r="K2069" s="50" t="s">
        <v>108</v>
      </c>
      <c r="L2069" s="50" t="s">
        <v>12</v>
      </c>
      <c r="M2069" s="50" t="s">
        <v>13</v>
      </c>
      <c r="N2069" s="50" t="s">
        <v>14</v>
      </c>
      <c r="O2069" s="48" t="s">
        <v>620</v>
      </c>
      <c r="P2069" s="45" t="s">
        <v>453</v>
      </c>
      <c r="Q2069" s="35" t="str">
        <f>MID(Tabla1[[#This Row],[Aplicación]],14,1)</f>
        <v>2</v>
      </c>
      <c r="R2069" s="35" t="s">
        <v>441</v>
      </c>
      <c r="S2069" s="35" t="str">
        <f>MID(Tabla1[[#This Row],[Aplicación]],6,2)</f>
        <v>10</v>
      </c>
      <c r="T2069" s="35" t="str">
        <f>VLOOKUP(Tabla1[[#This Row],[AREA]],Hoja1!A:B,2,FALSE)</f>
        <v>10. Servicios sociales y mediación comunitaria</v>
      </c>
      <c r="U2069" s="35" t="str">
        <f>MID(Tabla1[[#This Row],[Aplicación]],9,4)</f>
        <v>2311</v>
      </c>
      <c r="V2069" s="35" t="str">
        <f>VLOOKUP(Tabla1[[#This Row],[PROGRAMA]],Hoja1!A:B,2,FALSE)</f>
        <v>2311. Intervención social</v>
      </c>
      <c r="W2069" s="35" t="str">
        <f>MID(Tabla1[[#This Row],[Aplicación]],14,2)</f>
        <v>22</v>
      </c>
      <c r="X2069" s="35" t="str">
        <f>MID(Tabla1[[#This Row],[Aplicación]],14,6)</f>
        <v>22200</v>
      </c>
    </row>
    <row r="2070" spans="1:24" x14ac:dyDescent="0.25">
      <c r="A2070" s="49">
        <v>220219000221</v>
      </c>
      <c r="B2070" s="50" t="s">
        <v>9</v>
      </c>
      <c r="C2070" s="57">
        <v>44562</v>
      </c>
      <c r="D2070" s="49">
        <v>22022000409</v>
      </c>
      <c r="E2070" s="50" t="s">
        <v>3437</v>
      </c>
      <c r="F2070" s="58">
        <v>4006.26</v>
      </c>
      <c r="G2070" s="50" t="s">
        <v>106</v>
      </c>
      <c r="H2070" s="50" t="s">
        <v>3438</v>
      </c>
      <c r="I2070" s="49" t="s">
        <v>107</v>
      </c>
      <c r="J2070" s="50" t="s">
        <v>108</v>
      </c>
      <c r="K2070" s="50" t="s">
        <v>108</v>
      </c>
      <c r="L2070" s="50" t="s">
        <v>15</v>
      </c>
      <c r="M2070" s="50" t="s">
        <v>13</v>
      </c>
      <c r="N2070" s="50" t="s">
        <v>14</v>
      </c>
      <c r="O2070" s="48" t="s">
        <v>620</v>
      </c>
      <c r="P2070" s="45" t="s">
        <v>453</v>
      </c>
      <c r="Q2070" s="35" t="str">
        <f>MID(Tabla1[[#This Row],[Aplicación]],14,1)</f>
        <v>2</v>
      </c>
      <c r="R2070" s="35" t="s">
        <v>441</v>
      </c>
      <c r="S2070" s="35" t="str">
        <f>MID(Tabla1[[#This Row],[Aplicación]],6,2)</f>
        <v>10</v>
      </c>
      <c r="T2070" s="35" t="str">
        <f>VLOOKUP(Tabla1[[#This Row],[AREA]],Hoja1!A:B,2,FALSE)</f>
        <v>10. Servicios sociales y mediación comunitaria</v>
      </c>
      <c r="U2070" s="35" t="str">
        <f>MID(Tabla1[[#This Row],[Aplicación]],9,4)</f>
        <v>2312</v>
      </c>
      <c r="V2070" s="35" t="str">
        <f>VLOOKUP(Tabla1[[#This Row],[PROGRAMA]],Hoja1!A:B,2,FALSE)</f>
        <v>2312. Iniciativas sociales</v>
      </c>
      <c r="W2070" s="35" t="str">
        <f>MID(Tabla1[[#This Row],[Aplicación]],14,2)</f>
        <v>22</v>
      </c>
      <c r="X2070" s="35" t="str">
        <f>MID(Tabla1[[#This Row],[Aplicación]],14,6)</f>
        <v>22200</v>
      </c>
    </row>
    <row r="2071" spans="1:24" x14ac:dyDescent="0.25">
      <c r="A2071" s="49">
        <v>220219000228</v>
      </c>
      <c r="B2071" s="50" t="s">
        <v>9</v>
      </c>
      <c r="C2071" s="57">
        <v>44562</v>
      </c>
      <c r="D2071" s="49">
        <v>22022000416</v>
      </c>
      <c r="E2071" s="50" t="s">
        <v>3439</v>
      </c>
      <c r="F2071" s="58">
        <v>3218.84</v>
      </c>
      <c r="G2071" s="50" t="s">
        <v>106</v>
      </c>
      <c r="H2071" s="50" t="s">
        <v>3440</v>
      </c>
      <c r="I2071" s="49" t="s">
        <v>107</v>
      </c>
      <c r="J2071" s="50" t="s">
        <v>108</v>
      </c>
      <c r="K2071" s="50" t="s">
        <v>108</v>
      </c>
      <c r="L2071" s="50" t="s">
        <v>12</v>
      </c>
      <c r="M2071" s="50" t="s">
        <v>13</v>
      </c>
      <c r="N2071" s="50" t="s">
        <v>14</v>
      </c>
      <c r="O2071" s="48" t="s">
        <v>620</v>
      </c>
      <c r="P2071" s="45" t="s">
        <v>453</v>
      </c>
      <c r="Q2071" s="35" t="str">
        <f>MID(Tabla1[[#This Row],[Aplicación]],14,1)</f>
        <v>2</v>
      </c>
      <c r="R2071" s="35" t="s">
        <v>441</v>
      </c>
      <c r="S2071" s="35" t="str">
        <f>MID(Tabla1[[#This Row],[Aplicación]],6,2)</f>
        <v>11</v>
      </c>
      <c r="T2071" s="35" t="str">
        <f>VLOOKUP(Tabla1[[#This Row],[AREA]],Hoja1!A:B,2,FALSE)</f>
        <v>11. Salud pública y seguridad ciudadana</v>
      </c>
      <c r="U2071" s="35" t="str">
        <f>MID(Tabla1[[#This Row],[Aplicación]],9,4)</f>
        <v>1321</v>
      </c>
      <c r="V2071" s="35" t="str">
        <f>VLOOKUP(Tabla1[[#This Row],[PROGRAMA]],Hoja1!A:B,2,FALSE)</f>
        <v>1321. Policía municipal</v>
      </c>
      <c r="W2071" s="35" t="str">
        <f>MID(Tabla1[[#This Row],[Aplicación]],14,2)</f>
        <v>22</v>
      </c>
      <c r="X2071" s="35" t="str">
        <f>MID(Tabla1[[#This Row],[Aplicación]],14,6)</f>
        <v>22200</v>
      </c>
    </row>
    <row r="2072" spans="1:24" x14ac:dyDescent="0.25">
      <c r="A2072" s="49">
        <v>220219000222</v>
      </c>
      <c r="B2072" s="50" t="s">
        <v>9</v>
      </c>
      <c r="C2072" s="57">
        <v>44562</v>
      </c>
      <c r="D2072" s="49">
        <v>22022000410</v>
      </c>
      <c r="E2072" s="50" t="s">
        <v>3437</v>
      </c>
      <c r="F2072" s="58">
        <v>3035.16</v>
      </c>
      <c r="G2072" s="50" t="s">
        <v>106</v>
      </c>
      <c r="H2072" s="50" t="s">
        <v>3441</v>
      </c>
      <c r="I2072" s="49" t="s">
        <v>107</v>
      </c>
      <c r="J2072" s="50" t="s">
        <v>108</v>
      </c>
      <c r="K2072" s="50" t="s">
        <v>108</v>
      </c>
      <c r="L2072" s="50" t="s">
        <v>15</v>
      </c>
      <c r="M2072" s="50" t="s">
        <v>13</v>
      </c>
      <c r="N2072" s="50" t="s">
        <v>14</v>
      </c>
      <c r="O2072" s="48" t="s">
        <v>620</v>
      </c>
      <c r="P2072" s="45" t="s">
        <v>453</v>
      </c>
      <c r="Q2072" s="35" t="str">
        <f>MID(Tabla1[[#This Row],[Aplicación]],14,1)</f>
        <v>2</v>
      </c>
      <c r="R2072" s="35" t="s">
        <v>441</v>
      </c>
      <c r="S2072" s="35" t="str">
        <f>MID(Tabla1[[#This Row],[Aplicación]],6,2)</f>
        <v>10</v>
      </c>
      <c r="T2072" s="35" t="str">
        <f>VLOOKUP(Tabla1[[#This Row],[AREA]],Hoja1!A:B,2,FALSE)</f>
        <v>10. Servicios sociales y mediación comunitaria</v>
      </c>
      <c r="U2072" s="35" t="str">
        <f>MID(Tabla1[[#This Row],[Aplicación]],9,4)</f>
        <v>2312</v>
      </c>
      <c r="V2072" s="35" t="str">
        <f>VLOOKUP(Tabla1[[#This Row],[PROGRAMA]],Hoja1!A:B,2,FALSE)</f>
        <v>2312. Iniciativas sociales</v>
      </c>
      <c r="W2072" s="35" t="str">
        <f>MID(Tabla1[[#This Row],[Aplicación]],14,2)</f>
        <v>22</v>
      </c>
      <c r="X2072" s="35" t="str">
        <f>MID(Tabla1[[#This Row],[Aplicación]],14,6)</f>
        <v>22200</v>
      </c>
    </row>
    <row r="2073" spans="1:24" x14ac:dyDescent="0.25">
      <c r="A2073" s="49">
        <v>220219000220</v>
      </c>
      <c r="B2073" s="50" t="s">
        <v>9</v>
      </c>
      <c r="C2073" s="57">
        <v>44562</v>
      </c>
      <c r="D2073" s="49">
        <v>22022000408</v>
      </c>
      <c r="E2073" s="50" t="s">
        <v>3442</v>
      </c>
      <c r="F2073" s="58">
        <v>1759.68</v>
      </c>
      <c r="G2073" s="50" t="s">
        <v>106</v>
      </c>
      <c r="H2073" s="50" t="s">
        <v>3443</v>
      </c>
      <c r="I2073" s="49" t="s">
        <v>107</v>
      </c>
      <c r="J2073" s="50" t="s">
        <v>108</v>
      </c>
      <c r="K2073" s="50" t="s">
        <v>108</v>
      </c>
      <c r="L2073" s="50" t="s">
        <v>12</v>
      </c>
      <c r="M2073" s="50" t="s">
        <v>13</v>
      </c>
      <c r="N2073" s="50" t="s">
        <v>14</v>
      </c>
      <c r="O2073" s="48" t="s">
        <v>620</v>
      </c>
      <c r="P2073" s="45" t="s">
        <v>453</v>
      </c>
      <c r="Q2073" s="35" t="str">
        <f>MID(Tabla1[[#This Row],[Aplicación]],14,1)</f>
        <v>2</v>
      </c>
      <c r="R2073" s="35" t="s">
        <v>441</v>
      </c>
      <c r="S2073" s="35" t="str">
        <f>MID(Tabla1[[#This Row],[Aplicación]],6,2)</f>
        <v>05</v>
      </c>
      <c r="T2073" s="35" t="str">
        <f>VLOOKUP(Tabla1[[#This Row],[AREA]],Hoja1!A:B,2,FALSE)</f>
        <v>05. Innovación, desarrollo económico, empleo y comercio</v>
      </c>
      <c r="U2073" s="35" t="str">
        <f>MID(Tabla1[[#This Row],[Aplicación]],9,4)</f>
        <v>4331</v>
      </c>
      <c r="V2073" s="35" t="str">
        <f>VLOOKUP(Tabla1[[#This Row],[PROGRAMA]],Hoja1!A:B,2,FALSE)</f>
        <v>4331. Desarrollo empresarial</v>
      </c>
      <c r="W2073" s="35" t="str">
        <f>MID(Tabla1[[#This Row],[Aplicación]],14,2)</f>
        <v>22</v>
      </c>
      <c r="X2073" s="35" t="str">
        <f>MID(Tabla1[[#This Row],[Aplicación]],14,6)</f>
        <v>22200</v>
      </c>
    </row>
    <row r="2074" spans="1:24" x14ac:dyDescent="0.25">
      <c r="A2074" s="49">
        <v>220220005784</v>
      </c>
      <c r="B2074" s="50" t="s">
        <v>9</v>
      </c>
      <c r="C2074" s="57">
        <v>44615</v>
      </c>
      <c r="D2074" s="49">
        <v>22022002353</v>
      </c>
      <c r="E2074" s="50" t="s">
        <v>3444</v>
      </c>
      <c r="F2074" s="58">
        <v>72.599999999999994</v>
      </c>
      <c r="G2074" s="50" t="s">
        <v>67</v>
      </c>
      <c r="H2074" s="50" t="s">
        <v>3445</v>
      </c>
      <c r="I2074" s="49" t="s">
        <v>107</v>
      </c>
      <c r="J2074" s="50" t="s">
        <v>109</v>
      </c>
      <c r="K2074" s="50" t="s">
        <v>109</v>
      </c>
      <c r="L2074" s="50" t="s">
        <v>12</v>
      </c>
      <c r="M2074" s="50" t="s">
        <v>10</v>
      </c>
      <c r="N2074" s="50" t="s">
        <v>11</v>
      </c>
      <c r="O2074" s="48" t="s">
        <v>632</v>
      </c>
      <c r="P2074" s="45" t="s">
        <v>453</v>
      </c>
      <c r="Q2074" s="35" t="str">
        <f>MID(Tabla1[[#This Row],[Aplicación]],14,1)</f>
        <v>2</v>
      </c>
      <c r="R2074" s="35" t="s">
        <v>441</v>
      </c>
      <c r="S2074" s="35" t="str">
        <f>MID(Tabla1[[#This Row],[Aplicación]],6,2)</f>
        <v>06</v>
      </c>
      <c r="T2074" s="35" t="str">
        <f>VLOOKUP(Tabla1[[#This Row],[AREA]],Hoja1!A:B,2,FALSE)</f>
        <v>06. Educación, infancia, juventud e igualdad</v>
      </c>
      <c r="U2074" s="35" t="str">
        <f>MID(Tabla1[[#This Row],[Aplicación]],9,4)</f>
        <v>3231</v>
      </c>
      <c r="V2074" s="35" t="str">
        <f>VLOOKUP(Tabla1[[#This Row],[PROGRAMA]],Hoja1!A:B,2,FALSE)</f>
        <v>3231. Escuelas infantiles</v>
      </c>
      <c r="W2074" s="35" t="str">
        <f>MID(Tabla1[[#This Row],[Aplicación]],14,2)</f>
        <v>22</v>
      </c>
      <c r="X2074" s="35" t="str">
        <f>MID(Tabla1[[#This Row],[Aplicación]],14,6)</f>
        <v>22602</v>
      </c>
    </row>
    <row r="2075" spans="1:24" x14ac:dyDescent="0.25">
      <c r="A2075" s="49">
        <v>220220012358</v>
      </c>
      <c r="B2075" s="50" t="s">
        <v>9</v>
      </c>
      <c r="C2075" s="57">
        <v>44643</v>
      </c>
      <c r="D2075" s="49">
        <v>22022002920</v>
      </c>
      <c r="E2075" s="50" t="s">
        <v>1759</v>
      </c>
      <c r="F2075" s="58">
        <v>100.79</v>
      </c>
      <c r="G2075" s="50" t="s">
        <v>472</v>
      </c>
      <c r="H2075" s="50" t="s">
        <v>3446</v>
      </c>
      <c r="I2075" s="49" t="s">
        <v>107</v>
      </c>
      <c r="J2075" s="50" t="s">
        <v>109</v>
      </c>
      <c r="K2075" s="50" t="s">
        <v>109</v>
      </c>
      <c r="L2075" s="50" t="s">
        <v>15</v>
      </c>
      <c r="M2075" s="50" t="s">
        <v>10</v>
      </c>
      <c r="N2075" s="50" t="s">
        <v>11</v>
      </c>
      <c r="O2075" s="48" t="s">
        <v>632</v>
      </c>
      <c r="P2075" s="45" t="s">
        <v>453</v>
      </c>
      <c r="Q2075" s="35" t="str">
        <f>MID(Tabla1[[#This Row],[Aplicación]],14,1)</f>
        <v>2</v>
      </c>
      <c r="R2075" s="35" t="s">
        <v>441</v>
      </c>
      <c r="S2075" s="35" t="str">
        <f>MID(Tabla1[[#This Row],[Aplicación]],6,2)</f>
        <v>02</v>
      </c>
      <c r="T2075" s="35" t="str">
        <f>VLOOKUP(Tabla1[[#This Row],[AREA]],Hoja1!A:B,2,FALSE)</f>
        <v>02. Planeamiento urbanístico y vivienda</v>
      </c>
      <c r="U2075" s="35" t="str">
        <f>MID(Tabla1[[#This Row],[Aplicación]],9,4)</f>
        <v>9332</v>
      </c>
      <c r="V2075" s="35" t="str">
        <f>VLOOKUP(Tabla1[[#This Row],[PROGRAMA]],Hoja1!A:B,2,FALSE)</f>
        <v>9332. Mantenimiento de edificios e instalaciones municipales</v>
      </c>
      <c r="W2075" s="35" t="str">
        <f>MID(Tabla1[[#This Row],[Aplicación]],14,2)</f>
        <v>21</v>
      </c>
      <c r="X2075" s="35" t="str">
        <f>MID(Tabla1[[#This Row],[Aplicación]],14,6)</f>
        <v>213</v>
      </c>
    </row>
    <row r="2076" spans="1:24" x14ac:dyDescent="0.25">
      <c r="A2076" s="49">
        <v>220220003796</v>
      </c>
      <c r="B2076" s="50" t="s">
        <v>172</v>
      </c>
      <c r="C2076" s="57">
        <v>44608</v>
      </c>
      <c r="D2076" s="49">
        <v>22022002150</v>
      </c>
      <c r="E2076" s="50" t="s">
        <v>3247</v>
      </c>
      <c r="F2076" s="58">
        <v>87.65</v>
      </c>
      <c r="G2076" s="50" t="s">
        <v>1031</v>
      </c>
      <c r="H2076" s="50" t="s">
        <v>3447</v>
      </c>
      <c r="I2076" s="49" t="s">
        <v>173</v>
      </c>
      <c r="J2076" s="50" t="s">
        <v>128</v>
      </c>
      <c r="K2076" s="50" t="s">
        <v>128</v>
      </c>
      <c r="L2076" s="50" t="s">
        <v>15</v>
      </c>
      <c r="M2076" s="50" t="s">
        <v>13</v>
      </c>
      <c r="N2076" s="50" t="s">
        <v>14</v>
      </c>
      <c r="O2076" s="48" t="s">
        <v>631</v>
      </c>
      <c r="P2076" s="45" t="s">
        <v>453</v>
      </c>
      <c r="Q2076" s="35" t="str">
        <f>MID(Tabla1[[#This Row],[Aplicación]],14,1)</f>
        <v>6</v>
      </c>
      <c r="R2076" s="35" t="s">
        <v>442</v>
      </c>
      <c r="S2076" s="35" t="str">
        <f>MID(Tabla1[[#This Row],[Aplicación]],6,2)</f>
        <v>06</v>
      </c>
      <c r="T2076" s="35" t="str">
        <f>VLOOKUP(Tabla1[[#This Row],[AREA]],Hoja1!A:B,2,FALSE)</f>
        <v>06. Educación, infancia, juventud e igualdad</v>
      </c>
      <c r="U2076" s="35" t="str">
        <f>MID(Tabla1[[#This Row],[Aplicación]],9,4)</f>
        <v>3321</v>
      </c>
      <c r="V2076" s="35" t="str">
        <f>VLOOKUP(Tabla1[[#This Row],[PROGRAMA]],Hoja1!A:B,2,FALSE)</f>
        <v>3321. Bibliotecas públicas</v>
      </c>
      <c r="W2076" s="35" t="str">
        <f>MID(Tabla1[[#This Row],[Aplicación]],14,2)</f>
        <v>62</v>
      </c>
      <c r="X2076" s="35" t="str">
        <f>MID(Tabla1[[#This Row],[Aplicación]],14,6)</f>
        <v>629</v>
      </c>
    </row>
    <row r="2077" spans="1:24" x14ac:dyDescent="0.25">
      <c r="A2077" s="49">
        <v>220220009503</v>
      </c>
      <c r="B2077" s="50" t="s">
        <v>172</v>
      </c>
      <c r="C2077" s="57">
        <v>44636</v>
      </c>
      <c r="D2077" s="49">
        <v>22022001449</v>
      </c>
      <c r="E2077" s="50" t="s">
        <v>1890</v>
      </c>
      <c r="F2077" s="58">
        <v>80.95</v>
      </c>
      <c r="G2077" s="50" t="s">
        <v>130</v>
      </c>
      <c r="H2077" s="50" t="s">
        <v>3448</v>
      </c>
      <c r="I2077" s="49" t="s">
        <v>173</v>
      </c>
      <c r="J2077" s="50" t="s">
        <v>128</v>
      </c>
      <c r="K2077" s="50" t="s">
        <v>128</v>
      </c>
      <c r="L2077" s="50" t="s">
        <v>15</v>
      </c>
      <c r="M2077" s="50" t="s">
        <v>13</v>
      </c>
      <c r="N2077" s="50" t="s">
        <v>14</v>
      </c>
      <c r="O2077" s="48" t="s">
        <v>631</v>
      </c>
      <c r="P2077" s="45" t="s">
        <v>453</v>
      </c>
      <c r="Q2077" s="35" t="str">
        <f>MID(Tabla1[[#This Row],[Aplicación]],14,1)</f>
        <v>2</v>
      </c>
      <c r="R2077" s="35" t="s">
        <v>441</v>
      </c>
      <c r="S2077" s="35" t="str">
        <f>MID(Tabla1[[#This Row],[Aplicación]],6,2)</f>
        <v>02</v>
      </c>
      <c r="T2077" s="35" t="str">
        <f>VLOOKUP(Tabla1[[#This Row],[AREA]],Hoja1!A:B,2,FALSE)</f>
        <v>02. Planeamiento urbanístico y vivienda</v>
      </c>
      <c r="U2077" s="35" t="str">
        <f>MID(Tabla1[[#This Row],[Aplicación]],9,4)</f>
        <v>9332</v>
      </c>
      <c r="V2077" s="35" t="str">
        <f>VLOOKUP(Tabla1[[#This Row],[PROGRAMA]],Hoja1!A:B,2,FALSE)</f>
        <v>9332. Mantenimiento de edificios e instalaciones municipales</v>
      </c>
      <c r="W2077" s="35" t="str">
        <f>MID(Tabla1[[#This Row],[Aplicación]],14,2)</f>
        <v>21</v>
      </c>
      <c r="X2077" s="35" t="str">
        <f>MID(Tabla1[[#This Row],[Aplicación]],14,6)</f>
        <v>212</v>
      </c>
    </row>
    <row r="2078" spans="1:24" x14ac:dyDescent="0.25">
      <c r="A2078" s="49">
        <v>220220001659</v>
      </c>
      <c r="B2078" s="50" t="s">
        <v>26</v>
      </c>
      <c r="C2078" s="57">
        <v>44588</v>
      </c>
      <c r="D2078" s="49">
        <v>22022001498</v>
      </c>
      <c r="E2078" s="50" t="s">
        <v>1910</v>
      </c>
      <c r="F2078" s="58">
        <v>64.28</v>
      </c>
      <c r="G2078" s="50" t="s">
        <v>101</v>
      </c>
      <c r="H2078" s="50" t="s">
        <v>3449</v>
      </c>
      <c r="I2078" s="49" t="s">
        <v>197</v>
      </c>
      <c r="J2078" s="50" t="s">
        <v>109</v>
      </c>
      <c r="K2078" s="50" t="s">
        <v>109</v>
      </c>
      <c r="L2078" s="50" t="s">
        <v>12</v>
      </c>
      <c r="M2078" s="50" t="s">
        <v>13</v>
      </c>
      <c r="N2078" s="50" t="s">
        <v>14</v>
      </c>
      <c r="O2078" s="48" t="s">
        <v>620</v>
      </c>
      <c r="P2078" s="45" t="s">
        <v>453</v>
      </c>
      <c r="Q2078" s="35" t="str">
        <f>MID(Tabla1[[#This Row],[Aplicación]],14,1)</f>
        <v>2</v>
      </c>
      <c r="R2078" s="35" t="s">
        <v>441</v>
      </c>
      <c r="S2078" s="35" t="str">
        <f>MID(Tabla1[[#This Row],[Aplicación]],6,2)</f>
        <v>06</v>
      </c>
      <c r="T2078" s="35" t="str">
        <f>VLOOKUP(Tabla1[[#This Row],[AREA]],Hoja1!A:B,2,FALSE)</f>
        <v>06. Educación, infancia, juventud e igualdad</v>
      </c>
      <c r="U2078" s="35" t="str">
        <f>MID(Tabla1[[#This Row],[Aplicación]],9,4)</f>
        <v>3261</v>
      </c>
      <c r="V2078" s="35" t="str">
        <f>VLOOKUP(Tabla1[[#This Row],[PROGRAMA]],Hoja1!A:B,2,FALSE)</f>
        <v>3261. Servicios complementarios de educación</v>
      </c>
      <c r="W2078" s="35" t="str">
        <f>MID(Tabla1[[#This Row],[Aplicación]],14,2)</f>
        <v>21</v>
      </c>
      <c r="X2078" s="35" t="str">
        <f>MID(Tabla1[[#This Row],[Aplicación]],14,6)</f>
        <v>213</v>
      </c>
    </row>
    <row r="2079" spans="1:24" x14ac:dyDescent="0.25">
      <c r="A2079" s="49">
        <v>220220003855</v>
      </c>
      <c r="B2079" s="50" t="s">
        <v>9</v>
      </c>
      <c r="C2079" s="57">
        <v>44608</v>
      </c>
      <c r="D2079" s="49">
        <v>22022002269</v>
      </c>
      <c r="E2079" s="50" t="s">
        <v>3450</v>
      </c>
      <c r="F2079" s="58">
        <v>62.92</v>
      </c>
      <c r="G2079" s="50" t="s">
        <v>3451</v>
      </c>
      <c r="H2079" s="50" t="s">
        <v>3452</v>
      </c>
      <c r="I2079" s="49" t="s">
        <v>107</v>
      </c>
      <c r="J2079" s="50" t="s">
        <v>3453</v>
      </c>
      <c r="K2079" s="50" t="s">
        <v>109</v>
      </c>
      <c r="L2079" s="50" t="s">
        <v>17</v>
      </c>
      <c r="M2079" s="50" t="s">
        <v>10</v>
      </c>
      <c r="N2079" s="50" t="s">
        <v>11</v>
      </c>
      <c r="O2079" s="48" t="s">
        <v>632</v>
      </c>
      <c r="P2079" s="45" t="s">
        <v>453</v>
      </c>
      <c r="Q2079" s="35" t="str">
        <f>MID(Tabla1[[#This Row],[Aplicación]],14,1)</f>
        <v>2</v>
      </c>
      <c r="R2079" s="35" t="s">
        <v>441</v>
      </c>
      <c r="S2079" s="35" t="str">
        <f>MID(Tabla1[[#This Row],[Aplicación]],6,2)</f>
        <v>09</v>
      </c>
      <c r="T2079" s="35" t="str">
        <f>VLOOKUP(Tabla1[[#This Row],[AREA]],Hoja1!A:B,2,FALSE)</f>
        <v>09. Cultura y turismo</v>
      </c>
      <c r="U2079" s="35" t="str">
        <f>MID(Tabla1[[#This Row],[Aplicación]],9,4)</f>
        <v>3341</v>
      </c>
      <c r="V2079" s="35" t="str">
        <f>VLOOKUP(Tabla1[[#This Row],[PROGRAMA]],Hoja1!A:B,2,FALSE)</f>
        <v>3341. Coordinación de políticas culturales</v>
      </c>
      <c r="W2079" s="35" t="str">
        <f>MID(Tabla1[[#This Row],[Aplicación]],14,2)</f>
        <v>22</v>
      </c>
      <c r="X2079" s="35" t="str">
        <f>MID(Tabla1[[#This Row],[Aplicación]],14,6)</f>
        <v>22699</v>
      </c>
    </row>
    <row r="2080" spans="1:24" x14ac:dyDescent="0.25">
      <c r="A2080" s="49">
        <v>220200044944</v>
      </c>
      <c r="B2080" s="50" t="s">
        <v>9</v>
      </c>
      <c r="C2080" s="57">
        <v>44620</v>
      </c>
      <c r="D2080" s="49">
        <v>22020003695</v>
      </c>
      <c r="E2080" s="50" t="s">
        <v>1424</v>
      </c>
      <c r="F2080" s="58">
        <v>63.74</v>
      </c>
      <c r="G2080" s="50" t="s">
        <v>102</v>
      </c>
      <c r="H2080" s="50" t="s">
        <v>865</v>
      </c>
      <c r="I2080" s="49" t="s">
        <v>107</v>
      </c>
      <c r="J2080" s="50" t="s">
        <v>108</v>
      </c>
      <c r="K2080" s="50" t="s">
        <v>108</v>
      </c>
      <c r="L2080" s="50" t="s">
        <v>12</v>
      </c>
      <c r="M2080" s="50" t="s">
        <v>13</v>
      </c>
      <c r="N2080" s="50" t="s">
        <v>14</v>
      </c>
      <c r="O2080" s="48" t="s">
        <v>620</v>
      </c>
      <c r="P2080" s="45" t="s">
        <v>453</v>
      </c>
      <c r="Q2080" s="35" t="str">
        <f>MID(Tabla1[[#This Row],[Aplicación]],14,1)</f>
        <v>6</v>
      </c>
      <c r="R2080" s="35" t="s">
        <v>442</v>
      </c>
      <c r="S2080" s="35" t="str">
        <f>MID(Tabla1[[#This Row],[Aplicación]],6,2)</f>
        <v>06</v>
      </c>
      <c r="T2080" s="35" t="str">
        <f>VLOOKUP(Tabla1[[#This Row],[AREA]],Hoja1!A:B,2,FALSE)</f>
        <v>06. Educación, infancia, juventud e igualdad</v>
      </c>
      <c r="U2080" s="35" t="str">
        <f>MID(Tabla1[[#This Row],[Aplicación]],9,4)</f>
        <v>3321</v>
      </c>
      <c r="V2080" s="35" t="str">
        <f>VLOOKUP(Tabla1[[#This Row],[PROGRAMA]],Hoja1!A:B,2,FALSE)</f>
        <v>3321. Bibliotecas públicas</v>
      </c>
      <c r="W2080" s="35" t="str">
        <f>MID(Tabla1[[#This Row],[Aplicación]],14,2)</f>
        <v>62</v>
      </c>
      <c r="X2080" s="35" t="str">
        <f>MID(Tabla1[[#This Row],[Aplicación]],14,6)</f>
        <v>622</v>
      </c>
    </row>
    <row r="2081" spans="1:24" x14ac:dyDescent="0.25">
      <c r="A2081" s="49">
        <v>220220007395</v>
      </c>
      <c r="B2081" s="50" t="s">
        <v>9</v>
      </c>
      <c r="C2081" s="57">
        <v>44624</v>
      </c>
      <c r="D2081" s="49">
        <v>22022002553</v>
      </c>
      <c r="E2081" s="50" t="s">
        <v>1832</v>
      </c>
      <c r="F2081" s="58">
        <v>53.36</v>
      </c>
      <c r="G2081" s="50" t="s">
        <v>797</v>
      </c>
      <c r="H2081" s="50" t="s">
        <v>3454</v>
      </c>
      <c r="I2081" s="49" t="s">
        <v>107</v>
      </c>
      <c r="J2081" s="50" t="s">
        <v>109</v>
      </c>
      <c r="K2081" s="50" t="s">
        <v>109</v>
      </c>
      <c r="L2081" s="50" t="s">
        <v>15</v>
      </c>
      <c r="M2081" s="50" t="s">
        <v>10</v>
      </c>
      <c r="N2081" s="50" t="s">
        <v>11</v>
      </c>
      <c r="O2081" s="48" t="s">
        <v>632</v>
      </c>
      <c r="P2081" s="45" t="s">
        <v>453</v>
      </c>
      <c r="Q2081" s="35" t="str">
        <f>MID(Tabla1[[#This Row],[Aplicación]],14,1)</f>
        <v>2</v>
      </c>
      <c r="R2081" s="35" t="s">
        <v>441</v>
      </c>
      <c r="S2081" s="35" t="str">
        <f>MID(Tabla1[[#This Row],[Aplicación]],6,2)</f>
        <v>03</v>
      </c>
      <c r="T2081" s="35" t="str">
        <f>VLOOKUP(Tabla1[[#This Row],[AREA]],Hoja1!A:B,2,FALSE)</f>
        <v>03. Participación ciudadana y deportes</v>
      </c>
      <c r="U2081" s="35" t="str">
        <f>MID(Tabla1[[#This Row],[Aplicación]],9,4)</f>
        <v>9241</v>
      </c>
      <c r="V2081" s="35" t="str">
        <f>VLOOKUP(Tabla1[[#This Row],[PROGRAMA]],Hoja1!A:B,2,FALSE)</f>
        <v>9241. Participación ciudadana</v>
      </c>
      <c r="W2081" s="35" t="str">
        <f>MID(Tabla1[[#This Row],[Aplicación]],14,2)</f>
        <v>22</v>
      </c>
      <c r="X2081" s="35" t="str">
        <f>MID(Tabla1[[#This Row],[Aplicación]],14,6)</f>
        <v>22199</v>
      </c>
    </row>
    <row r="2082" spans="1:24" x14ac:dyDescent="0.25">
      <c r="A2082" s="49">
        <v>220219000226</v>
      </c>
      <c r="B2082" s="50" t="s">
        <v>9</v>
      </c>
      <c r="C2082" s="57">
        <v>44562</v>
      </c>
      <c r="D2082" s="49">
        <v>22022000414</v>
      </c>
      <c r="E2082" s="50" t="s">
        <v>3455</v>
      </c>
      <c r="F2082" s="58">
        <v>888.27</v>
      </c>
      <c r="G2082" s="50" t="s">
        <v>106</v>
      </c>
      <c r="H2082" s="50" t="s">
        <v>3456</v>
      </c>
      <c r="I2082" s="49" t="s">
        <v>107</v>
      </c>
      <c r="J2082" s="50" t="s">
        <v>108</v>
      </c>
      <c r="K2082" s="50" t="s">
        <v>108</v>
      </c>
      <c r="L2082" s="50" t="s">
        <v>12</v>
      </c>
      <c r="M2082" s="50" t="s">
        <v>13</v>
      </c>
      <c r="N2082" s="50" t="s">
        <v>14</v>
      </c>
      <c r="O2082" s="48" t="s">
        <v>620</v>
      </c>
      <c r="P2082" s="45" t="s">
        <v>453</v>
      </c>
      <c r="Q2082" s="35" t="str">
        <f>MID(Tabla1[[#This Row],[Aplicación]],14,1)</f>
        <v>2</v>
      </c>
      <c r="R2082" s="35" t="s">
        <v>441</v>
      </c>
      <c r="S2082" s="35" t="str">
        <f>MID(Tabla1[[#This Row],[Aplicación]],6,2)</f>
        <v>06</v>
      </c>
      <c r="T2082" s="35" t="str">
        <f>VLOOKUP(Tabla1[[#This Row],[AREA]],Hoja1!A:B,2,FALSE)</f>
        <v>06. Educación, infancia, juventud e igualdad</v>
      </c>
      <c r="U2082" s="35" t="str">
        <f>MID(Tabla1[[#This Row],[Aplicación]],9,4)</f>
        <v>3232</v>
      </c>
      <c r="V2082" s="35" t="str">
        <f>VLOOKUP(Tabla1[[#This Row],[PROGRAMA]],Hoja1!A:B,2,FALSE)</f>
        <v>3232. Conservación y mantenimiento centros educación infantil y primaria</v>
      </c>
      <c r="W2082" s="35" t="str">
        <f>MID(Tabla1[[#This Row],[Aplicación]],14,2)</f>
        <v>22</v>
      </c>
      <c r="X2082" s="35" t="str">
        <f>MID(Tabla1[[#This Row],[Aplicación]],14,6)</f>
        <v>22200</v>
      </c>
    </row>
    <row r="2083" spans="1:24" x14ac:dyDescent="0.25">
      <c r="A2083" s="49">
        <v>220219000229</v>
      </c>
      <c r="B2083" s="50" t="s">
        <v>9</v>
      </c>
      <c r="C2083" s="57">
        <v>44562</v>
      </c>
      <c r="D2083" s="49">
        <v>22022000417</v>
      </c>
      <c r="E2083" s="50" t="s">
        <v>3435</v>
      </c>
      <c r="F2083" s="58">
        <v>640</v>
      </c>
      <c r="G2083" s="50" t="s">
        <v>106</v>
      </c>
      <c r="H2083" s="50" t="s">
        <v>3457</v>
      </c>
      <c r="I2083" s="49" t="s">
        <v>107</v>
      </c>
      <c r="J2083" s="50" t="s">
        <v>108</v>
      </c>
      <c r="K2083" s="50" t="s">
        <v>108</v>
      </c>
      <c r="L2083" s="50" t="s">
        <v>12</v>
      </c>
      <c r="M2083" s="50" t="s">
        <v>13</v>
      </c>
      <c r="N2083" s="50" t="s">
        <v>14</v>
      </c>
      <c r="O2083" s="48" t="s">
        <v>620</v>
      </c>
      <c r="P2083" s="45" t="s">
        <v>453</v>
      </c>
      <c r="Q2083" s="35" t="str">
        <f>MID(Tabla1[[#This Row],[Aplicación]],14,1)</f>
        <v>2</v>
      </c>
      <c r="R2083" s="35" t="s">
        <v>441</v>
      </c>
      <c r="S2083" s="35" t="str">
        <f>MID(Tabla1[[#This Row],[Aplicación]],6,2)</f>
        <v>10</v>
      </c>
      <c r="T2083" s="35" t="str">
        <f>VLOOKUP(Tabla1[[#This Row],[AREA]],Hoja1!A:B,2,FALSE)</f>
        <v>10. Servicios sociales y mediación comunitaria</v>
      </c>
      <c r="U2083" s="35" t="str">
        <f>MID(Tabla1[[#This Row],[Aplicación]],9,4)</f>
        <v>2311</v>
      </c>
      <c r="V2083" s="35" t="str">
        <f>VLOOKUP(Tabla1[[#This Row],[PROGRAMA]],Hoja1!A:B,2,FALSE)</f>
        <v>2311. Intervención social</v>
      </c>
      <c r="W2083" s="35" t="str">
        <f>MID(Tabla1[[#This Row],[Aplicación]],14,2)</f>
        <v>22</v>
      </c>
      <c r="X2083" s="35" t="str">
        <f>MID(Tabla1[[#This Row],[Aplicación]],14,6)</f>
        <v>22200</v>
      </c>
    </row>
    <row r="2084" spans="1:24" x14ac:dyDescent="0.25">
      <c r="A2084" s="49">
        <v>220219000223</v>
      </c>
      <c r="B2084" s="50" t="s">
        <v>9</v>
      </c>
      <c r="C2084" s="57">
        <v>44562</v>
      </c>
      <c r="D2084" s="49">
        <v>22022000411</v>
      </c>
      <c r="E2084" s="50" t="s">
        <v>3458</v>
      </c>
      <c r="F2084" s="58">
        <v>555.16999999999996</v>
      </c>
      <c r="G2084" s="50" t="s">
        <v>106</v>
      </c>
      <c r="H2084" s="50" t="s">
        <v>3459</v>
      </c>
      <c r="I2084" s="49" t="s">
        <v>107</v>
      </c>
      <c r="J2084" s="50" t="s">
        <v>108</v>
      </c>
      <c r="K2084" s="50" t="s">
        <v>108</v>
      </c>
      <c r="L2084" s="50" t="s">
        <v>15</v>
      </c>
      <c r="M2084" s="50" t="s">
        <v>13</v>
      </c>
      <c r="N2084" s="50" t="s">
        <v>14</v>
      </c>
      <c r="O2084" s="48" t="s">
        <v>620</v>
      </c>
      <c r="P2084" s="45" t="s">
        <v>453</v>
      </c>
      <c r="Q2084" s="35" t="str">
        <f>MID(Tabla1[[#This Row],[Aplicación]],14,1)</f>
        <v>2</v>
      </c>
      <c r="R2084" s="35" t="s">
        <v>441</v>
      </c>
      <c r="S2084" s="35" t="str">
        <f>MID(Tabla1[[#This Row],[Aplicación]],6,2)</f>
        <v>10</v>
      </c>
      <c r="T2084" s="35" t="str">
        <f>VLOOKUP(Tabla1[[#This Row],[AREA]],Hoja1!A:B,2,FALSE)</f>
        <v>10. Servicios sociales y mediación comunitaria</v>
      </c>
      <c r="U2084" s="35" t="str">
        <f>MID(Tabla1[[#This Row],[Aplicación]],9,4)</f>
        <v>2412</v>
      </c>
      <c r="V2084" s="35" t="str">
        <f>VLOOKUP(Tabla1[[#This Row],[PROGRAMA]],Hoja1!A:B,2,FALSE)</f>
        <v>2412. Formación para el empleo</v>
      </c>
      <c r="W2084" s="35" t="str">
        <f>MID(Tabla1[[#This Row],[Aplicación]],14,2)</f>
        <v>22</v>
      </c>
      <c r="X2084" s="35" t="str">
        <f>MID(Tabla1[[#This Row],[Aplicación]],14,6)</f>
        <v>22200</v>
      </c>
    </row>
    <row r="2085" spans="1:24" x14ac:dyDescent="0.25">
      <c r="A2085" s="49">
        <v>220219000225</v>
      </c>
      <c r="B2085" s="50" t="s">
        <v>9</v>
      </c>
      <c r="C2085" s="57">
        <v>44562</v>
      </c>
      <c r="D2085" s="49">
        <v>22022000413</v>
      </c>
      <c r="E2085" s="50" t="s">
        <v>3460</v>
      </c>
      <c r="F2085" s="58">
        <v>370.11</v>
      </c>
      <c r="G2085" s="50" t="s">
        <v>106</v>
      </c>
      <c r="H2085" s="50" t="s">
        <v>3461</v>
      </c>
      <c r="I2085" s="49" t="s">
        <v>107</v>
      </c>
      <c r="J2085" s="50" t="s">
        <v>108</v>
      </c>
      <c r="K2085" s="50" t="s">
        <v>108</v>
      </c>
      <c r="L2085" s="50" t="s">
        <v>12</v>
      </c>
      <c r="M2085" s="50" t="s">
        <v>13</v>
      </c>
      <c r="N2085" s="50" t="s">
        <v>14</v>
      </c>
      <c r="O2085" s="48" t="s">
        <v>620</v>
      </c>
      <c r="P2085" s="45" t="s">
        <v>453</v>
      </c>
      <c r="Q2085" s="35" t="str">
        <f>MID(Tabla1[[#This Row],[Aplicación]],14,1)</f>
        <v>2</v>
      </c>
      <c r="R2085" s="35" t="s">
        <v>441</v>
      </c>
      <c r="S2085" s="35" t="str">
        <f>MID(Tabla1[[#This Row],[Aplicación]],6,2)</f>
        <v>11</v>
      </c>
      <c r="T2085" s="35" t="str">
        <f>VLOOKUP(Tabla1[[#This Row],[AREA]],Hoja1!A:B,2,FALSE)</f>
        <v>11. Salud pública y seguridad ciudadana</v>
      </c>
      <c r="U2085" s="35" t="str">
        <f>MID(Tabla1[[#This Row],[Aplicación]],9,4)</f>
        <v>1361</v>
      </c>
      <c r="V2085" s="35" t="str">
        <f>VLOOKUP(Tabla1[[#This Row],[PROGRAMA]],Hoja1!A:B,2,FALSE)</f>
        <v>1361. Prevención y extinción de incencios</v>
      </c>
      <c r="W2085" s="35" t="str">
        <f>MID(Tabla1[[#This Row],[Aplicación]],14,2)</f>
        <v>22</v>
      </c>
      <c r="X2085" s="35" t="str">
        <f>MID(Tabla1[[#This Row],[Aplicación]],14,6)</f>
        <v>22200</v>
      </c>
    </row>
    <row r="2086" spans="1:24" x14ac:dyDescent="0.25">
      <c r="A2086" s="49">
        <v>220220000351</v>
      </c>
      <c r="B2086" s="50" t="s">
        <v>9</v>
      </c>
      <c r="C2086" s="57">
        <v>44585</v>
      </c>
      <c r="D2086" s="49">
        <v>22022001279</v>
      </c>
      <c r="E2086" s="50" t="s">
        <v>3458</v>
      </c>
      <c r="F2086" s="58">
        <v>226.7</v>
      </c>
      <c r="G2086" s="50" t="s">
        <v>106</v>
      </c>
      <c r="H2086" s="50" t="s">
        <v>3462</v>
      </c>
      <c r="I2086" s="49" t="s">
        <v>107</v>
      </c>
      <c r="J2086" s="50" t="s">
        <v>108</v>
      </c>
      <c r="K2086" s="50" t="s">
        <v>108</v>
      </c>
      <c r="L2086" s="50" t="s">
        <v>15</v>
      </c>
      <c r="M2086" s="50" t="s">
        <v>13</v>
      </c>
      <c r="N2086" s="50" t="s">
        <v>14</v>
      </c>
      <c r="O2086" s="48" t="s">
        <v>620</v>
      </c>
      <c r="P2086" s="45" t="s">
        <v>453</v>
      </c>
      <c r="Q2086" s="35" t="str">
        <f>MID(Tabla1[[#This Row],[Aplicación]],14,1)</f>
        <v>2</v>
      </c>
      <c r="R2086" s="35" t="s">
        <v>441</v>
      </c>
      <c r="S2086" s="35" t="str">
        <f>MID(Tabla1[[#This Row],[Aplicación]],6,2)</f>
        <v>10</v>
      </c>
      <c r="T2086" s="35" t="str">
        <f>VLOOKUP(Tabla1[[#This Row],[AREA]],Hoja1!A:B,2,FALSE)</f>
        <v>10. Servicios sociales y mediación comunitaria</v>
      </c>
      <c r="U2086" s="35" t="str">
        <f>MID(Tabla1[[#This Row],[Aplicación]],9,4)</f>
        <v>2412</v>
      </c>
      <c r="V2086" s="35" t="str">
        <f>VLOOKUP(Tabla1[[#This Row],[PROGRAMA]],Hoja1!A:B,2,FALSE)</f>
        <v>2412. Formación para el empleo</v>
      </c>
      <c r="W2086" s="35" t="str">
        <f>MID(Tabla1[[#This Row],[Aplicación]],14,2)</f>
        <v>22</v>
      </c>
      <c r="X2086" s="35" t="str">
        <f>MID(Tabla1[[#This Row],[Aplicación]],14,6)</f>
        <v>22200</v>
      </c>
    </row>
    <row r="2087" spans="1:24" x14ac:dyDescent="0.25">
      <c r="A2087" s="49">
        <v>220220000351</v>
      </c>
      <c r="B2087" s="50" t="s">
        <v>9</v>
      </c>
      <c r="C2087" s="57">
        <v>44585</v>
      </c>
      <c r="D2087" s="49">
        <v>22022001280</v>
      </c>
      <c r="E2087" s="50" t="s">
        <v>3458</v>
      </c>
      <c r="F2087" s="58">
        <v>181.36</v>
      </c>
      <c r="G2087" s="50" t="s">
        <v>106</v>
      </c>
      <c r="H2087" s="50" t="s">
        <v>3462</v>
      </c>
      <c r="I2087" s="49" t="s">
        <v>107</v>
      </c>
      <c r="J2087" s="50" t="s">
        <v>108</v>
      </c>
      <c r="K2087" s="50" t="s">
        <v>108</v>
      </c>
      <c r="L2087" s="50" t="s">
        <v>15</v>
      </c>
      <c r="M2087" s="50" t="s">
        <v>13</v>
      </c>
      <c r="N2087" s="50" t="s">
        <v>14</v>
      </c>
      <c r="O2087" s="48" t="s">
        <v>620</v>
      </c>
      <c r="P2087" s="45" t="s">
        <v>453</v>
      </c>
      <c r="Q2087" s="35" t="str">
        <f>MID(Tabla1[[#This Row],[Aplicación]],14,1)</f>
        <v>2</v>
      </c>
      <c r="R2087" s="35" t="s">
        <v>441</v>
      </c>
      <c r="S2087" s="35" t="str">
        <f>MID(Tabla1[[#This Row],[Aplicación]],6,2)</f>
        <v>10</v>
      </c>
      <c r="T2087" s="35" t="str">
        <f>VLOOKUP(Tabla1[[#This Row],[AREA]],Hoja1!A:B,2,FALSE)</f>
        <v>10. Servicios sociales y mediación comunitaria</v>
      </c>
      <c r="U2087" s="35" t="str">
        <f>MID(Tabla1[[#This Row],[Aplicación]],9,4)</f>
        <v>2412</v>
      </c>
      <c r="V2087" s="35" t="str">
        <f>VLOOKUP(Tabla1[[#This Row],[PROGRAMA]],Hoja1!A:B,2,FALSE)</f>
        <v>2412. Formación para el empleo</v>
      </c>
      <c r="W2087" s="35" t="str">
        <f>MID(Tabla1[[#This Row],[Aplicación]],14,2)</f>
        <v>22</v>
      </c>
      <c r="X2087" s="35" t="str">
        <f>MID(Tabla1[[#This Row],[Aplicación]],14,6)</f>
        <v>22200</v>
      </c>
    </row>
    <row r="2088" spans="1:24" x14ac:dyDescent="0.25">
      <c r="A2088" s="49">
        <v>220220000351</v>
      </c>
      <c r="B2088" s="50" t="s">
        <v>9</v>
      </c>
      <c r="C2088" s="57">
        <v>44585</v>
      </c>
      <c r="D2088" s="49">
        <v>22022001278</v>
      </c>
      <c r="E2088" s="50" t="s">
        <v>3458</v>
      </c>
      <c r="F2088" s="58">
        <v>147.11000000000001</v>
      </c>
      <c r="G2088" s="50" t="s">
        <v>106</v>
      </c>
      <c r="H2088" s="50" t="s">
        <v>3462</v>
      </c>
      <c r="I2088" s="49" t="s">
        <v>107</v>
      </c>
      <c r="J2088" s="50" t="s">
        <v>108</v>
      </c>
      <c r="K2088" s="50" t="s">
        <v>108</v>
      </c>
      <c r="L2088" s="50" t="s">
        <v>15</v>
      </c>
      <c r="M2088" s="50" t="s">
        <v>13</v>
      </c>
      <c r="N2088" s="50" t="s">
        <v>14</v>
      </c>
      <c r="O2088" s="48" t="s">
        <v>620</v>
      </c>
      <c r="P2088" s="45" t="s">
        <v>453</v>
      </c>
      <c r="Q2088" s="35" t="str">
        <f>MID(Tabla1[[#This Row],[Aplicación]],14,1)</f>
        <v>2</v>
      </c>
      <c r="R2088" s="35" t="s">
        <v>441</v>
      </c>
      <c r="S2088" s="35" t="str">
        <f>MID(Tabla1[[#This Row],[Aplicación]],6,2)</f>
        <v>10</v>
      </c>
      <c r="T2088" s="35" t="str">
        <f>VLOOKUP(Tabla1[[#This Row],[AREA]],Hoja1!A:B,2,FALSE)</f>
        <v>10. Servicios sociales y mediación comunitaria</v>
      </c>
      <c r="U2088" s="35" t="str">
        <f>MID(Tabla1[[#This Row],[Aplicación]],9,4)</f>
        <v>2412</v>
      </c>
      <c r="V2088" s="35" t="str">
        <f>VLOOKUP(Tabla1[[#This Row],[PROGRAMA]],Hoja1!A:B,2,FALSE)</f>
        <v>2412. Formación para el empleo</v>
      </c>
      <c r="W2088" s="35" t="str">
        <f>MID(Tabla1[[#This Row],[Aplicación]],14,2)</f>
        <v>22</v>
      </c>
      <c r="X2088" s="35" t="str">
        <f>MID(Tabla1[[#This Row],[Aplicación]],14,6)</f>
        <v>22200</v>
      </c>
    </row>
    <row r="2089" spans="1:24" x14ac:dyDescent="0.25">
      <c r="A2089" s="49">
        <v>220220000350</v>
      </c>
      <c r="B2089" s="50" t="s">
        <v>447</v>
      </c>
      <c r="C2089" s="57">
        <v>44585</v>
      </c>
      <c r="D2089" s="49">
        <v>22022000411</v>
      </c>
      <c r="E2089" s="50" t="s">
        <v>3458</v>
      </c>
      <c r="F2089" s="58">
        <v>-555.16999999999996</v>
      </c>
      <c r="G2089" s="50" t="s">
        <v>106</v>
      </c>
      <c r="H2089" s="50" t="s">
        <v>3459</v>
      </c>
      <c r="I2089" s="49" t="s">
        <v>107</v>
      </c>
      <c r="J2089" s="50" t="s">
        <v>108</v>
      </c>
      <c r="K2089" s="50" t="s">
        <v>108</v>
      </c>
      <c r="L2089" s="50" t="s">
        <v>15</v>
      </c>
      <c r="M2089" s="50" t="s">
        <v>13</v>
      </c>
      <c r="N2089" s="50" t="s">
        <v>14</v>
      </c>
      <c r="O2089" s="48" t="s">
        <v>620</v>
      </c>
      <c r="P2089" s="45" t="s">
        <v>453</v>
      </c>
      <c r="Q2089" s="35" t="str">
        <f>MID(Tabla1[[#This Row],[Aplicación]],14,1)</f>
        <v>2</v>
      </c>
      <c r="R2089" s="35" t="s">
        <v>441</v>
      </c>
      <c r="S2089" s="35" t="str">
        <f>MID(Tabla1[[#This Row],[Aplicación]],6,2)</f>
        <v>10</v>
      </c>
      <c r="T2089" s="35" t="str">
        <f>VLOOKUP(Tabla1[[#This Row],[AREA]],Hoja1!A:B,2,FALSE)</f>
        <v>10. Servicios sociales y mediación comunitaria</v>
      </c>
      <c r="U2089" s="35" t="str">
        <f>MID(Tabla1[[#This Row],[Aplicación]],9,4)</f>
        <v>2412</v>
      </c>
      <c r="V2089" s="35" t="str">
        <f>VLOOKUP(Tabla1[[#This Row],[PROGRAMA]],Hoja1!A:B,2,FALSE)</f>
        <v>2412. Formación para el empleo</v>
      </c>
      <c r="W2089" s="35" t="str">
        <f>MID(Tabla1[[#This Row],[Aplicación]],14,2)</f>
        <v>22</v>
      </c>
      <c r="X2089" s="35" t="str">
        <f>MID(Tabla1[[#This Row],[Aplicación]],14,6)</f>
        <v>22200</v>
      </c>
    </row>
    <row r="2090" spans="1:24" x14ac:dyDescent="0.25">
      <c r="A2090" s="49">
        <v>220220010309</v>
      </c>
      <c r="B2090" s="50" t="s">
        <v>9</v>
      </c>
      <c r="C2090" s="57">
        <v>44641</v>
      </c>
      <c r="D2090" s="49">
        <v>22022002868</v>
      </c>
      <c r="E2090" s="50" t="s">
        <v>1841</v>
      </c>
      <c r="F2090" s="58">
        <v>51.47</v>
      </c>
      <c r="G2090" s="50" t="s">
        <v>1334</v>
      </c>
      <c r="H2090" s="50" t="s">
        <v>3463</v>
      </c>
      <c r="I2090" s="49" t="s">
        <v>107</v>
      </c>
      <c r="J2090" s="50" t="s">
        <v>109</v>
      </c>
      <c r="K2090" s="50" t="s">
        <v>109</v>
      </c>
      <c r="L2090" s="50" t="s">
        <v>15</v>
      </c>
      <c r="M2090" s="50" t="s">
        <v>10</v>
      </c>
      <c r="N2090" s="50" t="s">
        <v>11</v>
      </c>
      <c r="O2090" s="48" t="s">
        <v>632</v>
      </c>
      <c r="P2090" s="45" t="s">
        <v>453</v>
      </c>
      <c r="Q2090" s="35" t="str">
        <f>MID(Tabla1[[#This Row],[Aplicación]],14,1)</f>
        <v>2</v>
      </c>
      <c r="R2090" s="35" t="s">
        <v>441</v>
      </c>
      <c r="S2090" s="35" t="str">
        <f>MID(Tabla1[[#This Row],[Aplicación]],6,2)</f>
        <v>03</v>
      </c>
      <c r="T2090" s="35" t="str">
        <f>VLOOKUP(Tabla1[[#This Row],[AREA]],Hoja1!A:B,2,FALSE)</f>
        <v>03. Participación ciudadana y deportes</v>
      </c>
      <c r="U2090" s="35" t="str">
        <f>MID(Tabla1[[#This Row],[Aplicación]],9,4)</f>
        <v>9241</v>
      </c>
      <c r="V2090" s="35" t="str">
        <f>VLOOKUP(Tabla1[[#This Row],[PROGRAMA]],Hoja1!A:B,2,FALSE)</f>
        <v>9241. Participación ciudadana</v>
      </c>
      <c r="W2090" s="35" t="str">
        <f>MID(Tabla1[[#This Row],[Aplicación]],14,2)</f>
        <v>22</v>
      </c>
      <c r="X2090" s="35" t="str">
        <f>MID(Tabla1[[#This Row],[Aplicación]],14,6)</f>
        <v>22602</v>
      </c>
    </row>
    <row r="2091" spans="1:24" x14ac:dyDescent="0.25">
      <c r="A2091" s="49">
        <v>220220000339</v>
      </c>
      <c r="B2091" s="50" t="s">
        <v>9</v>
      </c>
      <c r="C2091" s="57">
        <v>44585</v>
      </c>
      <c r="D2091" s="49">
        <v>22022001168</v>
      </c>
      <c r="E2091" s="50" t="s">
        <v>1579</v>
      </c>
      <c r="F2091" s="58">
        <v>48.76</v>
      </c>
      <c r="G2091" s="50" t="s">
        <v>1343</v>
      </c>
      <c r="H2091" s="50" t="s">
        <v>3464</v>
      </c>
      <c r="I2091" s="49" t="s">
        <v>107</v>
      </c>
      <c r="J2091" s="50" t="s">
        <v>109</v>
      </c>
      <c r="K2091" s="50" t="s">
        <v>109</v>
      </c>
      <c r="L2091" s="50" t="s">
        <v>15</v>
      </c>
      <c r="M2091" s="50" t="s">
        <v>10</v>
      </c>
      <c r="N2091" s="50" t="s">
        <v>11</v>
      </c>
      <c r="O2091" s="48" t="s">
        <v>632</v>
      </c>
      <c r="P2091" s="45" t="s">
        <v>453</v>
      </c>
      <c r="Q2091" s="35" t="str">
        <f>MID(Tabla1[[#This Row],[Aplicación]],14,1)</f>
        <v>2</v>
      </c>
      <c r="R2091" s="35" t="s">
        <v>441</v>
      </c>
      <c r="S2091" s="35" t="str">
        <f>MID(Tabla1[[#This Row],[Aplicación]],6,2)</f>
        <v>10</v>
      </c>
      <c r="T2091" s="35" t="str">
        <f>VLOOKUP(Tabla1[[#This Row],[AREA]],Hoja1!A:B,2,FALSE)</f>
        <v>10. Servicios sociales y mediación comunitaria</v>
      </c>
      <c r="U2091" s="35" t="str">
        <f>MID(Tabla1[[#This Row],[Aplicación]],9,4)</f>
        <v>2412</v>
      </c>
      <c r="V2091" s="35" t="str">
        <f>VLOOKUP(Tabla1[[#This Row],[PROGRAMA]],Hoja1!A:B,2,FALSE)</f>
        <v>2412. Formación para el empleo</v>
      </c>
      <c r="W2091" s="35" t="str">
        <f>MID(Tabla1[[#This Row],[Aplicación]],14,2)</f>
        <v>22</v>
      </c>
      <c r="X2091" s="35" t="str">
        <f>MID(Tabla1[[#This Row],[Aplicación]],14,6)</f>
        <v>22199</v>
      </c>
    </row>
    <row r="2092" spans="1:24" x14ac:dyDescent="0.25">
      <c r="A2092" s="49">
        <v>220209000772</v>
      </c>
      <c r="B2092" s="50" t="s">
        <v>9</v>
      </c>
      <c r="C2092" s="57">
        <v>44562</v>
      </c>
      <c r="D2092" s="49">
        <v>22022000280</v>
      </c>
      <c r="E2092" s="50" t="s">
        <v>3099</v>
      </c>
      <c r="F2092" s="58">
        <v>7946.07</v>
      </c>
      <c r="G2092" s="50" t="s">
        <v>782</v>
      </c>
      <c r="H2092" s="50" t="s">
        <v>899</v>
      </c>
      <c r="I2092" s="49" t="s">
        <v>107</v>
      </c>
      <c r="J2092" s="50" t="s">
        <v>109</v>
      </c>
      <c r="K2092" s="50" t="s">
        <v>109</v>
      </c>
      <c r="L2092" s="50" t="s">
        <v>12</v>
      </c>
      <c r="M2092" s="50" t="s">
        <v>13</v>
      </c>
      <c r="N2092" s="50" t="s">
        <v>14</v>
      </c>
      <c r="O2092" s="48" t="s">
        <v>620</v>
      </c>
      <c r="P2092" s="45" t="s">
        <v>453</v>
      </c>
      <c r="Q2092" s="35" t="str">
        <f>MID(Tabla1[[#This Row],[Aplicación]],14,1)</f>
        <v>2</v>
      </c>
      <c r="R2092" s="35" t="s">
        <v>441</v>
      </c>
      <c r="S2092" s="35" t="str">
        <f>MID(Tabla1[[#This Row],[Aplicación]],6,2)</f>
        <v>09</v>
      </c>
      <c r="T2092" s="35" t="str">
        <f>VLOOKUP(Tabla1[[#This Row],[AREA]],Hoja1!A:B,2,FALSE)</f>
        <v>09. Cultura y turismo</v>
      </c>
      <c r="U2092" s="35" t="str">
        <f>MID(Tabla1[[#This Row],[Aplicación]],9,4)</f>
        <v>3341</v>
      </c>
      <c r="V2092" s="35" t="str">
        <f>VLOOKUP(Tabla1[[#This Row],[PROGRAMA]],Hoja1!A:B,2,FALSE)</f>
        <v>3341. Coordinación de políticas culturales</v>
      </c>
      <c r="W2092" s="35" t="str">
        <f>MID(Tabla1[[#This Row],[Aplicación]],14,2)</f>
        <v>22</v>
      </c>
      <c r="X2092" s="35" t="str">
        <f>MID(Tabla1[[#This Row],[Aplicación]],14,6)</f>
        <v>22700</v>
      </c>
    </row>
    <row r="2093" spans="1:24" x14ac:dyDescent="0.25">
      <c r="A2093" s="49">
        <v>220220012882</v>
      </c>
      <c r="B2093" s="50" t="s">
        <v>9</v>
      </c>
      <c r="C2093" s="57">
        <v>44645</v>
      </c>
      <c r="D2093" s="49">
        <v>22022002914</v>
      </c>
      <c r="E2093" s="50" t="s">
        <v>1649</v>
      </c>
      <c r="F2093" s="58">
        <v>53.52</v>
      </c>
      <c r="G2093" s="50" t="s">
        <v>83</v>
      </c>
      <c r="H2093" s="50" t="s">
        <v>3465</v>
      </c>
      <c r="I2093" s="49" t="s">
        <v>107</v>
      </c>
      <c r="J2093" s="50" t="s">
        <v>572</v>
      </c>
      <c r="K2093" s="50" t="s">
        <v>108</v>
      </c>
      <c r="L2093" s="50" t="s">
        <v>12</v>
      </c>
      <c r="M2093" s="50" t="s">
        <v>10</v>
      </c>
      <c r="N2093" s="50" t="s">
        <v>11</v>
      </c>
      <c r="O2093" s="48" t="s">
        <v>632</v>
      </c>
      <c r="P2093" s="45" t="s">
        <v>453</v>
      </c>
      <c r="Q2093" s="35" t="str">
        <f>MID(Tabla1[[#This Row],[Aplicación]],14,1)</f>
        <v>2</v>
      </c>
      <c r="R2093" s="35" t="s">
        <v>441</v>
      </c>
      <c r="S2093" s="35" t="str">
        <f>MID(Tabla1[[#This Row],[Aplicación]],6,2)</f>
        <v>05</v>
      </c>
      <c r="T2093" s="35" t="str">
        <f>VLOOKUP(Tabla1[[#This Row],[AREA]],Hoja1!A:B,2,FALSE)</f>
        <v>05. Innovación, desarrollo económico, empleo y comercio</v>
      </c>
      <c r="U2093" s="35" t="str">
        <f>MID(Tabla1[[#This Row],[Aplicación]],9,4)</f>
        <v>4312</v>
      </c>
      <c r="V2093" s="35" t="str">
        <f>VLOOKUP(Tabla1[[#This Row],[PROGRAMA]],Hoja1!A:B,2,FALSE)</f>
        <v>4312. Mercados, abastos y lonjas</v>
      </c>
      <c r="W2093" s="35" t="str">
        <f>MID(Tabla1[[#This Row],[Aplicación]],14,2)</f>
        <v>22</v>
      </c>
      <c r="X2093" s="35" t="str">
        <f>MID(Tabla1[[#This Row],[Aplicación]],14,6)</f>
        <v>22199</v>
      </c>
    </row>
    <row r="2094" spans="1:24" x14ac:dyDescent="0.25">
      <c r="A2094" s="49">
        <v>220220006375</v>
      </c>
      <c r="B2094" s="50" t="s">
        <v>9</v>
      </c>
      <c r="C2094" s="57">
        <v>44617</v>
      </c>
      <c r="D2094" s="49">
        <v>22022002365</v>
      </c>
      <c r="E2094" s="50" t="s">
        <v>3466</v>
      </c>
      <c r="F2094" s="58">
        <v>818.4</v>
      </c>
      <c r="G2094" s="50" t="s">
        <v>468</v>
      </c>
      <c r="H2094" s="50" t="s">
        <v>3467</v>
      </c>
      <c r="I2094" s="49" t="s">
        <v>107</v>
      </c>
      <c r="J2094" s="50" t="s">
        <v>109</v>
      </c>
      <c r="K2094" s="50" t="s">
        <v>109</v>
      </c>
      <c r="L2094" s="50" t="s">
        <v>12</v>
      </c>
      <c r="M2094" s="50" t="s">
        <v>10</v>
      </c>
      <c r="N2094" s="50" t="s">
        <v>11</v>
      </c>
      <c r="O2094" s="48" t="s">
        <v>632</v>
      </c>
      <c r="P2094" s="45" t="s">
        <v>453</v>
      </c>
      <c r="Q2094" s="35" t="str">
        <f>MID(Tabla1[[#This Row],[Aplicación]],14,1)</f>
        <v>2</v>
      </c>
      <c r="R2094" s="35" t="s">
        <v>441</v>
      </c>
      <c r="S2094" s="35" t="str">
        <f>MID(Tabla1[[#This Row],[Aplicación]],6,2)</f>
        <v>05</v>
      </c>
      <c r="T2094" s="35" t="str">
        <f>VLOOKUP(Tabla1[[#This Row],[AREA]],Hoja1!A:B,2,FALSE)</f>
        <v>05. Innovación, desarrollo económico, empleo y comercio</v>
      </c>
      <c r="U2094" s="35" t="str">
        <f>MID(Tabla1[[#This Row],[Aplicación]],9,4)</f>
        <v>4331</v>
      </c>
      <c r="V2094" s="35" t="str">
        <f>VLOOKUP(Tabla1[[#This Row],[PROGRAMA]],Hoja1!A:B,2,FALSE)</f>
        <v>4331. Desarrollo empresarial</v>
      </c>
      <c r="W2094" s="35" t="str">
        <f>MID(Tabla1[[#This Row],[Aplicación]],14,2)</f>
        <v>20</v>
      </c>
      <c r="X2094" s="35" t="str">
        <f>MID(Tabla1[[#This Row],[Aplicación]],14,6)</f>
        <v>204</v>
      </c>
    </row>
    <row r="2095" spans="1:24" x14ac:dyDescent="0.25">
      <c r="A2095" s="49">
        <v>220210085332</v>
      </c>
      <c r="B2095" s="50" t="s">
        <v>9</v>
      </c>
      <c r="C2095" s="57">
        <v>44620</v>
      </c>
      <c r="D2095" s="49">
        <v>22021005526</v>
      </c>
      <c r="E2095" s="50" t="s">
        <v>2725</v>
      </c>
      <c r="F2095" s="58">
        <v>56760.74</v>
      </c>
      <c r="G2095" s="50" t="s">
        <v>468</v>
      </c>
      <c r="H2095" s="50" t="s">
        <v>1360</v>
      </c>
      <c r="I2095" s="49" t="s">
        <v>107</v>
      </c>
      <c r="J2095" s="50" t="s">
        <v>109</v>
      </c>
      <c r="K2095" s="50" t="s">
        <v>109</v>
      </c>
      <c r="L2095" s="50" t="s">
        <v>15</v>
      </c>
      <c r="M2095" s="50" t="s">
        <v>13</v>
      </c>
      <c r="N2095" s="50" t="s">
        <v>14</v>
      </c>
      <c r="O2095" s="48" t="s">
        <v>620</v>
      </c>
      <c r="P2095" s="45" t="s">
        <v>453</v>
      </c>
      <c r="Q2095" s="35" t="str">
        <f>MID(Tabla1[[#This Row],[Aplicación]],14,1)</f>
        <v>6</v>
      </c>
      <c r="R2095" s="35" t="s">
        <v>442</v>
      </c>
      <c r="S2095" s="35" t="str">
        <f>MID(Tabla1[[#This Row],[Aplicación]],6,2)</f>
        <v>02</v>
      </c>
      <c r="T2095" s="35" t="str">
        <f>VLOOKUP(Tabla1[[#This Row],[AREA]],Hoja1!A:B,2,FALSE)</f>
        <v>02. Planeamiento urbanístico y vivienda</v>
      </c>
      <c r="U2095" s="35" t="str">
        <f>MID(Tabla1[[#This Row],[Aplicación]],9,4)</f>
        <v>9332</v>
      </c>
      <c r="V2095" s="35" t="str">
        <f>VLOOKUP(Tabla1[[#This Row],[PROGRAMA]],Hoja1!A:B,2,FALSE)</f>
        <v>9332. Mantenimiento de edificios e instalaciones municipales</v>
      </c>
      <c r="W2095" s="35" t="str">
        <f>MID(Tabla1[[#This Row],[Aplicación]],14,2)</f>
        <v>62</v>
      </c>
      <c r="X2095" s="35" t="str">
        <f>MID(Tabla1[[#This Row],[Aplicación]],14,6)</f>
        <v>624</v>
      </c>
    </row>
    <row r="2096" spans="1:24" x14ac:dyDescent="0.25">
      <c r="A2096" s="49">
        <v>220220004123</v>
      </c>
      <c r="B2096" s="50" t="s">
        <v>172</v>
      </c>
      <c r="C2096" s="57">
        <v>44610</v>
      </c>
      <c r="D2096" s="49">
        <v>22022001453</v>
      </c>
      <c r="E2096" s="50" t="s">
        <v>1608</v>
      </c>
      <c r="F2096" s="58">
        <v>97.72</v>
      </c>
      <c r="G2096" s="50" t="s">
        <v>468</v>
      </c>
      <c r="H2096" s="50" t="s">
        <v>3468</v>
      </c>
      <c r="I2096" s="49" t="s">
        <v>173</v>
      </c>
      <c r="J2096" s="50" t="s">
        <v>109</v>
      </c>
      <c r="K2096" s="50" t="s">
        <v>109</v>
      </c>
      <c r="L2096" s="50" t="s">
        <v>12</v>
      </c>
      <c r="M2096" s="50" t="s">
        <v>13</v>
      </c>
      <c r="N2096" s="50" t="s">
        <v>14</v>
      </c>
      <c r="O2096" s="48" t="s">
        <v>631</v>
      </c>
      <c r="P2096" s="45" t="s">
        <v>453</v>
      </c>
      <c r="Q2096" s="35" t="str">
        <f>MID(Tabla1[[#This Row],[Aplicación]],14,1)</f>
        <v>2</v>
      </c>
      <c r="R2096" s="35" t="s">
        <v>441</v>
      </c>
      <c r="S2096" s="35" t="str">
        <f>MID(Tabla1[[#This Row],[Aplicación]],6,2)</f>
        <v>11</v>
      </c>
      <c r="T2096" s="35" t="str">
        <f>VLOOKUP(Tabla1[[#This Row],[AREA]],Hoja1!A:B,2,FALSE)</f>
        <v>11. Salud pública y seguridad ciudadana</v>
      </c>
      <c r="U2096" s="35" t="str">
        <f>MID(Tabla1[[#This Row],[Aplicación]],9,4)</f>
        <v>1321</v>
      </c>
      <c r="V2096" s="35" t="str">
        <f>VLOOKUP(Tabla1[[#This Row],[PROGRAMA]],Hoja1!A:B,2,FALSE)</f>
        <v>1321. Policía municipal</v>
      </c>
      <c r="W2096" s="35" t="str">
        <f>MID(Tabla1[[#This Row],[Aplicación]],14,2)</f>
        <v>21</v>
      </c>
      <c r="X2096" s="35" t="str">
        <f>MID(Tabla1[[#This Row],[Aplicación]],14,6)</f>
        <v>214</v>
      </c>
    </row>
    <row r="2097" spans="1:24" x14ac:dyDescent="0.25">
      <c r="A2097" s="49">
        <v>220220004125</v>
      </c>
      <c r="B2097" s="50" t="s">
        <v>172</v>
      </c>
      <c r="C2097" s="57">
        <v>44610</v>
      </c>
      <c r="D2097" s="49">
        <v>22022001453</v>
      </c>
      <c r="E2097" s="50" t="s">
        <v>1608</v>
      </c>
      <c r="F2097" s="58">
        <v>27</v>
      </c>
      <c r="G2097" s="50" t="s">
        <v>468</v>
      </c>
      <c r="H2097" s="50" t="s">
        <v>3469</v>
      </c>
      <c r="I2097" s="49" t="s">
        <v>173</v>
      </c>
      <c r="J2097" s="50" t="s">
        <v>109</v>
      </c>
      <c r="K2097" s="50" t="s">
        <v>109</v>
      </c>
      <c r="L2097" s="50" t="s">
        <v>12</v>
      </c>
      <c r="M2097" s="50" t="s">
        <v>13</v>
      </c>
      <c r="N2097" s="50" t="s">
        <v>14</v>
      </c>
      <c r="O2097" s="48" t="s">
        <v>631</v>
      </c>
      <c r="P2097" s="45" t="s">
        <v>453</v>
      </c>
      <c r="Q2097" s="35" t="str">
        <f>MID(Tabla1[[#This Row],[Aplicación]],14,1)</f>
        <v>2</v>
      </c>
      <c r="R2097" s="35" t="s">
        <v>441</v>
      </c>
      <c r="S2097" s="35" t="str">
        <f>MID(Tabla1[[#This Row],[Aplicación]],6,2)</f>
        <v>11</v>
      </c>
      <c r="T2097" s="35" t="str">
        <f>VLOOKUP(Tabla1[[#This Row],[AREA]],Hoja1!A:B,2,FALSE)</f>
        <v>11. Salud pública y seguridad ciudadana</v>
      </c>
      <c r="U2097" s="35" t="str">
        <f>MID(Tabla1[[#This Row],[Aplicación]],9,4)</f>
        <v>1321</v>
      </c>
      <c r="V2097" s="35" t="str">
        <f>VLOOKUP(Tabla1[[#This Row],[PROGRAMA]],Hoja1!A:B,2,FALSE)</f>
        <v>1321. Policía municipal</v>
      </c>
      <c r="W2097" s="35" t="str">
        <f>MID(Tabla1[[#This Row],[Aplicación]],14,2)</f>
        <v>21</v>
      </c>
      <c r="X2097" s="35" t="str">
        <f>MID(Tabla1[[#This Row],[Aplicación]],14,6)</f>
        <v>214</v>
      </c>
    </row>
    <row r="2098" spans="1:24" x14ac:dyDescent="0.25">
      <c r="A2098" s="49">
        <v>220220005564</v>
      </c>
      <c r="B2098" s="50" t="s">
        <v>172</v>
      </c>
      <c r="C2098" s="57">
        <v>44614</v>
      </c>
      <c r="D2098" s="49">
        <v>22022001453</v>
      </c>
      <c r="E2098" s="50" t="s">
        <v>1608</v>
      </c>
      <c r="F2098" s="58">
        <v>70.83</v>
      </c>
      <c r="G2098" s="50" t="s">
        <v>468</v>
      </c>
      <c r="H2098" s="50" t="s">
        <v>3470</v>
      </c>
      <c r="I2098" s="49" t="s">
        <v>173</v>
      </c>
      <c r="J2098" s="50" t="s">
        <v>109</v>
      </c>
      <c r="K2098" s="50" t="s">
        <v>109</v>
      </c>
      <c r="L2098" s="50" t="s">
        <v>12</v>
      </c>
      <c r="M2098" s="50" t="s">
        <v>13</v>
      </c>
      <c r="N2098" s="50" t="s">
        <v>14</v>
      </c>
      <c r="O2098" s="48" t="s">
        <v>631</v>
      </c>
      <c r="P2098" s="45" t="s">
        <v>453</v>
      </c>
      <c r="Q2098" s="35" t="str">
        <f>MID(Tabla1[[#This Row],[Aplicación]],14,1)</f>
        <v>2</v>
      </c>
      <c r="R2098" s="35" t="s">
        <v>441</v>
      </c>
      <c r="S2098" s="35" t="str">
        <f>MID(Tabla1[[#This Row],[Aplicación]],6,2)</f>
        <v>11</v>
      </c>
      <c r="T2098" s="35" t="str">
        <f>VLOOKUP(Tabla1[[#This Row],[AREA]],Hoja1!A:B,2,FALSE)</f>
        <v>11. Salud pública y seguridad ciudadana</v>
      </c>
      <c r="U2098" s="35" t="str">
        <f>MID(Tabla1[[#This Row],[Aplicación]],9,4)</f>
        <v>1321</v>
      </c>
      <c r="V2098" s="35" t="str">
        <f>VLOOKUP(Tabla1[[#This Row],[PROGRAMA]],Hoja1!A:B,2,FALSE)</f>
        <v>1321. Policía municipal</v>
      </c>
      <c r="W2098" s="35" t="str">
        <f>MID(Tabla1[[#This Row],[Aplicación]],14,2)</f>
        <v>21</v>
      </c>
      <c r="X2098" s="35" t="str">
        <f>MID(Tabla1[[#This Row],[Aplicación]],14,6)</f>
        <v>214</v>
      </c>
    </row>
    <row r="2099" spans="1:24" x14ac:dyDescent="0.25">
      <c r="A2099" s="49">
        <v>220220005566</v>
      </c>
      <c r="B2099" s="50" t="s">
        <v>172</v>
      </c>
      <c r="C2099" s="57">
        <v>44614</v>
      </c>
      <c r="D2099" s="49">
        <v>22022001453</v>
      </c>
      <c r="E2099" s="50" t="s">
        <v>1608</v>
      </c>
      <c r="F2099" s="58">
        <v>50.88</v>
      </c>
      <c r="G2099" s="50" t="s">
        <v>468</v>
      </c>
      <c r="H2099" s="50" t="s">
        <v>3471</v>
      </c>
      <c r="I2099" s="49" t="s">
        <v>173</v>
      </c>
      <c r="J2099" s="50" t="s">
        <v>109</v>
      </c>
      <c r="K2099" s="50" t="s">
        <v>109</v>
      </c>
      <c r="L2099" s="50" t="s">
        <v>12</v>
      </c>
      <c r="M2099" s="50" t="s">
        <v>13</v>
      </c>
      <c r="N2099" s="50" t="s">
        <v>14</v>
      </c>
      <c r="O2099" s="48" t="s">
        <v>631</v>
      </c>
      <c r="P2099" s="45" t="s">
        <v>453</v>
      </c>
      <c r="Q2099" s="35" t="str">
        <f>MID(Tabla1[[#This Row],[Aplicación]],14,1)</f>
        <v>2</v>
      </c>
      <c r="R2099" s="35" t="s">
        <v>441</v>
      </c>
      <c r="S2099" s="35" t="str">
        <f>MID(Tabla1[[#This Row],[Aplicación]],6,2)</f>
        <v>11</v>
      </c>
      <c r="T2099" s="35" t="str">
        <f>VLOOKUP(Tabla1[[#This Row],[AREA]],Hoja1!A:B,2,FALSE)</f>
        <v>11. Salud pública y seguridad ciudadana</v>
      </c>
      <c r="U2099" s="35" t="str">
        <f>MID(Tabla1[[#This Row],[Aplicación]],9,4)</f>
        <v>1321</v>
      </c>
      <c r="V2099" s="35" t="str">
        <f>VLOOKUP(Tabla1[[#This Row],[PROGRAMA]],Hoja1!A:B,2,FALSE)</f>
        <v>1321. Policía municipal</v>
      </c>
      <c r="W2099" s="35" t="str">
        <f>MID(Tabla1[[#This Row],[Aplicación]],14,2)</f>
        <v>21</v>
      </c>
      <c r="X2099" s="35" t="str">
        <f>MID(Tabla1[[#This Row],[Aplicación]],14,6)</f>
        <v>214</v>
      </c>
    </row>
    <row r="2100" spans="1:24" x14ac:dyDescent="0.25">
      <c r="A2100" s="49">
        <v>220220008420</v>
      </c>
      <c r="B2100" s="50" t="s">
        <v>172</v>
      </c>
      <c r="C2100" s="57">
        <v>44631</v>
      </c>
      <c r="D2100" s="49">
        <v>22022001637</v>
      </c>
      <c r="E2100" s="50" t="s">
        <v>1922</v>
      </c>
      <c r="F2100" s="58">
        <v>52.37</v>
      </c>
      <c r="G2100" s="50" t="s">
        <v>468</v>
      </c>
      <c r="H2100" s="50" t="s">
        <v>3472</v>
      </c>
      <c r="I2100" s="49" t="s">
        <v>173</v>
      </c>
      <c r="J2100" s="50" t="s">
        <v>109</v>
      </c>
      <c r="K2100" s="50" t="s">
        <v>109</v>
      </c>
      <c r="L2100" s="50" t="s">
        <v>15</v>
      </c>
      <c r="M2100" s="50" t="s">
        <v>13</v>
      </c>
      <c r="N2100" s="50" t="s">
        <v>14</v>
      </c>
      <c r="O2100" s="48" t="s">
        <v>631</v>
      </c>
      <c r="P2100" s="45" t="s">
        <v>453</v>
      </c>
      <c r="Q2100" s="35" t="str">
        <f>MID(Tabla1[[#This Row],[Aplicación]],14,1)</f>
        <v>2</v>
      </c>
      <c r="R2100" s="35" t="s">
        <v>441</v>
      </c>
      <c r="S2100" s="35" t="str">
        <f>MID(Tabla1[[#This Row],[Aplicación]],6,2)</f>
        <v>07</v>
      </c>
      <c r="T2100" s="35" t="str">
        <f>VLOOKUP(Tabla1[[#This Row],[AREA]],Hoja1!A:B,2,FALSE)</f>
        <v>07. Medio ambiente y desarrollo sostenible</v>
      </c>
      <c r="U2100" s="35" t="str">
        <f>MID(Tabla1[[#This Row],[Aplicación]],9,4)</f>
        <v>1711</v>
      </c>
      <c r="V2100" s="35" t="str">
        <f>VLOOKUP(Tabla1[[#This Row],[PROGRAMA]],Hoja1!A:B,2,FALSE)</f>
        <v>1711. Parques y jardines</v>
      </c>
      <c r="W2100" s="35" t="str">
        <f>MID(Tabla1[[#This Row],[Aplicación]],14,2)</f>
        <v>21</v>
      </c>
      <c r="X2100" s="35" t="str">
        <f>MID(Tabla1[[#This Row],[Aplicación]],14,6)</f>
        <v>214</v>
      </c>
    </row>
    <row r="2101" spans="1:24" x14ac:dyDescent="0.25">
      <c r="A2101" s="49">
        <v>220220009438</v>
      </c>
      <c r="B2101" s="50" t="s">
        <v>172</v>
      </c>
      <c r="C2101" s="57">
        <v>44636</v>
      </c>
      <c r="D2101" s="49">
        <v>22022001637</v>
      </c>
      <c r="E2101" s="50" t="s">
        <v>1922</v>
      </c>
      <c r="F2101" s="58">
        <v>50.36</v>
      </c>
      <c r="G2101" s="50" t="s">
        <v>468</v>
      </c>
      <c r="H2101" s="50" t="s">
        <v>3473</v>
      </c>
      <c r="I2101" s="49" t="s">
        <v>173</v>
      </c>
      <c r="J2101" s="50" t="s">
        <v>109</v>
      </c>
      <c r="K2101" s="50" t="s">
        <v>109</v>
      </c>
      <c r="L2101" s="50" t="s">
        <v>15</v>
      </c>
      <c r="M2101" s="50" t="s">
        <v>13</v>
      </c>
      <c r="N2101" s="50" t="s">
        <v>14</v>
      </c>
      <c r="O2101" s="48" t="s">
        <v>631</v>
      </c>
      <c r="P2101" s="45" t="s">
        <v>453</v>
      </c>
      <c r="Q2101" s="35" t="str">
        <f>MID(Tabla1[[#This Row],[Aplicación]],14,1)</f>
        <v>2</v>
      </c>
      <c r="R2101" s="35" t="s">
        <v>441</v>
      </c>
      <c r="S2101" s="35" t="str">
        <f>MID(Tabla1[[#This Row],[Aplicación]],6,2)</f>
        <v>07</v>
      </c>
      <c r="T2101" s="35" t="str">
        <f>VLOOKUP(Tabla1[[#This Row],[AREA]],Hoja1!A:B,2,FALSE)</f>
        <v>07. Medio ambiente y desarrollo sostenible</v>
      </c>
      <c r="U2101" s="35" t="str">
        <f>MID(Tabla1[[#This Row],[Aplicación]],9,4)</f>
        <v>1711</v>
      </c>
      <c r="V2101" s="35" t="str">
        <f>VLOOKUP(Tabla1[[#This Row],[PROGRAMA]],Hoja1!A:B,2,FALSE)</f>
        <v>1711. Parques y jardines</v>
      </c>
      <c r="W2101" s="35" t="str">
        <f>MID(Tabla1[[#This Row],[Aplicación]],14,2)</f>
        <v>21</v>
      </c>
      <c r="X2101" s="35" t="str">
        <f>MID(Tabla1[[#This Row],[Aplicación]],14,6)</f>
        <v>214</v>
      </c>
    </row>
    <row r="2102" spans="1:24" x14ac:dyDescent="0.25">
      <c r="A2102" s="49">
        <v>220220009586</v>
      </c>
      <c r="B2102" s="50" t="s">
        <v>172</v>
      </c>
      <c r="C2102" s="57">
        <v>44636</v>
      </c>
      <c r="D2102" s="49">
        <v>22022001637</v>
      </c>
      <c r="E2102" s="50" t="s">
        <v>1922</v>
      </c>
      <c r="F2102" s="58">
        <v>52.37</v>
      </c>
      <c r="G2102" s="50" t="s">
        <v>468</v>
      </c>
      <c r="H2102" s="50" t="s">
        <v>3474</v>
      </c>
      <c r="I2102" s="49" t="s">
        <v>173</v>
      </c>
      <c r="J2102" s="50" t="s">
        <v>109</v>
      </c>
      <c r="K2102" s="50" t="s">
        <v>109</v>
      </c>
      <c r="L2102" s="50" t="s">
        <v>15</v>
      </c>
      <c r="M2102" s="50" t="s">
        <v>13</v>
      </c>
      <c r="N2102" s="50" t="s">
        <v>14</v>
      </c>
      <c r="O2102" s="48" t="s">
        <v>631</v>
      </c>
      <c r="P2102" s="45" t="s">
        <v>453</v>
      </c>
      <c r="Q2102" s="35" t="str">
        <f>MID(Tabla1[[#This Row],[Aplicación]],14,1)</f>
        <v>2</v>
      </c>
      <c r="R2102" s="35" t="s">
        <v>441</v>
      </c>
      <c r="S2102" s="35" t="str">
        <f>MID(Tabla1[[#This Row],[Aplicación]],6,2)</f>
        <v>07</v>
      </c>
      <c r="T2102" s="35" t="str">
        <f>VLOOKUP(Tabla1[[#This Row],[AREA]],Hoja1!A:B,2,FALSE)</f>
        <v>07. Medio ambiente y desarrollo sostenible</v>
      </c>
      <c r="U2102" s="35" t="str">
        <f>MID(Tabla1[[#This Row],[Aplicación]],9,4)</f>
        <v>1711</v>
      </c>
      <c r="V2102" s="35" t="str">
        <f>VLOOKUP(Tabla1[[#This Row],[PROGRAMA]],Hoja1!A:B,2,FALSE)</f>
        <v>1711. Parques y jardines</v>
      </c>
      <c r="W2102" s="35" t="str">
        <f>MID(Tabla1[[#This Row],[Aplicación]],14,2)</f>
        <v>21</v>
      </c>
      <c r="X2102" s="35" t="str">
        <f>MID(Tabla1[[#This Row],[Aplicación]],14,6)</f>
        <v>214</v>
      </c>
    </row>
    <row r="2103" spans="1:24" x14ac:dyDescent="0.25">
      <c r="A2103" s="49">
        <v>220220012639</v>
      </c>
      <c r="B2103" s="50" t="s">
        <v>172</v>
      </c>
      <c r="C2103" s="57">
        <v>44644</v>
      </c>
      <c r="D2103" s="49">
        <v>22022001453</v>
      </c>
      <c r="E2103" s="50" t="s">
        <v>1608</v>
      </c>
      <c r="F2103" s="58">
        <v>133.37</v>
      </c>
      <c r="G2103" s="50" t="s">
        <v>468</v>
      </c>
      <c r="H2103" s="50" t="s">
        <v>3475</v>
      </c>
      <c r="I2103" s="49" t="s">
        <v>173</v>
      </c>
      <c r="J2103" s="50" t="s">
        <v>109</v>
      </c>
      <c r="K2103" s="50" t="s">
        <v>109</v>
      </c>
      <c r="L2103" s="50" t="s">
        <v>12</v>
      </c>
      <c r="M2103" s="50" t="s">
        <v>13</v>
      </c>
      <c r="N2103" s="50" t="s">
        <v>14</v>
      </c>
      <c r="O2103" s="48" t="s">
        <v>631</v>
      </c>
      <c r="P2103" s="45" t="s">
        <v>453</v>
      </c>
      <c r="Q2103" s="35" t="str">
        <f>MID(Tabla1[[#This Row],[Aplicación]],14,1)</f>
        <v>2</v>
      </c>
      <c r="R2103" s="35" t="s">
        <v>441</v>
      </c>
      <c r="S2103" s="35" t="str">
        <f>MID(Tabla1[[#This Row],[Aplicación]],6,2)</f>
        <v>11</v>
      </c>
      <c r="T2103" s="35" t="str">
        <f>VLOOKUP(Tabla1[[#This Row],[AREA]],Hoja1!A:B,2,FALSE)</f>
        <v>11. Salud pública y seguridad ciudadana</v>
      </c>
      <c r="U2103" s="35" t="str">
        <f>MID(Tabla1[[#This Row],[Aplicación]],9,4)</f>
        <v>1321</v>
      </c>
      <c r="V2103" s="35" t="str">
        <f>VLOOKUP(Tabla1[[#This Row],[PROGRAMA]],Hoja1!A:B,2,FALSE)</f>
        <v>1321. Policía municipal</v>
      </c>
      <c r="W2103" s="35" t="str">
        <f>MID(Tabla1[[#This Row],[Aplicación]],14,2)</f>
        <v>21</v>
      </c>
      <c r="X2103" s="35" t="str">
        <f>MID(Tabla1[[#This Row],[Aplicación]],14,6)</f>
        <v>214</v>
      </c>
    </row>
    <row r="2104" spans="1:24" x14ac:dyDescent="0.25">
      <c r="A2104" s="49">
        <v>220220012641</v>
      </c>
      <c r="B2104" s="50" t="s">
        <v>172</v>
      </c>
      <c r="C2104" s="57">
        <v>44644</v>
      </c>
      <c r="D2104" s="49">
        <v>22022000684</v>
      </c>
      <c r="E2104" s="50" t="s">
        <v>1471</v>
      </c>
      <c r="F2104" s="58">
        <v>121.47</v>
      </c>
      <c r="G2104" s="50" t="s">
        <v>468</v>
      </c>
      <c r="H2104" s="50" t="s">
        <v>3476</v>
      </c>
      <c r="I2104" s="49" t="s">
        <v>173</v>
      </c>
      <c r="J2104" s="50" t="s">
        <v>109</v>
      </c>
      <c r="K2104" s="50" t="s">
        <v>109</v>
      </c>
      <c r="L2104" s="50" t="s">
        <v>12</v>
      </c>
      <c r="M2104" s="50" t="s">
        <v>13</v>
      </c>
      <c r="N2104" s="50" t="s">
        <v>14</v>
      </c>
      <c r="O2104" s="48" t="s">
        <v>631</v>
      </c>
      <c r="P2104" s="45" t="s">
        <v>453</v>
      </c>
      <c r="Q2104" s="35" t="str">
        <f>MID(Tabla1[[#This Row],[Aplicación]],14,1)</f>
        <v>2</v>
      </c>
      <c r="R2104" s="35" t="s">
        <v>441</v>
      </c>
      <c r="S2104" s="35" t="str">
        <f>MID(Tabla1[[#This Row],[Aplicación]],6,2)</f>
        <v>11</v>
      </c>
      <c r="T2104" s="35" t="str">
        <f>VLOOKUP(Tabla1[[#This Row],[AREA]],Hoja1!A:B,2,FALSE)</f>
        <v>11. Salud pública y seguridad ciudadana</v>
      </c>
      <c r="U2104" s="35" t="str">
        <f>MID(Tabla1[[#This Row],[Aplicación]],9,4)</f>
        <v>1321</v>
      </c>
      <c r="V2104" s="35" t="str">
        <f>VLOOKUP(Tabla1[[#This Row],[PROGRAMA]],Hoja1!A:B,2,FALSE)</f>
        <v>1321. Policía municipal</v>
      </c>
      <c r="W2104" s="35" t="str">
        <f>MID(Tabla1[[#This Row],[Aplicación]],14,2)</f>
        <v>21</v>
      </c>
      <c r="X2104" s="35" t="str">
        <f>MID(Tabla1[[#This Row],[Aplicación]],14,6)</f>
        <v>213</v>
      </c>
    </row>
    <row r="2105" spans="1:24" x14ac:dyDescent="0.25">
      <c r="A2105" s="49">
        <v>220220008968</v>
      </c>
      <c r="B2105" s="50" t="s">
        <v>9</v>
      </c>
      <c r="C2105" s="57">
        <v>44635</v>
      </c>
      <c r="D2105" s="49">
        <v>22022002768</v>
      </c>
      <c r="E2105" s="50" t="s">
        <v>2676</v>
      </c>
      <c r="F2105" s="58">
        <v>47.57</v>
      </c>
      <c r="G2105" s="50" t="s">
        <v>44</v>
      </c>
      <c r="H2105" s="50" t="s">
        <v>3477</v>
      </c>
      <c r="I2105" s="49" t="s">
        <v>107</v>
      </c>
      <c r="J2105" s="50" t="s">
        <v>109</v>
      </c>
      <c r="K2105" s="50" t="s">
        <v>109</v>
      </c>
      <c r="L2105" s="50" t="s">
        <v>15</v>
      </c>
      <c r="M2105" s="50" t="s">
        <v>10</v>
      </c>
      <c r="N2105" s="50" t="s">
        <v>11</v>
      </c>
      <c r="O2105" s="48" t="s">
        <v>632</v>
      </c>
      <c r="P2105" s="45" t="s">
        <v>453</v>
      </c>
      <c r="Q2105" s="35" t="str">
        <f>MID(Tabla1[[#This Row],[Aplicación]],14,1)</f>
        <v>2</v>
      </c>
      <c r="R2105" s="35" t="s">
        <v>441</v>
      </c>
      <c r="S2105" s="35" t="str">
        <f>MID(Tabla1[[#This Row],[Aplicación]],6,2)</f>
        <v>02</v>
      </c>
      <c r="T2105" s="35" t="str">
        <f>VLOOKUP(Tabla1[[#This Row],[AREA]],Hoja1!A:B,2,FALSE)</f>
        <v>02. Planeamiento urbanístico y vivienda</v>
      </c>
      <c r="U2105" s="35" t="str">
        <f>MID(Tabla1[[#This Row],[Aplicación]],9,4)</f>
        <v>9332</v>
      </c>
      <c r="V2105" s="35" t="str">
        <f>VLOOKUP(Tabla1[[#This Row],[PROGRAMA]],Hoja1!A:B,2,FALSE)</f>
        <v>9332. Mantenimiento de edificios e instalaciones municipales</v>
      </c>
      <c r="W2105" s="35" t="str">
        <f>MID(Tabla1[[#This Row],[Aplicación]],14,2)</f>
        <v>22</v>
      </c>
      <c r="X2105" s="35" t="str">
        <f>MID(Tabla1[[#This Row],[Aplicación]],14,6)</f>
        <v>22699</v>
      </c>
    </row>
    <row r="2106" spans="1:24" x14ac:dyDescent="0.25">
      <c r="A2106" s="49">
        <v>220220000325</v>
      </c>
      <c r="B2106" s="50" t="s">
        <v>26</v>
      </c>
      <c r="C2106" s="57">
        <v>44582</v>
      </c>
      <c r="D2106" s="49">
        <v>22022001423</v>
      </c>
      <c r="E2106" s="50" t="s">
        <v>1475</v>
      </c>
      <c r="F2106" s="58">
        <v>43.62</v>
      </c>
      <c r="G2106" s="50" t="s">
        <v>60</v>
      </c>
      <c r="H2106" s="50" t="s">
        <v>3478</v>
      </c>
      <c r="I2106" s="49" t="s">
        <v>197</v>
      </c>
      <c r="J2106" s="50" t="s">
        <v>109</v>
      </c>
      <c r="K2106" s="50" t="s">
        <v>109</v>
      </c>
      <c r="L2106" s="50" t="s">
        <v>12</v>
      </c>
      <c r="M2106" s="50" t="s">
        <v>13</v>
      </c>
      <c r="N2106" s="50" t="s">
        <v>16</v>
      </c>
      <c r="O2106" s="48" t="s">
        <v>620</v>
      </c>
      <c r="P2106" s="45" t="s">
        <v>453</v>
      </c>
      <c r="Q2106" s="35" t="str">
        <f>MID(Tabla1[[#This Row],[Aplicación]],14,1)</f>
        <v>2</v>
      </c>
      <c r="R2106" s="35" t="s">
        <v>441</v>
      </c>
      <c r="S2106" s="35" t="str">
        <f>MID(Tabla1[[#This Row],[Aplicación]],6,2)</f>
        <v>06</v>
      </c>
      <c r="T2106" s="35" t="str">
        <f>VLOOKUP(Tabla1[[#This Row],[AREA]],Hoja1!A:B,2,FALSE)</f>
        <v>06. Educación, infancia, juventud e igualdad</v>
      </c>
      <c r="U2106" s="35" t="str">
        <f>MID(Tabla1[[#This Row],[Aplicación]],9,4)</f>
        <v>3232</v>
      </c>
      <c r="V2106" s="35" t="str">
        <f>VLOOKUP(Tabla1[[#This Row],[PROGRAMA]],Hoja1!A:B,2,FALSE)</f>
        <v>3232. Conservación y mantenimiento centros educación infantil y primaria</v>
      </c>
      <c r="W2106" s="35" t="str">
        <f>MID(Tabla1[[#This Row],[Aplicación]],14,2)</f>
        <v>21</v>
      </c>
      <c r="X2106" s="35" t="str">
        <f>MID(Tabla1[[#This Row],[Aplicación]],14,6)</f>
        <v>213</v>
      </c>
    </row>
    <row r="2107" spans="1:24" x14ac:dyDescent="0.25">
      <c r="A2107" s="49">
        <v>220220000327</v>
      </c>
      <c r="B2107" s="50" t="s">
        <v>26</v>
      </c>
      <c r="C2107" s="57">
        <v>44582</v>
      </c>
      <c r="D2107" s="49">
        <v>22022001444</v>
      </c>
      <c r="E2107" s="50" t="s">
        <v>1714</v>
      </c>
      <c r="F2107" s="58">
        <v>41.42</v>
      </c>
      <c r="G2107" s="50" t="s">
        <v>60</v>
      </c>
      <c r="H2107" s="50" t="s">
        <v>3479</v>
      </c>
      <c r="I2107" s="49" t="s">
        <v>197</v>
      </c>
      <c r="J2107" s="50" t="s">
        <v>109</v>
      </c>
      <c r="K2107" s="50" t="s">
        <v>109</v>
      </c>
      <c r="L2107" s="50" t="s">
        <v>12</v>
      </c>
      <c r="M2107" s="50" t="s">
        <v>13</v>
      </c>
      <c r="N2107" s="50" t="s">
        <v>16</v>
      </c>
      <c r="O2107" s="48" t="s">
        <v>620</v>
      </c>
      <c r="P2107" s="45" t="s">
        <v>453</v>
      </c>
      <c r="Q2107" s="35" t="str">
        <f>MID(Tabla1[[#This Row],[Aplicación]],14,1)</f>
        <v>2</v>
      </c>
      <c r="R2107" s="35" t="s">
        <v>441</v>
      </c>
      <c r="S2107" s="35" t="str">
        <f>MID(Tabla1[[#This Row],[Aplicación]],6,2)</f>
        <v>06</v>
      </c>
      <c r="T2107" s="35" t="str">
        <f>VLOOKUP(Tabla1[[#This Row],[AREA]],Hoja1!A:B,2,FALSE)</f>
        <v>06. Educación, infancia, juventud e igualdad</v>
      </c>
      <c r="U2107" s="35" t="str">
        <f>MID(Tabla1[[#This Row],[Aplicación]],9,4)</f>
        <v>3231</v>
      </c>
      <c r="V2107" s="35" t="str">
        <f>VLOOKUP(Tabla1[[#This Row],[PROGRAMA]],Hoja1!A:B,2,FALSE)</f>
        <v>3231. Escuelas infantiles</v>
      </c>
      <c r="W2107" s="35" t="str">
        <f>MID(Tabla1[[#This Row],[Aplicación]],14,2)</f>
        <v>21</v>
      </c>
      <c r="X2107" s="35" t="str">
        <f>MID(Tabla1[[#This Row],[Aplicación]],14,6)</f>
        <v>213</v>
      </c>
    </row>
    <row r="2108" spans="1:24" x14ac:dyDescent="0.25">
      <c r="A2108" s="49">
        <v>220220001722</v>
      </c>
      <c r="B2108" s="50" t="s">
        <v>26</v>
      </c>
      <c r="C2108" s="57">
        <v>44588</v>
      </c>
      <c r="D2108" s="49">
        <v>22022001492</v>
      </c>
      <c r="E2108" s="50" t="s">
        <v>1911</v>
      </c>
      <c r="F2108" s="58">
        <v>41.42</v>
      </c>
      <c r="G2108" s="50" t="s">
        <v>60</v>
      </c>
      <c r="H2108" s="50" t="s">
        <v>3480</v>
      </c>
      <c r="I2108" s="49" t="s">
        <v>197</v>
      </c>
      <c r="J2108" s="50" t="s">
        <v>109</v>
      </c>
      <c r="K2108" s="50" t="s">
        <v>109</v>
      </c>
      <c r="L2108" s="50" t="s">
        <v>12</v>
      </c>
      <c r="M2108" s="50" t="s">
        <v>13</v>
      </c>
      <c r="N2108" s="50" t="s">
        <v>16</v>
      </c>
      <c r="O2108" s="48" t="s">
        <v>620</v>
      </c>
      <c r="P2108" s="45" t="s">
        <v>453</v>
      </c>
      <c r="Q2108" s="35" t="str">
        <f>MID(Tabla1[[#This Row],[Aplicación]],14,1)</f>
        <v>2</v>
      </c>
      <c r="R2108" s="35" t="s">
        <v>441</v>
      </c>
      <c r="S2108" s="35" t="str">
        <f>MID(Tabla1[[#This Row],[Aplicación]],6,2)</f>
        <v>06</v>
      </c>
      <c r="T2108" s="35" t="str">
        <f>VLOOKUP(Tabla1[[#This Row],[AREA]],Hoja1!A:B,2,FALSE)</f>
        <v>06. Educación, infancia, juventud e igualdad</v>
      </c>
      <c r="U2108" s="35" t="str">
        <f>MID(Tabla1[[#This Row],[Aplicación]],9,4)</f>
        <v>2314</v>
      </c>
      <c r="V2108" s="35" t="str">
        <f>VLOOKUP(Tabla1[[#This Row],[PROGRAMA]],Hoja1!A:B,2,FALSE)</f>
        <v>2314. Centro de programas juveniles</v>
      </c>
      <c r="W2108" s="35" t="str">
        <f>MID(Tabla1[[#This Row],[Aplicación]],14,2)</f>
        <v>21</v>
      </c>
      <c r="X2108" s="35" t="str">
        <f>MID(Tabla1[[#This Row],[Aplicación]],14,6)</f>
        <v>213</v>
      </c>
    </row>
    <row r="2109" spans="1:24" x14ac:dyDescent="0.25">
      <c r="A2109" s="49">
        <v>220220008536</v>
      </c>
      <c r="B2109" s="50" t="s">
        <v>172</v>
      </c>
      <c r="C2109" s="57">
        <v>44631</v>
      </c>
      <c r="D2109" s="49">
        <v>22022001626</v>
      </c>
      <c r="E2109" s="50" t="s">
        <v>1635</v>
      </c>
      <c r="F2109" s="58">
        <v>41.38</v>
      </c>
      <c r="G2109" s="50" t="s">
        <v>130</v>
      </c>
      <c r="H2109" s="50" t="s">
        <v>3481</v>
      </c>
      <c r="I2109" s="49" t="s">
        <v>173</v>
      </c>
      <c r="J2109" s="50" t="s">
        <v>128</v>
      </c>
      <c r="K2109" s="50" t="s">
        <v>128</v>
      </c>
      <c r="L2109" s="50" t="s">
        <v>15</v>
      </c>
      <c r="M2109" s="50" t="s">
        <v>13</v>
      </c>
      <c r="N2109" s="50" t="s">
        <v>16</v>
      </c>
      <c r="O2109" s="48" t="s">
        <v>631</v>
      </c>
      <c r="P2109" s="45" t="s">
        <v>453</v>
      </c>
      <c r="Q2109" s="35" t="str">
        <f>MID(Tabla1[[#This Row],[Aplicación]],14,1)</f>
        <v>2</v>
      </c>
      <c r="R2109" s="35" t="s">
        <v>441</v>
      </c>
      <c r="S2109" s="35" t="str">
        <f>MID(Tabla1[[#This Row],[Aplicación]],6,2)</f>
        <v>03</v>
      </c>
      <c r="T2109" s="35" t="str">
        <f>VLOOKUP(Tabla1[[#This Row],[AREA]],Hoja1!A:B,2,FALSE)</f>
        <v>03. Participación ciudadana y deportes</v>
      </c>
      <c r="U2109" s="35" t="str">
        <f>MID(Tabla1[[#This Row],[Aplicación]],9,4)</f>
        <v>9241</v>
      </c>
      <c r="V2109" s="35" t="str">
        <f>VLOOKUP(Tabla1[[#This Row],[PROGRAMA]],Hoja1!A:B,2,FALSE)</f>
        <v>9241. Participación ciudadana</v>
      </c>
      <c r="W2109" s="35" t="str">
        <f>MID(Tabla1[[#This Row],[Aplicación]],14,2)</f>
        <v>21</v>
      </c>
      <c r="X2109" s="35" t="str">
        <f>MID(Tabla1[[#This Row],[Aplicación]],14,6)</f>
        <v>212</v>
      </c>
    </row>
    <row r="2110" spans="1:24" x14ac:dyDescent="0.25">
      <c r="A2110" s="49">
        <v>220220005528</v>
      </c>
      <c r="B2110" s="50" t="s">
        <v>172</v>
      </c>
      <c r="C2110" s="57">
        <v>44614</v>
      </c>
      <c r="D2110" s="49">
        <v>22022001178</v>
      </c>
      <c r="E2110" s="50" t="s">
        <v>1653</v>
      </c>
      <c r="F2110" s="58">
        <v>32.89</v>
      </c>
      <c r="G2110" s="50" t="s">
        <v>130</v>
      </c>
      <c r="H2110" s="50" t="s">
        <v>3482</v>
      </c>
      <c r="I2110" s="49" t="s">
        <v>173</v>
      </c>
      <c r="J2110" s="50" t="s">
        <v>128</v>
      </c>
      <c r="K2110" s="50" t="s">
        <v>128</v>
      </c>
      <c r="L2110" s="50" t="s">
        <v>15</v>
      </c>
      <c r="M2110" s="50" t="s">
        <v>13</v>
      </c>
      <c r="N2110" s="50" t="s">
        <v>14</v>
      </c>
      <c r="O2110" s="48" t="s">
        <v>631</v>
      </c>
      <c r="P2110" s="45" t="s">
        <v>453</v>
      </c>
      <c r="Q2110" s="35" t="str">
        <f>MID(Tabla1[[#This Row],[Aplicación]],14,1)</f>
        <v>2</v>
      </c>
      <c r="R2110" s="35" t="s">
        <v>441</v>
      </c>
      <c r="S2110" s="35" t="str">
        <f>MID(Tabla1[[#This Row],[Aplicación]],6,2)</f>
        <v>10</v>
      </c>
      <c r="T2110" s="35" t="str">
        <f>VLOOKUP(Tabla1[[#This Row],[AREA]],Hoja1!A:B,2,FALSE)</f>
        <v>10. Servicios sociales y mediación comunitaria</v>
      </c>
      <c r="U2110" s="35" t="str">
        <f>MID(Tabla1[[#This Row],[Aplicación]],9,4)</f>
        <v>2311</v>
      </c>
      <c r="V2110" s="35" t="str">
        <f>VLOOKUP(Tabla1[[#This Row],[PROGRAMA]],Hoja1!A:B,2,FALSE)</f>
        <v>2311. Intervención social</v>
      </c>
      <c r="W2110" s="35" t="str">
        <f>MID(Tabla1[[#This Row],[Aplicación]],14,2)</f>
        <v>21</v>
      </c>
      <c r="X2110" s="35" t="str">
        <f>MID(Tabla1[[#This Row],[Aplicación]],14,6)</f>
        <v>212</v>
      </c>
    </row>
    <row r="2111" spans="1:24" x14ac:dyDescent="0.25">
      <c r="A2111" s="49">
        <v>220220004169</v>
      </c>
      <c r="B2111" s="50" t="s">
        <v>172</v>
      </c>
      <c r="C2111" s="57">
        <v>44610</v>
      </c>
      <c r="D2111" s="49">
        <v>22022001649</v>
      </c>
      <c r="E2111" s="50" t="s">
        <v>3483</v>
      </c>
      <c r="F2111" s="58">
        <v>282.12</v>
      </c>
      <c r="G2111" s="50" t="s">
        <v>768</v>
      </c>
      <c r="H2111" s="50" t="s">
        <v>3484</v>
      </c>
      <c r="I2111" s="49" t="s">
        <v>173</v>
      </c>
      <c r="J2111" s="50" t="s">
        <v>109</v>
      </c>
      <c r="K2111" s="50" t="s">
        <v>109</v>
      </c>
      <c r="L2111" s="50" t="s">
        <v>12</v>
      </c>
      <c r="M2111" s="50" t="s">
        <v>13</v>
      </c>
      <c r="N2111" s="50" t="s">
        <v>14</v>
      </c>
      <c r="O2111" s="48" t="s">
        <v>631</v>
      </c>
      <c r="P2111" s="45" t="s">
        <v>453</v>
      </c>
      <c r="Q2111" s="35" t="str">
        <f>MID(Tabla1[[#This Row],[Aplicación]],14,1)</f>
        <v>2</v>
      </c>
      <c r="R2111" s="35" t="s">
        <v>441</v>
      </c>
      <c r="S2111" s="35" t="str">
        <f>MID(Tabla1[[#This Row],[Aplicación]],6,2)</f>
        <v>11</v>
      </c>
      <c r="T2111" s="35" t="str">
        <f>VLOOKUP(Tabla1[[#This Row],[AREA]],Hoja1!A:B,2,FALSE)</f>
        <v>11. Salud pública y seguridad ciudadana</v>
      </c>
      <c r="U2111" s="35" t="str">
        <f>MID(Tabla1[[#This Row],[Aplicación]],9,4)</f>
        <v>3111</v>
      </c>
      <c r="V2111" s="35" t="str">
        <f>VLOOKUP(Tabla1[[#This Row],[PROGRAMA]],Hoja1!A:B,2,FALSE)</f>
        <v>3111. Protección de la salubridad pública</v>
      </c>
      <c r="W2111" s="35" t="str">
        <f>MID(Tabla1[[#This Row],[Aplicación]],14,2)</f>
        <v>21</v>
      </c>
      <c r="X2111" s="35" t="str">
        <f>MID(Tabla1[[#This Row],[Aplicación]],14,6)</f>
        <v>214</v>
      </c>
    </row>
    <row r="2112" spans="1:24" x14ac:dyDescent="0.25">
      <c r="A2112" s="49">
        <v>220220009906</v>
      </c>
      <c r="B2112" s="50" t="s">
        <v>172</v>
      </c>
      <c r="C2112" s="57">
        <v>44638</v>
      </c>
      <c r="D2112" s="49">
        <v>22022001184</v>
      </c>
      <c r="E2112" s="50" t="s">
        <v>2020</v>
      </c>
      <c r="F2112" s="58">
        <v>30.43</v>
      </c>
      <c r="G2112" s="50" t="s">
        <v>130</v>
      </c>
      <c r="H2112" s="50" t="s">
        <v>3485</v>
      </c>
      <c r="I2112" s="49" t="s">
        <v>173</v>
      </c>
      <c r="J2112" s="50" t="s">
        <v>128</v>
      </c>
      <c r="K2112" s="50" t="s">
        <v>128</v>
      </c>
      <c r="L2112" s="50" t="s">
        <v>15</v>
      </c>
      <c r="M2112" s="50" t="s">
        <v>13</v>
      </c>
      <c r="N2112" s="50" t="s">
        <v>14</v>
      </c>
      <c r="O2112" s="48" t="s">
        <v>631</v>
      </c>
      <c r="P2112" s="45" t="s">
        <v>453</v>
      </c>
      <c r="Q2112" s="35" t="str">
        <f>MID(Tabla1[[#This Row],[Aplicación]],14,1)</f>
        <v>2</v>
      </c>
      <c r="R2112" s="35" t="s">
        <v>441</v>
      </c>
      <c r="S2112" s="35" t="str">
        <f>MID(Tabla1[[#This Row],[Aplicación]],6,2)</f>
        <v>10</v>
      </c>
      <c r="T2112" s="35" t="str">
        <f>VLOOKUP(Tabla1[[#This Row],[AREA]],Hoja1!A:B,2,FALSE)</f>
        <v>10. Servicios sociales y mediación comunitaria</v>
      </c>
      <c r="U2112" s="35" t="str">
        <f>MID(Tabla1[[#This Row],[Aplicación]],9,4)</f>
        <v>2312</v>
      </c>
      <c r="V2112" s="35" t="str">
        <f>VLOOKUP(Tabla1[[#This Row],[PROGRAMA]],Hoja1!A:B,2,FALSE)</f>
        <v>2312. Iniciativas sociales</v>
      </c>
      <c r="W2112" s="35" t="str">
        <f>MID(Tabla1[[#This Row],[Aplicación]],14,2)</f>
        <v>21</v>
      </c>
      <c r="X2112" s="35" t="str">
        <f>MID(Tabla1[[#This Row],[Aplicación]],14,6)</f>
        <v>212</v>
      </c>
    </row>
    <row r="2113" spans="1:24" x14ac:dyDescent="0.25">
      <c r="A2113" s="49">
        <v>220220010182</v>
      </c>
      <c r="B2113" s="50" t="s">
        <v>9</v>
      </c>
      <c r="C2113" s="57">
        <v>44638</v>
      </c>
      <c r="D2113" s="49">
        <v>22022002779</v>
      </c>
      <c r="E2113" s="50" t="s">
        <v>2299</v>
      </c>
      <c r="F2113" s="58">
        <v>145.19999999999999</v>
      </c>
      <c r="G2113" s="50" t="s">
        <v>570</v>
      </c>
      <c r="H2113" s="50" t="s">
        <v>3486</v>
      </c>
      <c r="I2113" s="49" t="s">
        <v>107</v>
      </c>
      <c r="J2113" s="50" t="s">
        <v>109</v>
      </c>
      <c r="K2113" s="50" t="s">
        <v>109</v>
      </c>
      <c r="L2113" s="50" t="s">
        <v>12</v>
      </c>
      <c r="M2113" s="50" t="s">
        <v>13</v>
      </c>
      <c r="N2113" s="50" t="s">
        <v>14</v>
      </c>
      <c r="O2113" s="48" t="s">
        <v>631</v>
      </c>
      <c r="P2113" s="45" t="s">
        <v>453</v>
      </c>
      <c r="Q2113" s="35" t="str">
        <f>MID(Tabla1[[#This Row],[Aplicación]],14,1)</f>
        <v>2</v>
      </c>
      <c r="R2113" s="35" t="s">
        <v>441</v>
      </c>
      <c r="S2113" s="35" t="str">
        <f>MID(Tabla1[[#This Row],[Aplicación]],6,2)</f>
        <v>01</v>
      </c>
      <c r="T2113" s="35" t="str">
        <f>VLOOKUP(Tabla1[[#This Row],[AREA]],Hoja1!A:B,2,FALSE)</f>
        <v>01. Alcaldía</v>
      </c>
      <c r="U2113" s="35" t="str">
        <f>MID(Tabla1[[#This Row],[Aplicación]],9,4)</f>
        <v>9207</v>
      </c>
      <c r="V2113" s="35" t="str">
        <f>VLOOKUP(Tabla1[[#This Row],[PROGRAMA]],Hoja1!A:B,2,FALSE)</f>
        <v>9207. Gobierno y relaciones</v>
      </c>
      <c r="W2113" s="35" t="str">
        <f>MID(Tabla1[[#This Row],[Aplicación]],14,2)</f>
        <v>22</v>
      </c>
      <c r="X2113" s="35" t="str">
        <f>MID(Tabla1[[#This Row],[Aplicación]],14,6)</f>
        <v>22602</v>
      </c>
    </row>
    <row r="2114" spans="1:24" x14ac:dyDescent="0.25">
      <c r="A2114" s="49">
        <v>220220010181</v>
      </c>
      <c r="B2114" s="50" t="s">
        <v>9</v>
      </c>
      <c r="C2114" s="57">
        <v>44638</v>
      </c>
      <c r="D2114" s="49">
        <v>22022002759</v>
      </c>
      <c r="E2114" s="50" t="s">
        <v>1611</v>
      </c>
      <c r="F2114" s="58">
        <v>108.16</v>
      </c>
      <c r="G2114" s="50" t="s">
        <v>570</v>
      </c>
      <c r="H2114" s="50" t="s">
        <v>3487</v>
      </c>
      <c r="I2114" s="49" t="s">
        <v>107</v>
      </c>
      <c r="J2114" s="50" t="s">
        <v>109</v>
      </c>
      <c r="K2114" s="50" t="s">
        <v>109</v>
      </c>
      <c r="L2114" s="50" t="s">
        <v>15</v>
      </c>
      <c r="M2114" s="50" t="s">
        <v>10</v>
      </c>
      <c r="N2114" s="50" t="s">
        <v>11</v>
      </c>
      <c r="O2114" s="48" t="s">
        <v>632</v>
      </c>
      <c r="P2114" s="45" t="s">
        <v>453</v>
      </c>
      <c r="Q2114" s="35" t="str">
        <f>MID(Tabla1[[#This Row],[Aplicación]],14,1)</f>
        <v>2</v>
      </c>
      <c r="R2114" s="35" t="s">
        <v>441</v>
      </c>
      <c r="S2114" s="35" t="str">
        <f>MID(Tabla1[[#This Row],[Aplicación]],6,2)</f>
        <v>01</v>
      </c>
      <c r="T2114" s="35" t="str">
        <f>VLOOKUP(Tabla1[[#This Row],[AREA]],Hoja1!A:B,2,FALSE)</f>
        <v>01. Alcaldía</v>
      </c>
      <c r="U2114" s="35" t="str">
        <f>MID(Tabla1[[#This Row],[Aplicación]],9,4)</f>
        <v>9207</v>
      </c>
      <c r="V2114" s="35" t="str">
        <f>VLOOKUP(Tabla1[[#This Row],[PROGRAMA]],Hoja1!A:B,2,FALSE)</f>
        <v>9207. Gobierno y relaciones</v>
      </c>
      <c r="W2114" s="35" t="str">
        <f>MID(Tabla1[[#This Row],[Aplicación]],14,2)</f>
        <v>22</v>
      </c>
      <c r="X2114" s="35" t="str">
        <f>MID(Tabla1[[#This Row],[Aplicación]],14,6)</f>
        <v>22001</v>
      </c>
    </row>
    <row r="2115" spans="1:24" x14ac:dyDescent="0.25">
      <c r="A2115" s="49">
        <v>220220004057</v>
      </c>
      <c r="B2115" s="50" t="s">
        <v>172</v>
      </c>
      <c r="C2115" s="57">
        <v>44610</v>
      </c>
      <c r="D2115" s="49">
        <v>22022001184</v>
      </c>
      <c r="E2115" s="50" t="s">
        <v>2020</v>
      </c>
      <c r="F2115" s="58">
        <v>29.16</v>
      </c>
      <c r="G2115" s="50" t="s">
        <v>130</v>
      </c>
      <c r="H2115" s="50" t="s">
        <v>3488</v>
      </c>
      <c r="I2115" s="49" t="s">
        <v>173</v>
      </c>
      <c r="J2115" s="50" t="s">
        <v>128</v>
      </c>
      <c r="K2115" s="50" t="s">
        <v>128</v>
      </c>
      <c r="L2115" s="50" t="s">
        <v>15</v>
      </c>
      <c r="M2115" s="50" t="s">
        <v>13</v>
      </c>
      <c r="N2115" s="50" t="s">
        <v>14</v>
      </c>
      <c r="O2115" s="48" t="s">
        <v>631</v>
      </c>
      <c r="P2115" s="45" t="s">
        <v>453</v>
      </c>
      <c r="Q2115" s="35" t="str">
        <f>MID(Tabla1[[#This Row],[Aplicación]],14,1)</f>
        <v>2</v>
      </c>
      <c r="R2115" s="35" t="s">
        <v>441</v>
      </c>
      <c r="S2115" s="35" t="str">
        <f>MID(Tabla1[[#This Row],[Aplicación]],6,2)</f>
        <v>10</v>
      </c>
      <c r="T2115" s="35" t="str">
        <f>VLOOKUP(Tabla1[[#This Row],[AREA]],Hoja1!A:B,2,FALSE)</f>
        <v>10. Servicios sociales y mediación comunitaria</v>
      </c>
      <c r="U2115" s="35" t="str">
        <f>MID(Tabla1[[#This Row],[Aplicación]],9,4)</f>
        <v>2312</v>
      </c>
      <c r="V2115" s="35" t="str">
        <f>VLOOKUP(Tabla1[[#This Row],[PROGRAMA]],Hoja1!A:B,2,FALSE)</f>
        <v>2312. Iniciativas sociales</v>
      </c>
      <c r="W2115" s="35" t="str">
        <f>MID(Tabla1[[#This Row],[Aplicación]],14,2)</f>
        <v>21</v>
      </c>
      <c r="X2115" s="35" t="str">
        <f>MID(Tabla1[[#This Row],[Aplicación]],14,6)</f>
        <v>212</v>
      </c>
    </row>
    <row r="2116" spans="1:24" x14ac:dyDescent="0.25">
      <c r="A2116" s="49">
        <v>220220010305</v>
      </c>
      <c r="B2116" s="50" t="s">
        <v>9</v>
      </c>
      <c r="C2116" s="57">
        <v>44641</v>
      </c>
      <c r="D2116" s="49">
        <v>22022002724</v>
      </c>
      <c r="E2116" s="50" t="s">
        <v>2299</v>
      </c>
      <c r="F2116" s="58">
        <v>363</v>
      </c>
      <c r="G2116" s="50" t="s">
        <v>868</v>
      </c>
      <c r="H2116" s="50" t="s">
        <v>3489</v>
      </c>
      <c r="I2116" s="49" t="s">
        <v>107</v>
      </c>
      <c r="J2116" s="50" t="s">
        <v>138</v>
      </c>
      <c r="K2116" s="50" t="s">
        <v>138</v>
      </c>
      <c r="L2116" s="50" t="s">
        <v>12</v>
      </c>
      <c r="M2116" s="50" t="s">
        <v>13</v>
      </c>
      <c r="N2116" s="50" t="s">
        <v>14</v>
      </c>
      <c r="O2116" s="48" t="s">
        <v>631</v>
      </c>
      <c r="P2116" s="45" t="s">
        <v>453</v>
      </c>
      <c r="Q2116" s="35" t="str">
        <f>MID(Tabla1[[#This Row],[Aplicación]],14,1)</f>
        <v>2</v>
      </c>
      <c r="R2116" s="35" t="s">
        <v>441</v>
      </c>
      <c r="S2116" s="35" t="str">
        <f>MID(Tabla1[[#This Row],[Aplicación]],6,2)</f>
        <v>01</v>
      </c>
      <c r="T2116" s="35" t="str">
        <f>VLOOKUP(Tabla1[[#This Row],[AREA]],Hoja1!A:B,2,FALSE)</f>
        <v>01. Alcaldía</v>
      </c>
      <c r="U2116" s="35" t="str">
        <f>MID(Tabla1[[#This Row],[Aplicación]],9,4)</f>
        <v>9207</v>
      </c>
      <c r="V2116" s="35" t="str">
        <f>VLOOKUP(Tabla1[[#This Row],[PROGRAMA]],Hoja1!A:B,2,FALSE)</f>
        <v>9207. Gobierno y relaciones</v>
      </c>
      <c r="W2116" s="35" t="str">
        <f>MID(Tabla1[[#This Row],[Aplicación]],14,2)</f>
        <v>22</v>
      </c>
      <c r="X2116" s="35" t="str">
        <f>MID(Tabla1[[#This Row],[Aplicación]],14,6)</f>
        <v>22602</v>
      </c>
    </row>
    <row r="2117" spans="1:24" x14ac:dyDescent="0.25">
      <c r="A2117" s="49">
        <v>220220003806</v>
      </c>
      <c r="B2117" s="50" t="s">
        <v>172</v>
      </c>
      <c r="C2117" s="57">
        <v>44608</v>
      </c>
      <c r="D2117" s="49">
        <v>22022001637</v>
      </c>
      <c r="E2117" s="50" t="s">
        <v>1922</v>
      </c>
      <c r="F2117" s="58">
        <v>1131.94</v>
      </c>
      <c r="G2117" s="50" t="s">
        <v>460</v>
      </c>
      <c r="H2117" s="50" t="s">
        <v>3490</v>
      </c>
      <c r="I2117" s="49" t="s">
        <v>173</v>
      </c>
      <c r="J2117" s="50" t="s">
        <v>542</v>
      </c>
      <c r="K2117" s="50" t="s">
        <v>109</v>
      </c>
      <c r="L2117" s="50" t="s">
        <v>12</v>
      </c>
      <c r="M2117" s="50" t="s">
        <v>13</v>
      </c>
      <c r="N2117" s="50" t="s">
        <v>14</v>
      </c>
      <c r="O2117" s="48" t="s">
        <v>631</v>
      </c>
      <c r="P2117" s="45" t="s">
        <v>453</v>
      </c>
      <c r="Q2117" s="35" t="str">
        <f>MID(Tabla1[[#This Row],[Aplicación]],14,1)</f>
        <v>2</v>
      </c>
      <c r="R2117" s="35" t="s">
        <v>441</v>
      </c>
      <c r="S2117" s="35" t="str">
        <f>MID(Tabla1[[#This Row],[Aplicación]],6,2)</f>
        <v>07</v>
      </c>
      <c r="T2117" s="35" t="str">
        <f>VLOOKUP(Tabla1[[#This Row],[AREA]],Hoja1!A:B,2,FALSE)</f>
        <v>07. Medio ambiente y desarrollo sostenible</v>
      </c>
      <c r="U2117" s="35" t="str">
        <f>MID(Tabla1[[#This Row],[Aplicación]],9,4)</f>
        <v>1711</v>
      </c>
      <c r="V2117" s="35" t="str">
        <f>VLOOKUP(Tabla1[[#This Row],[PROGRAMA]],Hoja1!A:B,2,FALSE)</f>
        <v>1711. Parques y jardines</v>
      </c>
      <c r="W2117" s="35" t="str">
        <f>MID(Tabla1[[#This Row],[Aplicación]],14,2)</f>
        <v>21</v>
      </c>
      <c r="X2117" s="35" t="str">
        <f>MID(Tabla1[[#This Row],[Aplicación]],14,6)</f>
        <v>214</v>
      </c>
    </row>
    <row r="2118" spans="1:24" x14ac:dyDescent="0.25">
      <c r="A2118" s="49">
        <v>220220004190</v>
      </c>
      <c r="B2118" s="50" t="s">
        <v>172</v>
      </c>
      <c r="C2118" s="57">
        <v>44610</v>
      </c>
      <c r="D2118" s="49">
        <v>22022000901</v>
      </c>
      <c r="E2118" s="50" t="s">
        <v>1644</v>
      </c>
      <c r="F2118" s="58">
        <v>122.22</v>
      </c>
      <c r="G2118" s="50" t="s">
        <v>460</v>
      </c>
      <c r="H2118" s="50" t="s">
        <v>3491</v>
      </c>
      <c r="I2118" s="49" t="s">
        <v>173</v>
      </c>
      <c r="J2118" s="50" t="s">
        <v>542</v>
      </c>
      <c r="K2118" s="50" t="s">
        <v>109</v>
      </c>
      <c r="L2118" s="50" t="s">
        <v>12</v>
      </c>
      <c r="M2118" s="50" t="s">
        <v>13</v>
      </c>
      <c r="N2118" s="50" t="s">
        <v>14</v>
      </c>
      <c r="O2118" s="48" t="s">
        <v>631</v>
      </c>
      <c r="P2118" s="45" t="s">
        <v>453</v>
      </c>
      <c r="Q2118" s="35" t="str">
        <f>MID(Tabla1[[#This Row],[Aplicación]],14,1)</f>
        <v>2</v>
      </c>
      <c r="R2118" s="35" t="s">
        <v>441</v>
      </c>
      <c r="S2118" s="35" t="str">
        <f>MID(Tabla1[[#This Row],[Aplicación]],6,2)</f>
        <v>11</v>
      </c>
      <c r="T2118" s="35" t="str">
        <f>VLOOKUP(Tabla1[[#This Row],[AREA]],Hoja1!A:B,2,FALSE)</f>
        <v>11. Salud pública y seguridad ciudadana</v>
      </c>
      <c r="U2118" s="35" t="str">
        <f>MID(Tabla1[[#This Row],[Aplicación]],9,4)</f>
        <v>1621</v>
      </c>
      <c r="V2118" s="35" t="str">
        <f>VLOOKUP(Tabla1[[#This Row],[PROGRAMA]],Hoja1!A:B,2,FALSE)</f>
        <v>1621. Servicio de limpieza</v>
      </c>
      <c r="W2118" s="35" t="str">
        <f>MID(Tabla1[[#This Row],[Aplicación]],14,2)</f>
        <v>21</v>
      </c>
      <c r="X2118" s="35" t="str">
        <f>MID(Tabla1[[#This Row],[Aplicación]],14,6)</f>
        <v>214</v>
      </c>
    </row>
    <row r="2119" spans="1:24" x14ac:dyDescent="0.25">
      <c r="A2119" s="49">
        <v>220220008428</v>
      </c>
      <c r="B2119" s="50" t="s">
        <v>172</v>
      </c>
      <c r="C2119" s="57">
        <v>44631</v>
      </c>
      <c r="D2119" s="49">
        <v>22022001637</v>
      </c>
      <c r="E2119" s="50" t="s">
        <v>1922</v>
      </c>
      <c r="F2119" s="58">
        <v>148.47</v>
      </c>
      <c r="G2119" s="50" t="s">
        <v>460</v>
      </c>
      <c r="H2119" s="50" t="s">
        <v>3492</v>
      </c>
      <c r="I2119" s="49" t="s">
        <v>173</v>
      </c>
      <c r="J2119" s="50" t="s">
        <v>542</v>
      </c>
      <c r="K2119" s="50" t="s">
        <v>109</v>
      </c>
      <c r="L2119" s="50" t="s">
        <v>12</v>
      </c>
      <c r="M2119" s="50" t="s">
        <v>13</v>
      </c>
      <c r="N2119" s="50" t="s">
        <v>14</v>
      </c>
      <c r="O2119" s="48" t="s">
        <v>631</v>
      </c>
      <c r="P2119" s="45" t="s">
        <v>453</v>
      </c>
      <c r="Q2119" s="35" t="str">
        <f>MID(Tabla1[[#This Row],[Aplicación]],14,1)</f>
        <v>2</v>
      </c>
      <c r="R2119" s="35" t="s">
        <v>441</v>
      </c>
      <c r="S2119" s="35" t="str">
        <f>MID(Tabla1[[#This Row],[Aplicación]],6,2)</f>
        <v>07</v>
      </c>
      <c r="T2119" s="35" t="str">
        <f>VLOOKUP(Tabla1[[#This Row],[AREA]],Hoja1!A:B,2,FALSE)</f>
        <v>07. Medio ambiente y desarrollo sostenible</v>
      </c>
      <c r="U2119" s="35" t="str">
        <f>MID(Tabla1[[#This Row],[Aplicación]],9,4)</f>
        <v>1711</v>
      </c>
      <c r="V2119" s="35" t="str">
        <f>VLOOKUP(Tabla1[[#This Row],[PROGRAMA]],Hoja1!A:B,2,FALSE)</f>
        <v>1711. Parques y jardines</v>
      </c>
      <c r="W2119" s="35" t="str">
        <f>MID(Tabla1[[#This Row],[Aplicación]],14,2)</f>
        <v>21</v>
      </c>
      <c r="X2119" s="35" t="str">
        <f>MID(Tabla1[[#This Row],[Aplicación]],14,6)</f>
        <v>214</v>
      </c>
    </row>
    <row r="2120" spans="1:24" x14ac:dyDescent="0.25">
      <c r="A2120" s="49">
        <v>220220009983</v>
      </c>
      <c r="B2120" s="50" t="s">
        <v>172</v>
      </c>
      <c r="C2120" s="57">
        <v>44638</v>
      </c>
      <c r="D2120" s="49">
        <v>22022001178</v>
      </c>
      <c r="E2120" s="50" t="s">
        <v>1653</v>
      </c>
      <c r="F2120" s="58">
        <v>10.1</v>
      </c>
      <c r="G2120" s="50" t="s">
        <v>130</v>
      </c>
      <c r="H2120" s="50" t="s">
        <v>3493</v>
      </c>
      <c r="I2120" s="49" t="s">
        <v>173</v>
      </c>
      <c r="J2120" s="50" t="s">
        <v>128</v>
      </c>
      <c r="K2120" s="50" t="s">
        <v>128</v>
      </c>
      <c r="L2120" s="50" t="s">
        <v>15</v>
      </c>
      <c r="M2120" s="50" t="s">
        <v>13</v>
      </c>
      <c r="N2120" s="50" t="s">
        <v>14</v>
      </c>
      <c r="O2120" s="48" t="s">
        <v>631</v>
      </c>
      <c r="P2120" s="45" t="s">
        <v>453</v>
      </c>
      <c r="Q2120" s="35" t="str">
        <f>MID(Tabla1[[#This Row],[Aplicación]],14,1)</f>
        <v>2</v>
      </c>
      <c r="R2120" s="35" t="s">
        <v>441</v>
      </c>
      <c r="S2120" s="35" t="str">
        <f>MID(Tabla1[[#This Row],[Aplicación]],6,2)</f>
        <v>10</v>
      </c>
      <c r="T2120" s="35" t="str">
        <f>VLOOKUP(Tabla1[[#This Row],[AREA]],Hoja1!A:B,2,FALSE)</f>
        <v>10. Servicios sociales y mediación comunitaria</v>
      </c>
      <c r="U2120" s="35" t="str">
        <f>MID(Tabla1[[#This Row],[Aplicación]],9,4)</f>
        <v>2311</v>
      </c>
      <c r="V2120" s="35" t="str">
        <f>VLOOKUP(Tabla1[[#This Row],[PROGRAMA]],Hoja1!A:B,2,FALSE)</f>
        <v>2311. Intervención social</v>
      </c>
      <c r="W2120" s="35" t="str">
        <f>MID(Tabla1[[#This Row],[Aplicación]],14,2)</f>
        <v>21</v>
      </c>
      <c r="X2120" s="35" t="str">
        <f>MID(Tabla1[[#This Row],[Aplicación]],14,6)</f>
        <v>212</v>
      </c>
    </row>
    <row r="2121" spans="1:24" x14ac:dyDescent="0.25">
      <c r="A2121" s="49">
        <v>220209000674</v>
      </c>
      <c r="B2121" s="50" t="s">
        <v>9</v>
      </c>
      <c r="C2121" s="57">
        <v>44631</v>
      </c>
      <c r="D2121" s="49">
        <v>22021000531</v>
      </c>
      <c r="E2121" s="50" t="s">
        <v>1593</v>
      </c>
      <c r="F2121" s="58">
        <v>0.16</v>
      </c>
      <c r="G2121" s="50" t="s">
        <v>890</v>
      </c>
      <c r="H2121" s="50" t="s">
        <v>893</v>
      </c>
      <c r="I2121" s="49" t="s">
        <v>107</v>
      </c>
      <c r="J2121" s="50" t="s">
        <v>109</v>
      </c>
      <c r="K2121" s="50" t="s">
        <v>109</v>
      </c>
      <c r="L2121" s="50" t="s">
        <v>25</v>
      </c>
      <c r="M2121" s="50" t="s">
        <v>13</v>
      </c>
      <c r="N2121" s="50" t="s">
        <v>14</v>
      </c>
      <c r="O2121" s="48" t="s">
        <v>631</v>
      </c>
      <c r="P2121" s="45" t="s">
        <v>453</v>
      </c>
      <c r="Q2121" s="35" t="str">
        <f>MID(Tabla1[[#This Row],[Aplicación]],14,1)</f>
        <v>6</v>
      </c>
      <c r="R2121" s="35" t="s">
        <v>442</v>
      </c>
      <c r="S2121" s="35" t="str">
        <f>MID(Tabla1[[#This Row],[Aplicación]],6,2)</f>
        <v>07</v>
      </c>
      <c r="T2121" s="35" t="str">
        <f>VLOOKUP(Tabla1[[#This Row],[AREA]],Hoja1!A:B,2,FALSE)</f>
        <v>07. Medio ambiente y desarrollo sostenible</v>
      </c>
      <c r="U2121" s="35" t="str">
        <f>MID(Tabla1[[#This Row],[Aplicación]],9,4)</f>
        <v>1711</v>
      </c>
      <c r="V2121" s="35" t="str">
        <f>VLOOKUP(Tabla1[[#This Row],[PROGRAMA]],Hoja1!A:B,2,FALSE)</f>
        <v>1711. Parques y jardines</v>
      </c>
      <c r="W2121" s="35" t="str">
        <f>MID(Tabla1[[#This Row],[Aplicación]],14,2)</f>
        <v>61</v>
      </c>
      <c r="X2121" s="35" t="str">
        <f>MID(Tabla1[[#This Row],[Aplicación]],14,6)</f>
        <v>619</v>
      </c>
    </row>
    <row r="2122" spans="1:24" x14ac:dyDescent="0.25">
      <c r="A2122" s="49">
        <v>220210084913</v>
      </c>
      <c r="B2122" s="50" t="s">
        <v>9</v>
      </c>
      <c r="C2122" s="57">
        <v>44631</v>
      </c>
      <c r="D2122" s="49">
        <v>22021007934</v>
      </c>
      <c r="E2122" s="50" t="s">
        <v>1593</v>
      </c>
      <c r="F2122" s="58">
        <v>0.09</v>
      </c>
      <c r="G2122" s="50" t="s">
        <v>890</v>
      </c>
      <c r="H2122" s="50" t="s">
        <v>1359</v>
      </c>
      <c r="I2122" s="49" t="s">
        <v>107</v>
      </c>
      <c r="J2122" s="50" t="s">
        <v>109</v>
      </c>
      <c r="K2122" s="50" t="s">
        <v>109</v>
      </c>
      <c r="L2122" s="50" t="s">
        <v>25</v>
      </c>
      <c r="M2122" s="50" t="s">
        <v>13</v>
      </c>
      <c r="N2122" s="50" t="s">
        <v>14</v>
      </c>
      <c r="O2122" s="48" t="s">
        <v>620</v>
      </c>
      <c r="P2122" s="45" t="s">
        <v>453</v>
      </c>
      <c r="Q2122" s="35" t="str">
        <f>MID(Tabla1[[#This Row],[Aplicación]],14,1)</f>
        <v>6</v>
      </c>
      <c r="R2122" s="35" t="s">
        <v>442</v>
      </c>
      <c r="S2122" s="35" t="str">
        <f>MID(Tabla1[[#This Row],[Aplicación]],6,2)</f>
        <v>07</v>
      </c>
      <c r="T2122" s="35" t="str">
        <f>VLOOKUP(Tabla1[[#This Row],[AREA]],Hoja1!A:B,2,FALSE)</f>
        <v>07. Medio ambiente y desarrollo sostenible</v>
      </c>
      <c r="U2122" s="35" t="str">
        <f>MID(Tabla1[[#This Row],[Aplicación]],9,4)</f>
        <v>1711</v>
      </c>
      <c r="V2122" s="35" t="str">
        <f>VLOOKUP(Tabla1[[#This Row],[PROGRAMA]],Hoja1!A:B,2,FALSE)</f>
        <v>1711. Parques y jardines</v>
      </c>
      <c r="W2122" s="35" t="str">
        <f>MID(Tabla1[[#This Row],[Aplicación]],14,2)</f>
        <v>61</v>
      </c>
      <c r="X2122" s="35" t="str">
        <f>MID(Tabla1[[#This Row],[Aplicación]],14,6)</f>
        <v>619</v>
      </c>
    </row>
    <row r="2123" spans="1:24" x14ac:dyDescent="0.25">
      <c r="A2123" s="49">
        <v>220209000291</v>
      </c>
      <c r="B2123" s="50" t="s">
        <v>9</v>
      </c>
      <c r="C2123" s="57">
        <v>44631</v>
      </c>
      <c r="D2123" s="49">
        <v>22021000730</v>
      </c>
      <c r="E2123" s="50" t="s">
        <v>1431</v>
      </c>
      <c r="F2123" s="58">
        <v>0.02</v>
      </c>
      <c r="G2123" s="50" t="s">
        <v>192</v>
      </c>
      <c r="H2123" s="50" t="s">
        <v>725</v>
      </c>
      <c r="I2123" s="49" t="s">
        <v>107</v>
      </c>
      <c r="J2123" s="50" t="s">
        <v>519</v>
      </c>
      <c r="K2123" s="50" t="s">
        <v>165</v>
      </c>
      <c r="L2123" s="50" t="s">
        <v>12</v>
      </c>
      <c r="M2123" s="50" t="s">
        <v>13</v>
      </c>
      <c r="N2123" s="50" t="s">
        <v>14</v>
      </c>
      <c r="O2123" s="48" t="s">
        <v>620</v>
      </c>
      <c r="P2123" s="45" t="s">
        <v>453</v>
      </c>
      <c r="Q2123" s="35" t="str">
        <f>MID(Tabla1[[#This Row],[Aplicación]],14,1)</f>
        <v>6</v>
      </c>
      <c r="R2123" s="35" t="s">
        <v>442</v>
      </c>
      <c r="S2123" s="35" t="str">
        <f>MID(Tabla1[[#This Row],[Aplicación]],6,2)</f>
        <v>07</v>
      </c>
      <c r="T2123" s="35" t="str">
        <f>VLOOKUP(Tabla1[[#This Row],[AREA]],Hoja1!A:B,2,FALSE)</f>
        <v>07. Medio ambiente y desarrollo sostenible</v>
      </c>
      <c r="U2123" s="35" t="str">
        <f>MID(Tabla1[[#This Row],[Aplicación]],9,4)</f>
        <v>1721</v>
      </c>
      <c r="V2123" s="35" t="str">
        <f>VLOOKUP(Tabla1[[#This Row],[PROGRAMA]],Hoja1!A:B,2,FALSE)</f>
        <v>1721. Protección del medio ambiente</v>
      </c>
      <c r="W2123" s="35" t="str">
        <f>MID(Tabla1[[#This Row],[Aplicación]],14,2)</f>
        <v>63</v>
      </c>
      <c r="X2123" s="35" t="str">
        <f>MID(Tabla1[[#This Row],[Aplicación]],14,6)</f>
        <v>633</v>
      </c>
    </row>
    <row r="2124" spans="1:24" x14ac:dyDescent="0.25">
      <c r="A2124" s="49">
        <v>220209000671</v>
      </c>
      <c r="B2124" s="50" t="s">
        <v>9</v>
      </c>
      <c r="C2124" s="57">
        <v>44631</v>
      </c>
      <c r="D2124" s="49">
        <v>22021000528</v>
      </c>
      <c r="E2124" s="50" t="s">
        <v>1593</v>
      </c>
      <c r="F2124" s="58">
        <v>0.01</v>
      </c>
      <c r="G2124" s="50" t="s">
        <v>890</v>
      </c>
      <c r="H2124" s="50" t="s">
        <v>891</v>
      </c>
      <c r="I2124" s="49" t="s">
        <v>107</v>
      </c>
      <c r="J2124" s="50" t="s">
        <v>109</v>
      </c>
      <c r="K2124" s="50" t="s">
        <v>109</v>
      </c>
      <c r="L2124" s="50" t="s">
        <v>25</v>
      </c>
      <c r="M2124" s="50" t="s">
        <v>13</v>
      </c>
      <c r="N2124" s="50" t="s">
        <v>14</v>
      </c>
      <c r="O2124" s="48" t="s">
        <v>631</v>
      </c>
      <c r="P2124" s="45" t="s">
        <v>453</v>
      </c>
      <c r="Q2124" s="35" t="str">
        <f>MID(Tabla1[[#This Row],[Aplicación]],14,1)</f>
        <v>6</v>
      </c>
      <c r="R2124" s="35" t="s">
        <v>442</v>
      </c>
      <c r="S2124" s="35" t="str">
        <f>MID(Tabla1[[#This Row],[Aplicación]],6,2)</f>
        <v>07</v>
      </c>
      <c r="T2124" s="35" t="str">
        <f>VLOOKUP(Tabla1[[#This Row],[AREA]],Hoja1!A:B,2,FALSE)</f>
        <v>07. Medio ambiente y desarrollo sostenible</v>
      </c>
      <c r="U2124" s="35" t="str">
        <f>MID(Tabla1[[#This Row],[Aplicación]],9,4)</f>
        <v>1711</v>
      </c>
      <c r="V2124" s="35" t="str">
        <f>VLOOKUP(Tabla1[[#This Row],[PROGRAMA]],Hoja1!A:B,2,FALSE)</f>
        <v>1711. Parques y jardines</v>
      </c>
      <c r="W2124" s="35" t="str">
        <f>MID(Tabla1[[#This Row],[Aplicación]],14,2)</f>
        <v>61</v>
      </c>
      <c r="X2124" s="35" t="str">
        <f>MID(Tabla1[[#This Row],[Aplicación]],14,6)</f>
        <v>619</v>
      </c>
    </row>
    <row r="2125" spans="1:24" x14ac:dyDescent="0.25">
      <c r="A2125" s="49">
        <v>220220003501</v>
      </c>
      <c r="B2125" s="50" t="s">
        <v>9</v>
      </c>
      <c r="C2125" s="57">
        <v>44606</v>
      </c>
      <c r="D2125" s="49">
        <v>22022002233</v>
      </c>
      <c r="E2125" s="50" t="s">
        <v>2653</v>
      </c>
      <c r="F2125" s="58">
        <v>1503.37</v>
      </c>
      <c r="G2125" s="50" t="s">
        <v>854</v>
      </c>
      <c r="H2125" s="50" t="s">
        <v>3494</v>
      </c>
      <c r="I2125" s="49" t="s">
        <v>107</v>
      </c>
      <c r="J2125" s="50" t="s">
        <v>109</v>
      </c>
      <c r="K2125" s="50" t="s">
        <v>109</v>
      </c>
      <c r="L2125" s="50" t="s">
        <v>12</v>
      </c>
      <c r="M2125" s="50" t="s">
        <v>10</v>
      </c>
      <c r="N2125" s="50" t="s">
        <v>11</v>
      </c>
      <c r="O2125" s="48" t="s">
        <v>632</v>
      </c>
      <c r="P2125" s="45" t="s">
        <v>453</v>
      </c>
      <c r="Q2125" s="35" t="str">
        <f>MID(Tabla1[[#This Row],[Aplicación]],14,1)</f>
        <v>2</v>
      </c>
      <c r="R2125" s="35" t="s">
        <v>441</v>
      </c>
      <c r="S2125" s="35" t="str">
        <f>MID(Tabla1[[#This Row],[Aplicación]],6,2)</f>
        <v>07</v>
      </c>
      <c r="T2125" s="35" t="str">
        <f>VLOOKUP(Tabla1[[#This Row],[AREA]],Hoja1!A:B,2,FALSE)</f>
        <v>07. Medio ambiente y desarrollo sostenible</v>
      </c>
      <c r="U2125" s="35" t="str">
        <f>MID(Tabla1[[#This Row],[Aplicación]],9,4)</f>
        <v>1701</v>
      </c>
      <c r="V2125" s="35" t="str">
        <f>VLOOKUP(Tabla1[[#This Row],[PROGRAMA]],Hoja1!A:B,2,FALSE)</f>
        <v>1701. Dirección del área de medio ambiente</v>
      </c>
      <c r="W2125" s="35" t="str">
        <f>MID(Tabla1[[#This Row],[Aplicación]],14,2)</f>
        <v>22</v>
      </c>
      <c r="X2125" s="35" t="str">
        <f>MID(Tabla1[[#This Row],[Aplicación]],14,6)</f>
        <v>22699</v>
      </c>
    </row>
    <row r="2126" spans="1:24" x14ac:dyDescent="0.25">
      <c r="A2126" s="49">
        <v>220219000766</v>
      </c>
      <c r="B2126" s="50" t="s">
        <v>9</v>
      </c>
      <c r="C2126" s="57">
        <v>44562</v>
      </c>
      <c r="D2126" s="49">
        <v>22022000597</v>
      </c>
      <c r="E2126" s="50" t="s">
        <v>3495</v>
      </c>
      <c r="F2126" s="58">
        <v>125.83</v>
      </c>
      <c r="G2126" s="50" t="s">
        <v>854</v>
      </c>
      <c r="H2126" s="50" t="s">
        <v>3496</v>
      </c>
      <c r="I2126" s="49" t="s">
        <v>107</v>
      </c>
      <c r="J2126" s="50" t="s">
        <v>109</v>
      </c>
      <c r="K2126" s="50" t="s">
        <v>109</v>
      </c>
      <c r="L2126" s="50" t="s">
        <v>12</v>
      </c>
      <c r="M2126" s="50" t="s">
        <v>13</v>
      </c>
      <c r="N2126" s="50" t="s">
        <v>14</v>
      </c>
      <c r="O2126" s="48" t="s">
        <v>620</v>
      </c>
      <c r="P2126" s="45" t="s">
        <v>453</v>
      </c>
      <c r="Q2126" s="35" t="str">
        <f>MID(Tabla1[[#This Row],[Aplicación]],14,1)</f>
        <v>2</v>
      </c>
      <c r="R2126" s="35" t="s">
        <v>441</v>
      </c>
      <c r="S2126" s="35" t="str">
        <f>MID(Tabla1[[#This Row],[Aplicación]],6,2)</f>
        <v>01</v>
      </c>
      <c r="T2126" s="35" t="str">
        <f>VLOOKUP(Tabla1[[#This Row],[AREA]],Hoja1!A:B,2,FALSE)</f>
        <v>01. Alcaldía</v>
      </c>
      <c r="U2126" s="35" t="str">
        <f>MID(Tabla1[[#This Row],[Aplicación]],9,4)</f>
        <v>9206</v>
      </c>
      <c r="V2126" s="35" t="str">
        <f>VLOOKUP(Tabla1[[#This Row],[PROGRAMA]],Hoja1!A:B,2,FALSE)</f>
        <v>9206. Archivo municipal</v>
      </c>
      <c r="W2126" s="35" t="str">
        <f>MID(Tabla1[[#This Row],[Aplicación]],14,2)</f>
        <v>22</v>
      </c>
      <c r="X2126" s="35" t="str">
        <f>MID(Tabla1[[#This Row],[Aplicación]],14,6)</f>
        <v>224</v>
      </c>
    </row>
    <row r="2127" spans="1:24" x14ac:dyDescent="0.25">
      <c r="A2127" s="49">
        <v>220199000494</v>
      </c>
      <c r="B2127" s="50" t="s">
        <v>9</v>
      </c>
      <c r="C2127" s="57">
        <v>44562</v>
      </c>
      <c r="D2127" s="49">
        <v>22022000160</v>
      </c>
      <c r="E2127" s="50" t="s">
        <v>1963</v>
      </c>
      <c r="F2127" s="58">
        <v>0.01</v>
      </c>
      <c r="G2127" s="50" t="s">
        <v>112</v>
      </c>
      <c r="H2127" s="50" t="s">
        <v>600</v>
      </c>
      <c r="I2127" s="49" t="s">
        <v>107</v>
      </c>
      <c r="J2127" s="50" t="s">
        <v>109</v>
      </c>
      <c r="K2127" s="50" t="s">
        <v>109</v>
      </c>
      <c r="L2127" s="50" t="s">
        <v>12</v>
      </c>
      <c r="M2127" s="50" t="s">
        <v>13</v>
      </c>
      <c r="N2127" s="50" t="s">
        <v>14</v>
      </c>
      <c r="O2127" s="48" t="s">
        <v>620</v>
      </c>
      <c r="P2127" s="45" t="s">
        <v>453</v>
      </c>
      <c r="Q2127" s="35" t="str">
        <f>MID(Tabla1[[#This Row],[Aplicación]],14,1)</f>
        <v>2</v>
      </c>
      <c r="R2127" s="35" t="s">
        <v>441</v>
      </c>
      <c r="S2127" s="35" t="str">
        <f>MID(Tabla1[[#This Row],[Aplicación]],6,2)</f>
        <v>09</v>
      </c>
      <c r="T2127" s="35" t="str">
        <f>VLOOKUP(Tabla1[[#This Row],[AREA]],Hoja1!A:B,2,FALSE)</f>
        <v>09. Cultura y turismo</v>
      </c>
      <c r="U2127" s="35" t="str">
        <f>MID(Tabla1[[#This Row],[Aplicación]],9,4)</f>
        <v>3301</v>
      </c>
      <c r="V2127" s="35" t="str">
        <f>VLOOKUP(Tabla1[[#This Row],[PROGRAMA]],Hoja1!A:B,2,FALSE)</f>
        <v>3301. Dirección del área de cultura</v>
      </c>
      <c r="W2127" s="35" t="str">
        <f>MID(Tabla1[[#This Row],[Aplicación]],14,2)</f>
        <v>22</v>
      </c>
      <c r="X2127" s="35" t="str">
        <f>MID(Tabla1[[#This Row],[Aplicación]],14,6)</f>
        <v>22799</v>
      </c>
    </row>
    <row r="2128" spans="1:24" x14ac:dyDescent="0.25">
      <c r="A2128" s="49">
        <v>220219000185</v>
      </c>
      <c r="B2128" s="50" t="s">
        <v>9</v>
      </c>
      <c r="C2128" s="57">
        <v>44562</v>
      </c>
      <c r="D2128" s="49">
        <v>22022000046</v>
      </c>
      <c r="E2128" s="50" t="s">
        <v>3497</v>
      </c>
      <c r="F2128" s="58">
        <v>29000</v>
      </c>
      <c r="G2128" s="50" t="s">
        <v>931</v>
      </c>
      <c r="H2128" s="50" t="s">
        <v>3498</v>
      </c>
      <c r="I2128" s="49" t="s">
        <v>107</v>
      </c>
      <c r="J2128" s="50" t="s">
        <v>108</v>
      </c>
      <c r="K2128" s="50" t="s">
        <v>108</v>
      </c>
      <c r="L2128" s="50" t="s">
        <v>12</v>
      </c>
      <c r="M2128" s="50" t="s">
        <v>13</v>
      </c>
      <c r="N2128" s="50" t="s">
        <v>14</v>
      </c>
      <c r="O2128" s="48" t="s">
        <v>631</v>
      </c>
      <c r="P2128" s="45" t="s">
        <v>453</v>
      </c>
      <c r="Q2128" s="35" t="str">
        <f>MID(Tabla1[[#This Row],[Aplicación]],14,1)</f>
        <v>2</v>
      </c>
      <c r="R2128" s="35" t="s">
        <v>441</v>
      </c>
      <c r="S2128" s="35" t="str">
        <f>MID(Tabla1[[#This Row],[Aplicación]],6,2)</f>
        <v>02</v>
      </c>
      <c r="T2128" s="35" t="str">
        <f>VLOOKUP(Tabla1[[#This Row],[AREA]],Hoja1!A:B,2,FALSE)</f>
        <v>02. Planeamiento urbanístico y vivienda</v>
      </c>
      <c r="U2128" s="35" t="str">
        <f>MID(Tabla1[[#This Row],[Aplicación]],9,4)</f>
        <v>1501</v>
      </c>
      <c r="V2128" s="35" t="str">
        <f>VLOOKUP(Tabla1[[#This Row],[PROGRAMA]],Hoja1!A:B,2,FALSE)</f>
        <v>1501. Dirección del área de urbanismo</v>
      </c>
      <c r="W2128" s="35" t="str">
        <f>MID(Tabla1[[#This Row],[Aplicación]],14,2)</f>
        <v>22</v>
      </c>
      <c r="X2128" s="35" t="str">
        <f>MID(Tabla1[[#This Row],[Aplicación]],14,6)</f>
        <v>224</v>
      </c>
    </row>
    <row r="2129" spans="1:24" x14ac:dyDescent="0.25">
      <c r="A2129" s="49">
        <v>220220012878</v>
      </c>
      <c r="B2129" s="50" t="s">
        <v>447</v>
      </c>
      <c r="C2129" s="57">
        <v>44645</v>
      </c>
      <c r="D2129" s="49">
        <v>22022000543</v>
      </c>
      <c r="E2129" s="50" t="s">
        <v>1694</v>
      </c>
      <c r="F2129" s="58">
        <v>-1452</v>
      </c>
      <c r="G2129" s="50" t="s">
        <v>93</v>
      </c>
      <c r="H2129" s="50" t="s">
        <v>2906</v>
      </c>
      <c r="I2129" s="49" t="s">
        <v>107</v>
      </c>
      <c r="J2129" s="50" t="s">
        <v>109</v>
      </c>
      <c r="K2129" s="50" t="s">
        <v>109</v>
      </c>
      <c r="L2129" s="50" t="s">
        <v>12</v>
      </c>
      <c r="M2129" s="50" t="s">
        <v>10</v>
      </c>
      <c r="N2129" s="50" t="s">
        <v>11</v>
      </c>
      <c r="O2129" s="48" t="s">
        <v>632</v>
      </c>
      <c r="P2129" s="45" t="s">
        <v>453</v>
      </c>
      <c r="Q2129" s="35" t="str">
        <f>MID(Tabla1[[#This Row],[Aplicación]],14,1)</f>
        <v>2</v>
      </c>
      <c r="R2129" s="35" t="s">
        <v>441</v>
      </c>
      <c r="S2129" s="35" t="str">
        <f>MID(Tabla1[[#This Row],[Aplicación]],6,2)</f>
        <v>05</v>
      </c>
      <c r="T2129" s="35" t="str">
        <f>VLOOKUP(Tabla1[[#This Row],[AREA]],Hoja1!A:B,2,FALSE)</f>
        <v>05. Innovación, desarrollo económico, empleo y comercio</v>
      </c>
      <c r="U2129" s="35" t="str">
        <f>MID(Tabla1[[#This Row],[Aplicación]],9,4)</f>
        <v>4314</v>
      </c>
      <c r="V2129" s="35" t="str">
        <f>VLOOKUP(Tabla1[[#This Row],[PROGRAMA]],Hoja1!A:B,2,FALSE)</f>
        <v>4314. Fomento del comercio</v>
      </c>
      <c r="W2129" s="35" t="str">
        <f>MID(Tabla1[[#This Row],[Aplicación]],14,2)</f>
        <v>22</v>
      </c>
      <c r="X2129" s="35" t="str">
        <f>MID(Tabla1[[#This Row],[Aplicación]],14,6)</f>
        <v>22706</v>
      </c>
    </row>
    <row r="2130" spans="1:24" x14ac:dyDescent="0.25">
      <c r="A2130" s="49">
        <v>220209000755</v>
      </c>
      <c r="B2130" s="50" t="s">
        <v>9</v>
      </c>
      <c r="C2130" s="57">
        <v>44562</v>
      </c>
      <c r="D2130" s="49">
        <v>22022000276</v>
      </c>
      <c r="E2130" s="50" t="s">
        <v>1759</v>
      </c>
      <c r="F2130" s="58">
        <v>5323.03</v>
      </c>
      <c r="G2130" s="50" t="s">
        <v>852</v>
      </c>
      <c r="H2130" s="50" t="s">
        <v>853</v>
      </c>
      <c r="I2130" s="49" t="s">
        <v>107</v>
      </c>
      <c r="J2130" s="50" t="s">
        <v>109</v>
      </c>
      <c r="K2130" s="50" t="s">
        <v>109</v>
      </c>
      <c r="L2130" s="50" t="s">
        <v>12</v>
      </c>
      <c r="M2130" s="50" t="s">
        <v>13</v>
      </c>
      <c r="N2130" s="50" t="s">
        <v>14</v>
      </c>
      <c r="O2130" s="48" t="s">
        <v>620</v>
      </c>
      <c r="P2130" s="45" t="s">
        <v>453</v>
      </c>
      <c r="Q2130" s="35" t="str">
        <f>MID(Tabla1[[#This Row],[Aplicación]],14,1)</f>
        <v>2</v>
      </c>
      <c r="R2130" s="35" t="s">
        <v>441</v>
      </c>
      <c r="S2130" s="35" t="str">
        <f>MID(Tabla1[[#This Row],[Aplicación]],6,2)</f>
        <v>02</v>
      </c>
      <c r="T2130" s="35" t="str">
        <f>VLOOKUP(Tabla1[[#This Row],[AREA]],Hoja1!A:B,2,FALSE)</f>
        <v>02. Planeamiento urbanístico y vivienda</v>
      </c>
      <c r="U2130" s="35" t="str">
        <f>MID(Tabla1[[#This Row],[Aplicación]],9,4)</f>
        <v>9332</v>
      </c>
      <c r="V2130" s="35" t="str">
        <f>VLOOKUP(Tabla1[[#This Row],[PROGRAMA]],Hoja1!A:B,2,FALSE)</f>
        <v>9332. Mantenimiento de edificios e instalaciones municipales</v>
      </c>
      <c r="W2130" s="35" t="str">
        <f>MID(Tabla1[[#This Row],[Aplicación]],14,2)</f>
        <v>21</v>
      </c>
      <c r="X2130" s="35" t="str">
        <f>MID(Tabla1[[#This Row],[Aplicación]],14,6)</f>
        <v>213</v>
      </c>
    </row>
    <row r="2131" spans="1:24" x14ac:dyDescent="0.25">
      <c r="A2131" s="49">
        <v>220220012876</v>
      </c>
      <c r="B2131" s="50" t="s">
        <v>447</v>
      </c>
      <c r="C2131" s="57">
        <v>44645</v>
      </c>
      <c r="D2131" s="49">
        <v>22022000599</v>
      </c>
      <c r="E2131" s="50" t="s">
        <v>2851</v>
      </c>
      <c r="F2131" s="58">
        <v>-5390.4</v>
      </c>
      <c r="G2131" s="50" t="s">
        <v>1184</v>
      </c>
      <c r="H2131" s="50" t="s">
        <v>1185</v>
      </c>
      <c r="I2131" s="49" t="s">
        <v>107</v>
      </c>
      <c r="J2131" s="50" t="s">
        <v>1186</v>
      </c>
      <c r="K2131" s="50" t="s">
        <v>796</v>
      </c>
      <c r="L2131" s="50" t="s">
        <v>12</v>
      </c>
      <c r="M2131" s="50" t="s">
        <v>10</v>
      </c>
      <c r="N2131" s="50" t="s">
        <v>11</v>
      </c>
      <c r="O2131" s="48" t="s">
        <v>632</v>
      </c>
      <c r="P2131" s="45" t="s">
        <v>453</v>
      </c>
      <c r="Q2131" s="35" t="str">
        <f>MID(Tabla1[[#This Row],[Aplicación]],14,1)</f>
        <v>2</v>
      </c>
      <c r="R2131" s="35" t="s">
        <v>441</v>
      </c>
      <c r="S2131" s="35" t="str">
        <f>MID(Tabla1[[#This Row],[Aplicación]],6,2)</f>
        <v>05</v>
      </c>
      <c r="T2131" s="35" t="str">
        <f>VLOOKUP(Tabla1[[#This Row],[AREA]],Hoja1!A:B,2,FALSE)</f>
        <v>05. Innovación, desarrollo económico, empleo y comercio</v>
      </c>
      <c r="U2131" s="35" t="str">
        <f>MID(Tabla1[[#This Row],[Aplicación]],9,4)</f>
        <v>4314</v>
      </c>
      <c r="V2131" s="35" t="str">
        <f>VLOOKUP(Tabla1[[#This Row],[PROGRAMA]],Hoja1!A:B,2,FALSE)</f>
        <v>4314. Fomento del comercio</v>
      </c>
      <c r="W2131" s="35" t="str">
        <f>MID(Tabla1[[#This Row],[Aplicación]],14,2)</f>
        <v>22</v>
      </c>
      <c r="X2131" s="35" t="str">
        <f>MID(Tabla1[[#This Row],[Aplicación]],14,6)</f>
        <v>22799</v>
      </c>
    </row>
    <row r="2132" spans="1:24" x14ac:dyDescent="0.25">
      <c r="A2132" s="49">
        <v>220220002292</v>
      </c>
      <c r="B2132" s="50" t="s">
        <v>9</v>
      </c>
      <c r="C2132" s="57">
        <v>44593</v>
      </c>
      <c r="D2132" s="49">
        <v>22022001835</v>
      </c>
      <c r="E2132" s="50" t="s">
        <v>3273</v>
      </c>
      <c r="F2132" s="58">
        <v>7199.5</v>
      </c>
      <c r="G2132" s="50" t="s">
        <v>881</v>
      </c>
      <c r="H2132" s="50" t="s">
        <v>3499</v>
      </c>
      <c r="I2132" s="49" t="s">
        <v>107</v>
      </c>
      <c r="J2132" s="50" t="s">
        <v>524</v>
      </c>
      <c r="K2132" s="50" t="s">
        <v>134</v>
      </c>
      <c r="L2132" s="50" t="s">
        <v>12</v>
      </c>
      <c r="M2132" s="50" t="s">
        <v>10</v>
      </c>
      <c r="N2132" s="50" t="s">
        <v>11</v>
      </c>
      <c r="O2132" s="48" t="s">
        <v>632</v>
      </c>
      <c r="P2132" s="45" t="s">
        <v>453</v>
      </c>
      <c r="Q2132" s="35" t="str">
        <f>MID(Tabla1[[#This Row],[Aplicación]],14,1)</f>
        <v>2</v>
      </c>
      <c r="R2132" s="35" t="s">
        <v>441</v>
      </c>
      <c r="S2132" s="35" t="str">
        <f>MID(Tabla1[[#This Row],[Aplicación]],6,2)</f>
        <v>07</v>
      </c>
      <c r="T2132" s="35" t="str">
        <f>VLOOKUP(Tabla1[[#This Row],[AREA]],Hoja1!A:B,2,FALSE)</f>
        <v>07. Medio ambiente y desarrollo sostenible</v>
      </c>
      <c r="U2132" s="35" t="str">
        <f>MID(Tabla1[[#This Row],[Aplicación]],9,4)</f>
        <v>1701</v>
      </c>
      <c r="V2132" s="35" t="str">
        <f>VLOOKUP(Tabla1[[#This Row],[PROGRAMA]],Hoja1!A:B,2,FALSE)</f>
        <v>1701. Dirección del área de medio ambiente</v>
      </c>
      <c r="W2132" s="35" t="str">
        <f>MID(Tabla1[[#This Row],[Aplicación]],14,2)</f>
        <v>22</v>
      </c>
      <c r="X2132" s="35" t="str">
        <f>MID(Tabla1[[#This Row],[Aplicación]],14,6)</f>
        <v>22706</v>
      </c>
    </row>
    <row r="2133" spans="1:24" x14ac:dyDescent="0.25">
      <c r="A2133" s="49">
        <v>220210050019</v>
      </c>
      <c r="B2133" s="50" t="s">
        <v>9</v>
      </c>
      <c r="C2133" s="57">
        <v>44620</v>
      </c>
      <c r="D2133" s="49">
        <v>22021006185</v>
      </c>
      <c r="E2133" s="50" t="s">
        <v>1602</v>
      </c>
      <c r="F2133" s="58">
        <v>5419.84</v>
      </c>
      <c r="G2133" s="50" t="s">
        <v>881</v>
      </c>
      <c r="H2133" s="50" t="s">
        <v>1079</v>
      </c>
      <c r="I2133" s="49" t="s">
        <v>107</v>
      </c>
      <c r="J2133" s="50" t="s">
        <v>524</v>
      </c>
      <c r="K2133" s="50" t="s">
        <v>134</v>
      </c>
      <c r="L2133" s="50" t="s">
        <v>25</v>
      </c>
      <c r="M2133" s="50" t="s">
        <v>10</v>
      </c>
      <c r="N2133" s="50" t="s">
        <v>11</v>
      </c>
      <c r="O2133" s="48" t="s">
        <v>632</v>
      </c>
      <c r="P2133" s="45" t="s">
        <v>453</v>
      </c>
      <c r="Q2133" s="35" t="str">
        <f>MID(Tabla1[[#This Row],[Aplicación]],14,1)</f>
        <v>6</v>
      </c>
      <c r="R2133" s="35" t="s">
        <v>442</v>
      </c>
      <c r="S2133" s="35" t="str">
        <f>MID(Tabla1[[#This Row],[Aplicación]],6,2)</f>
        <v>05</v>
      </c>
      <c r="T2133" s="35" t="str">
        <f>VLOOKUP(Tabla1[[#This Row],[AREA]],Hoja1!A:B,2,FALSE)</f>
        <v>05. Innovación, desarrollo económico, empleo y comercio</v>
      </c>
      <c r="U2133" s="35" t="str">
        <f>MID(Tabla1[[#This Row],[Aplicación]],9,4)</f>
        <v>4331</v>
      </c>
      <c r="V2133" s="35" t="str">
        <f>VLOOKUP(Tabla1[[#This Row],[PROGRAMA]],Hoja1!A:B,2,FALSE)</f>
        <v>4331. Desarrollo empresarial</v>
      </c>
      <c r="W2133" s="35" t="str">
        <f>MID(Tabla1[[#This Row],[Aplicación]],14,2)</f>
        <v>60</v>
      </c>
      <c r="X2133" s="35" t="str">
        <f>MID(Tabla1[[#This Row],[Aplicación]],14,6)</f>
        <v>609</v>
      </c>
    </row>
    <row r="2134" spans="1:24" x14ac:dyDescent="0.25">
      <c r="A2134" s="49">
        <v>220220001601</v>
      </c>
      <c r="B2134" s="50" t="s">
        <v>447</v>
      </c>
      <c r="C2134" s="57">
        <v>44587</v>
      </c>
      <c r="D2134" s="49">
        <v>22022000121</v>
      </c>
      <c r="E2134" s="50" t="s">
        <v>1988</v>
      </c>
      <c r="F2134" s="58">
        <v>-13500</v>
      </c>
      <c r="G2134" s="50" t="s">
        <v>38</v>
      </c>
      <c r="H2134" s="50" t="s">
        <v>1989</v>
      </c>
      <c r="I2134" s="49" t="s">
        <v>107</v>
      </c>
      <c r="J2134" s="50" t="s">
        <v>129</v>
      </c>
      <c r="K2134" s="50" t="s">
        <v>170</v>
      </c>
      <c r="L2134" s="50" t="s">
        <v>15</v>
      </c>
      <c r="M2134" s="50" t="s">
        <v>13</v>
      </c>
      <c r="N2134" s="50" t="s">
        <v>14</v>
      </c>
      <c r="O2134" s="48" t="s">
        <v>620</v>
      </c>
      <c r="P2134" s="45" t="s">
        <v>453</v>
      </c>
      <c r="Q2134" s="35" t="str">
        <f>MID(Tabla1[[#This Row],[Aplicación]],14,1)</f>
        <v>2</v>
      </c>
      <c r="R2134" s="35" t="s">
        <v>441</v>
      </c>
      <c r="S2134" s="35" t="str">
        <f>MID(Tabla1[[#This Row],[Aplicación]],6,2)</f>
        <v>10</v>
      </c>
      <c r="T2134" s="35" t="str">
        <f>VLOOKUP(Tabla1[[#This Row],[AREA]],Hoja1!A:B,2,FALSE)</f>
        <v>10. Servicios sociales y mediación comunitaria</v>
      </c>
      <c r="U2134" s="35" t="str">
        <f>MID(Tabla1[[#This Row],[Aplicación]],9,4)</f>
        <v>2412</v>
      </c>
      <c r="V2134" s="35" t="str">
        <f>VLOOKUP(Tabla1[[#This Row],[PROGRAMA]],Hoja1!A:B,2,FALSE)</f>
        <v>2412. Formación para el empleo</v>
      </c>
      <c r="W2134" s="35" t="str">
        <f>MID(Tabla1[[#This Row],[Aplicación]],14,2)</f>
        <v>22</v>
      </c>
      <c r="X2134" s="35" t="str">
        <f>MID(Tabla1[[#This Row],[Aplicación]],14,6)</f>
        <v>22100</v>
      </c>
    </row>
    <row r="2135" spans="1:24" x14ac:dyDescent="0.25">
      <c r="A2135" s="49">
        <v>220220012877</v>
      </c>
      <c r="B2135" s="50" t="s">
        <v>447</v>
      </c>
      <c r="C2135" s="57">
        <v>44645</v>
      </c>
      <c r="D2135" s="49">
        <v>22022000504</v>
      </c>
      <c r="E2135" s="50" t="s">
        <v>2851</v>
      </c>
      <c r="F2135" s="58">
        <v>-5390.55</v>
      </c>
      <c r="G2135" s="50" t="s">
        <v>936</v>
      </c>
      <c r="H2135" s="50" t="s">
        <v>2946</v>
      </c>
      <c r="I2135" s="49" t="s">
        <v>107</v>
      </c>
      <c r="J2135" s="50" t="s">
        <v>108</v>
      </c>
      <c r="K2135" s="50" t="s">
        <v>108</v>
      </c>
      <c r="L2135" s="50" t="s">
        <v>12</v>
      </c>
      <c r="M2135" s="50" t="s">
        <v>10</v>
      </c>
      <c r="N2135" s="50" t="s">
        <v>11</v>
      </c>
      <c r="O2135" s="48" t="s">
        <v>632</v>
      </c>
      <c r="P2135" s="45" t="s">
        <v>453</v>
      </c>
      <c r="Q2135" s="35" t="str">
        <f>MID(Tabla1[[#This Row],[Aplicación]],14,1)</f>
        <v>2</v>
      </c>
      <c r="R2135" s="35" t="s">
        <v>441</v>
      </c>
      <c r="S2135" s="35" t="str">
        <f>MID(Tabla1[[#This Row],[Aplicación]],6,2)</f>
        <v>05</v>
      </c>
      <c r="T2135" s="35" t="str">
        <f>VLOOKUP(Tabla1[[#This Row],[AREA]],Hoja1!A:B,2,FALSE)</f>
        <v>05. Innovación, desarrollo económico, empleo y comercio</v>
      </c>
      <c r="U2135" s="35" t="str">
        <f>MID(Tabla1[[#This Row],[Aplicación]],9,4)</f>
        <v>4314</v>
      </c>
      <c r="V2135" s="35" t="str">
        <f>VLOOKUP(Tabla1[[#This Row],[PROGRAMA]],Hoja1!A:B,2,FALSE)</f>
        <v>4314. Fomento del comercio</v>
      </c>
      <c r="W2135" s="35" t="str">
        <f>MID(Tabla1[[#This Row],[Aplicación]],14,2)</f>
        <v>22</v>
      </c>
      <c r="X2135" s="35" t="str">
        <f>MID(Tabla1[[#This Row],[Aplicación]],14,6)</f>
        <v>22799</v>
      </c>
    </row>
    <row r="2136" spans="1:24" x14ac:dyDescent="0.25">
      <c r="A2136" s="49">
        <v>220220000342</v>
      </c>
      <c r="B2136" s="50" t="s">
        <v>447</v>
      </c>
      <c r="C2136" s="57">
        <v>44585</v>
      </c>
      <c r="D2136" s="49">
        <v>22022000252</v>
      </c>
      <c r="E2136" s="50" t="s">
        <v>2738</v>
      </c>
      <c r="F2136" s="58">
        <v>-15001.5</v>
      </c>
      <c r="G2136" s="50" t="s">
        <v>46</v>
      </c>
      <c r="H2136" s="50" t="s">
        <v>878</v>
      </c>
      <c r="I2136" s="49" t="s">
        <v>107</v>
      </c>
      <c r="J2136" s="50" t="s">
        <v>109</v>
      </c>
      <c r="K2136" s="50" t="s">
        <v>109</v>
      </c>
      <c r="L2136" s="50" t="s">
        <v>12</v>
      </c>
      <c r="M2136" s="50" t="s">
        <v>13</v>
      </c>
      <c r="N2136" s="50" t="s">
        <v>14</v>
      </c>
      <c r="O2136" s="48" t="s">
        <v>620</v>
      </c>
      <c r="P2136" s="45" t="s">
        <v>453</v>
      </c>
      <c r="Q2136" s="35" t="str">
        <f>MID(Tabla1[[#This Row],[Aplicación]],14,1)</f>
        <v>2</v>
      </c>
      <c r="R2136" s="35" t="s">
        <v>441</v>
      </c>
      <c r="S2136" s="35" t="str">
        <f>MID(Tabla1[[#This Row],[Aplicación]],6,2)</f>
        <v>10</v>
      </c>
      <c r="T2136" s="35" t="str">
        <f>VLOOKUP(Tabla1[[#This Row],[AREA]],Hoja1!A:B,2,FALSE)</f>
        <v>10. Servicios sociales y mediación comunitaria</v>
      </c>
      <c r="U2136" s="35" t="str">
        <f>MID(Tabla1[[#This Row],[Aplicación]],9,4)</f>
        <v>2412</v>
      </c>
      <c r="V2136" s="35" t="str">
        <f>VLOOKUP(Tabla1[[#This Row],[PROGRAMA]],Hoja1!A:B,2,FALSE)</f>
        <v>2412. Formación para el empleo</v>
      </c>
      <c r="W2136" s="35" t="str">
        <f>MID(Tabla1[[#This Row],[Aplicación]],14,2)</f>
        <v>22</v>
      </c>
      <c r="X2136" s="35" t="str">
        <f>MID(Tabla1[[#This Row],[Aplicación]],14,6)</f>
        <v>22799</v>
      </c>
    </row>
    <row r="2137" spans="1:24" x14ac:dyDescent="0.25">
      <c r="A2137" s="49">
        <v>220219000887</v>
      </c>
      <c r="B2137" s="50" t="s">
        <v>9</v>
      </c>
      <c r="C2137" s="57">
        <v>44562</v>
      </c>
      <c r="D2137" s="49">
        <v>22022000104</v>
      </c>
      <c r="E2137" s="50" t="s">
        <v>1731</v>
      </c>
      <c r="F2137" s="58">
        <v>179986.12</v>
      </c>
      <c r="G2137" s="50" t="s">
        <v>517</v>
      </c>
      <c r="H2137" s="50" t="s">
        <v>3500</v>
      </c>
      <c r="I2137" s="49" t="s">
        <v>107</v>
      </c>
      <c r="J2137" s="50" t="s">
        <v>128</v>
      </c>
      <c r="K2137" s="50" t="s">
        <v>128</v>
      </c>
      <c r="L2137" s="50" t="s">
        <v>921</v>
      </c>
      <c r="M2137" s="50" t="s">
        <v>13</v>
      </c>
      <c r="N2137" s="50" t="s">
        <v>14</v>
      </c>
      <c r="O2137" s="48" t="s">
        <v>631</v>
      </c>
      <c r="P2137" s="45" t="s">
        <v>453</v>
      </c>
      <c r="Q2137" s="35" t="str">
        <f>MID(Tabla1[[#This Row],[Aplicación]],14,1)</f>
        <v>2</v>
      </c>
      <c r="R2137" s="35" t="s">
        <v>441</v>
      </c>
      <c r="S2137" s="35" t="str">
        <f>MID(Tabla1[[#This Row],[Aplicación]],6,2)</f>
        <v>02</v>
      </c>
      <c r="T2137" s="35" t="str">
        <f>VLOOKUP(Tabla1[[#This Row],[AREA]],Hoja1!A:B,2,FALSE)</f>
        <v>02. Planeamiento urbanístico y vivienda</v>
      </c>
      <c r="U2137" s="35" t="str">
        <f>MID(Tabla1[[#This Row],[Aplicación]],9,4)</f>
        <v>9331</v>
      </c>
      <c r="V2137" s="35" t="str">
        <f>VLOOKUP(Tabla1[[#This Row],[PROGRAMA]],Hoja1!A:B,2,FALSE)</f>
        <v>9331. Gestión del patrimonio</v>
      </c>
      <c r="W2137" s="35" t="str">
        <f>MID(Tabla1[[#This Row],[Aplicación]],14,2)</f>
        <v>22</v>
      </c>
      <c r="X2137" s="35" t="str">
        <f>MID(Tabla1[[#This Row],[Aplicación]],14,6)</f>
        <v>224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zoomScaleNormal="100" workbookViewId="0"/>
  </sheetViews>
  <sheetFormatPr baseColWidth="10" defaultColWidth="27.140625" defaultRowHeight="11.25" x14ac:dyDescent="0.25"/>
  <cols>
    <col min="1" max="1" width="28.28515625" style="7" customWidth="1"/>
    <col min="2" max="2" width="10.85546875" style="7" customWidth="1"/>
    <col min="3" max="3" width="10.140625" style="7" bestFit="1" customWidth="1"/>
    <col min="4" max="4" width="10" style="7" bestFit="1" customWidth="1"/>
    <col min="5" max="5" width="12" style="7" bestFit="1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452</v>
      </c>
      <c r="B1" s="7" t="s">
        <v>453</v>
      </c>
    </row>
    <row r="3" spans="1:13" ht="22.5" x14ac:dyDescent="0.25">
      <c r="A3" s="6" t="s">
        <v>457</v>
      </c>
      <c r="B3" s="6" t="s">
        <v>456</v>
      </c>
    </row>
    <row r="4" spans="1:13" ht="67.5" x14ac:dyDescent="0.25">
      <c r="A4" s="8" t="s">
        <v>454</v>
      </c>
      <c r="B4" s="9" t="s">
        <v>267</v>
      </c>
      <c r="C4" s="9" t="s">
        <v>624</v>
      </c>
      <c r="D4" s="9" t="s">
        <v>625</v>
      </c>
      <c r="E4" s="9" t="s">
        <v>626</v>
      </c>
      <c r="F4" s="9" t="s">
        <v>604</v>
      </c>
      <c r="G4" s="9" t="s">
        <v>627</v>
      </c>
      <c r="H4" s="9" t="s">
        <v>628</v>
      </c>
      <c r="I4" s="9" t="s">
        <v>629</v>
      </c>
      <c r="J4" s="9" t="s">
        <v>275</v>
      </c>
      <c r="K4" s="9" t="s">
        <v>630</v>
      </c>
      <c r="L4" s="9" t="s">
        <v>602</v>
      </c>
      <c r="M4" s="9" t="s">
        <v>455</v>
      </c>
    </row>
    <row r="5" spans="1:13" x14ac:dyDescent="0.25">
      <c r="A5" s="10" t="s">
        <v>631</v>
      </c>
      <c r="B5" s="11">
        <v>7297.37</v>
      </c>
      <c r="C5" s="11">
        <v>319293.35000000003</v>
      </c>
      <c r="D5" s="11">
        <v>24703.500000000004</v>
      </c>
      <c r="E5" s="11">
        <v>179525.74000000002</v>
      </c>
      <c r="F5" s="11">
        <v>28029.250000000004</v>
      </c>
      <c r="G5" s="11">
        <v>59555.789999999994</v>
      </c>
      <c r="H5" s="11">
        <v>50868.160000000018</v>
      </c>
      <c r="I5" s="11">
        <v>265406.05</v>
      </c>
      <c r="J5" s="11">
        <v>7081.4999999999991</v>
      </c>
      <c r="K5" s="11">
        <v>36534.78</v>
      </c>
      <c r="L5" s="11">
        <v>301037.25000000029</v>
      </c>
      <c r="M5" s="11">
        <v>1279332.7400000005</v>
      </c>
    </row>
    <row r="6" spans="1:13" x14ac:dyDescent="0.25">
      <c r="A6" s="10" t="s">
        <v>632</v>
      </c>
      <c r="B6" s="11">
        <v>125154.67000000001</v>
      </c>
      <c r="C6" s="11">
        <v>146340.32</v>
      </c>
      <c r="D6" s="11">
        <v>179008.69000000009</v>
      </c>
      <c r="E6" s="11">
        <v>163281.45999999996</v>
      </c>
      <c r="F6" s="11">
        <v>218686.84999999992</v>
      </c>
      <c r="G6" s="11">
        <v>301759.24999999988</v>
      </c>
      <c r="H6" s="11">
        <v>125509.50999999998</v>
      </c>
      <c r="I6" s="11">
        <v>100146.39</v>
      </c>
      <c r="J6" s="11">
        <v>49082.189999999988</v>
      </c>
      <c r="K6" s="11">
        <v>179383.78999999992</v>
      </c>
      <c r="L6" s="11">
        <v>340963.85</v>
      </c>
      <c r="M6" s="11">
        <v>1929316.9699999997</v>
      </c>
    </row>
    <row r="7" spans="1:13" x14ac:dyDescent="0.25">
      <c r="A7" s="10" t="s">
        <v>620</v>
      </c>
      <c r="B7" s="11">
        <v>250186.77</v>
      </c>
      <c r="C7" s="11">
        <v>1862099.4300000002</v>
      </c>
      <c r="D7" s="11">
        <v>2882792.9299999997</v>
      </c>
      <c r="E7" s="11">
        <v>6102051.9299999978</v>
      </c>
      <c r="F7" s="11">
        <v>2551516.0700000012</v>
      </c>
      <c r="G7" s="11">
        <v>9240012.5799999982</v>
      </c>
      <c r="H7" s="11">
        <v>5846457.6399999969</v>
      </c>
      <c r="I7" s="11">
        <v>29273885.090000004</v>
      </c>
      <c r="J7" s="11">
        <v>878598.53000000014</v>
      </c>
      <c r="K7" s="11">
        <v>20898868.119999982</v>
      </c>
      <c r="L7" s="11">
        <v>6853042.1400000015</v>
      </c>
      <c r="M7" s="11">
        <v>86639511.229999974</v>
      </c>
    </row>
    <row r="8" spans="1:13" x14ac:dyDescent="0.25">
      <c r="A8" s="10" t="s">
        <v>622</v>
      </c>
      <c r="B8" s="11">
        <v>8167.5</v>
      </c>
      <c r="C8" s="11"/>
      <c r="D8" s="11"/>
      <c r="E8" s="11">
        <v>145315.57</v>
      </c>
      <c r="F8" s="11"/>
      <c r="G8" s="11"/>
      <c r="H8" s="11"/>
      <c r="I8" s="11"/>
      <c r="J8" s="11"/>
      <c r="K8" s="11">
        <v>2016.64</v>
      </c>
      <c r="L8" s="11">
        <v>23818.41</v>
      </c>
      <c r="M8" s="11">
        <v>179318.12000000002</v>
      </c>
    </row>
    <row r="9" spans="1:13" x14ac:dyDescent="0.25">
      <c r="A9" s="10" t="s">
        <v>455</v>
      </c>
      <c r="B9" s="11">
        <v>390806.31</v>
      </c>
      <c r="C9" s="11">
        <v>2327733.1</v>
      </c>
      <c r="D9" s="11">
        <v>3086505.1199999996</v>
      </c>
      <c r="E9" s="11">
        <v>6590174.6999999983</v>
      </c>
      <c r="F9" s="11">
        <v>2798232.1700000013</v>
      </c>
      <c r="G9" s="11">
        <v>9601327.6199999973</v>
      </c>
      <c r="H9" s="11">
        <v>6022835.3099999968</v>
      </c>
      <c r="I9" s="11">
        <v>29639437.530000005</v>
      </c>
      <c r="J9" s="11">
        <v>934762.22000000009</v>
      </c>
      <c r="K9" s="11">
        <v>21116803.329999983</v>
      </c>
      <c r="L9" s="11">
        <v>7518861.6500000022</v>
      </c>
      <c r="M9" s="11">
        <v>90027479.059999973</v>
      </c>
    </row>
    <row r="10" spans="1:13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452</v>
      </c>
      <c r="B12" s="7" t="s">
        <v>453</v>
      </c>
    </row>
    <row r="14" spans="1:13" ht="22.5" x14ac:dyDescent="0.25">
      <c r="A14" s="8" t="s">
        <v>454</v>
      </c>
      <c r="B14" s="9" t="s">
        <v>457</v>
      </c>
      <c r="C14" s="26" t="s">
        <v>509</v>
      </c>
      <c r="D14"/>
      <c r="E14"/>
      <c r="F14"/>
      <c r="G14"/>
      <c r="H14"/>
      <c r="I14"/>
      <c r="J14"/>
      <c r="K14"/>
    </row>
    <row r="15" spans="1:13" ht="15" x14ac:dyDescent="0.25">
      <c r="A15" s="10" t="s">
        <v>631</v>
      </c>
      <c r="B15" s="11">
        <v>1279332.7400000007</v>
      </c>
      <c r="C15" s="51">
        <f>GETPIVOTDATA("Importe",$A$14,"PROCEDIMIENTO","Acuerdo marco")/GETPIVOTDATA("Importe",$A$14)</f>
        <v>1.4210469440640144E-2</v>
      </c>
      <c r="D15"/>
      <c r="E15"/>
      <c r="F15" s="12"/>
      <c r="G15"/>
      <c r="H15"/>
      <c r="I15"/>
      <c r="J15"/>
      <c r="K15"/>
    </row>
    <row r="16" spans="1:13" ht="15" x14ac:dyDescent="0.25">
      <c r="A16" s="10" t="s">
        <v>632</v>
      </c>
      <c r="B16" s="11">
        <v>1929316.9700000014</v>
      </c>
      <c r="C16" s="51">
        <f>GETPIVOTDATA("Importe",$A$14,"PROCEDIMIENTO","Contratación menor")/GETPIVOTDATA("Importe",$A$14)</f>
        <v>2.1430312057435067E-2</v>
      </c>
      <c r="D16"/>
      <c r="E16" s="53"/>
      <c r="F16" s="12"/>
      <c r="G16"/>
      <c r="H16"/>
      <c r="I16"/>
      <c r="J16"/>
      <c r="K16"/>
    </row>
    <row r="17" spans="1:11" ht="15" x14ac:dyDescent="0.25">
      <c r="A17" s="10" t="s">
        <v>620</v>
      </c>
      <c r="B17" s="11">
        <v>86639511.230000004</v>
      </c>
      <c r="C17" s="51">
        <f>GETPIVOTDATA("Importe",$A$14,"PROCEDIMIENTO","Procedimiento abierto")/GETPIVOTDATA("Importe",$A$14)</f>
        <v>0.96236740309320379</v>
      </c>
      <c r="D17"/>
      <c r="E17"/>
      <c r="F17" s="12"/>
      <c r="G17"/>
      <c r="H17"/>
      <c r="I17"/>
      <c r="J17"/>
      <c r="K17"/>
    </row>
    <row r="18" spans="1:11" ht="15" x14ac:dyDescent="0.25">
      <c r="A18" s="10" t="s">
        <v>622</v>
      </c>
      <c r="B18" s="11">
        <v>179318.12000000002</v>
      </c>
      <c r="C18" s="51">
        <f>GETPIVOTDATA("Importe",$A$14,"PROCEDIMIENTO","Procedimiento negociado sin publicidad")/GETPIVOTDATA("Importe",$A$14)</f>
        <v>1.9918154087208316E-3</v>
      </c>
      <c r="D18"/>
      <c r="E18"/>
      <c r="F18" s="12"/>
      <c r="G18"/>
      <c r="H18"/>
      <c r="I18"/>
      <c r="J18"/>
      <c r="K18"/>
    </row>
    <row r="19" spans="1:11" ht="15" x14ac:dyDescent="0.25">
      <c r="A19" s="10" t="s">
        <v>455</v>
      </c>
      <c r="B19" s="11">
        <v>90027479.060000017</v>
      </c>
      <c r="C19"/>
      <c r="D19"/>
      <c r="E19"/>
      <c r="F19" s="12"/>
      <c r="G19"/>
      <c r="H19"/>
      <c r="I19"/>
      <c r="J19"/>
      <c r="K19"/>
    </row>
    <row r="20" spans="1:11" ht="15" x14ac:dyDescent="0.25">
      <c r="A20"/>
      <c r="B20"/>
      <c r="D20"/>
      <c r="E20"/>
      <c r="F20"/>
      <c r="G20"/>
      <c r="H20"/>
      <c r="I20"/>
      <c r="J20"/>
      <c r="K20"/>
    </row>
    <row r="21" spans="1:11" ht="15" x14ac:dyDescent="0.25">
      <c r="A21"/>
      <c r="B21"/>
      <c r="D21"/>
      <c r="E21"/>
      <c r="F21"/>
      <c r="G21"/>
      <c r="H21"/>
      <c r="I21"/>
      <c r="J21"/>
      <c r="K21"/>
    </row>
    <row r="22" spans="1:11" ht="15" x14ac:dyDescent="0.25">
      <c r="A22"/>
      <c r="B22"/>
    </row>
    <row r="23" spans="1:11" ht="15" x14ac:dyDescent="0.25">
      <c r="A23"/>
      <c r="B23"/>
    </row>
    <row r="24" spans="1:11" x14ac:dyDescent="0.25">
      <c r="E24" s="52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89" fitToHeight="0" orientation="landscape" r:id="rId3"/>
  <headerFooter>
    <oddHeader>&amp;C&amp;"Arial Narrow,Negrita"&amp;14&amp;UCONTRATACION AYUNTAMIENTO DE VALLADOLID -  PRIMER TRIMESTRE 2022
&amp;"-,Normal"&amp;11&amp;U
&amp;G</oddHeader>
    <oddFooter>&amp;R&amp;P / &amp;N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452</v>
      </c>
      <c r="B1" s="14" t="s">
        <v>453</v>
      </c>
    </row>
    <row r="2" spans="1:13" x14ac:dyDescent="0.25">
      <c r="A2" s="13" t="s">
        <v>6</v>
      </c>
      <c r="B2" s="14" t="s">
        <v>623</v>
      </c>
      <c r="G2" s="43"/>
    </row>
    <row r="3" spans="1:13" ht="25.5" x14ac:dyDescent="0.25">
      <c r="A3" s="13" t="s">
        <v>196</v>
      </c>
      <c r="B3" s="14" t="s">
        <v>632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457</v>
      </c>
      <c r="B5" s="13" t="s">
        <v>456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454</v>
      </c>
      <c r="B6" s="18" t="s">
        <v>267</v>
      </c>
      <c r="C6" s="18" t="s">
        <v>624</v>
      </c>
      <c r="D6" s="18" t="s">
        <v>625</v>
      </c>
      <c r="E6" s="18" t="s">
        <v>626</v>
      </c>
      <c r="F6" s="18" t="s">
        <v>604</v>
      </c>
      <c r="G6" s="18" t="s">
        <v>627</v>
      </c>
      <c r="H6" s="18" t="s">
        <v>628</v>
      </c>
      <c r="I6" s="18" t="s">
        <v>629</v>
      </c>
      <c r="J6" s="18" t="s">
        <v>275</v>
      </c>
      <c r="K6" s="18" t="s">
        <v>630</v>
      </c>
      <c r="L6" s="18" t="s">
        <v>602</v>
      </c>
      <c r="M6" s="18" t="s">
        <v>455</v>
      </c>
    </row>
    <row r="7" spans="1:13" s="20" customFormat="1" x14ac:dyDescent="0.25">
      <c r="A7" s="21" t="s">
        <v>589</v>
      </c>
      <c r="B7" s="19"/>
      <c r="C7" s="19"/>
      <c r="D7" s="19"/>
      <c r="E7" s="19"/>
      <c r="F7" s="19"/>
      <c r="G7" s="19"/>
      <c r="H7" s="19"/>
      <c r="I7" s="19"/>
      <c r="J7" s="19"/>
      <c r="K7" s="19">
        <v>11.86</v>
      </c>
      <c r="L7" s="19"/>
      <c r="M7" s="19">
        <v>11.86</v>
      </c>
    </row>
    <row r="8" spans="1:13" s="20" customFormat="1" x14ac:dyDescent="0.25">
      <c r="A8" s="21" t="s">
        <v>634</v>
      </c>
      <c r="B8" s="19"/>
      <c r="C8" s="19"/>
      <c r="D8" s="19">
        <v>400</v>
      </c>
      <c r="E8" s="19"/>
      <c r="F8" s="19"/>
      <c r="G8" s="19"/>
      <c r="H8" s="19"/>
      <c r="I8" s="19"/>
      <c r="J8" s="19"/>
      <c r="K8" s="19"/>
      <c r="L8" s="19"/>
      <c r="M8" s="19">
        <v>400</v>
      </c>
    </row>
    <row r="9" spans="1:13" s="20" customFormat="1" x14ac:dyDescent="0.25">
      <c r="A9" s="21" t="s">
        <v>1468</v>
      </c>
      <c r="B9" s="19"/>
      <c r="C9" s="19"/>
      <c r="D9" s="19"/>
      <c r="E9" s="19"/>
      <c r="F9" s="19"/>
      <c r="G9" s="19"/>
      <c r="H9" s="19"/>
      <c r="I9" s="19"/>
      <c r="J9" s="19">
        <v>1700</v>
      </c>
      <c r="K9" s="19"/>
      <c r="L9" s="19"/>
      <c r="M9" s="19">
        <v>1700</v>
      </c>
    </row>
    <row r="10" spans="1:13" s="20" customFormat="1" x14ac:dyDescent="0.25">
      <c r="A10" s="21" t="s">
        <v>236</v>
      </c>
      <c r="B10" s="19">
        <v>2065.63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2065.63</v>
      </c>
    </row>
    <row r="11" spans="1:13" s="20" customFormat="1" x14ac:dyDescent="0.25">
      <c r="A11" s="21" t="s">
        <v>1589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6000</v>
      </c>
      <c r="L11" s="19"/>
      <c r="M11" s="19">
        <v>6000</v>
      </c>
    </row>
    <row r="12" spans="1:13" s="20" customFormat="1" x14ac:dyDescent="0.25">
      <c r="A12" s="21" t="s">
        <v>1877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14400</v>
      </c>
      <c r="L12" s="19"/>
      <c r="M12" s="19">
        <v>14400</v>
      </c>
    </row>
    <row r="13" spans="1:13" s="20" customFormat="1" x14ac:dyDescent="0.25">
      <c r="A13" s="21" t="s">
        <v>493</v>
      </c>
      <c r="B13" s="19">
        <v>600</v>
      </c>
      <c r="C13" s="19"/>
      <c r="D13" s="19"/>
      <c r="E13" s="19"/>
      <c r="F13" s="19"/>
      <c r="G13" s="19"/>
      <c r="H13" s="19"/>
      <c r="I13" s="19">
        <v>422</v>
      </c>
      <c r="J13" s="19"/>
      <c r="K13" s="19"/>
      <c r="L13" s="19">
        <v>740</v>
      </c>
      <c r="M13" s="19">
        <v>1762</v>
      </c>
    </row>
    <row r="14" spans="1:13" s="20" customFormat="1" x14ac:dyDescent="0.25">
      <c r="A14" s="21" t="s">
        <v>1303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1427.8</v>
      </c>
      <c r="M14" s="19">
        <v>1427.8</v>
      </c>
    </row>
    <row r="15" spans="1:13" s="20" customFormat="1" x14ac:dyDescent="0.25">
      <c r="A15" s="21" t="s">
        <v>54</v>
      </c>
      <c r="B15" s="19">
        <v>9275.67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9275.67</v>
      </c>
    </row>
    <row r="16" spans="1:13" s="20" customFormat="1" x14ac:dyDescent="0.25">
      <c r="A16" s="21" t="s">
        <v>53</v>
      </c>
      <c r="B16" s="19">
        <v>10950.84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v>10950.84</v>
      </c>
    </row>
    <row r="17" spans="1:13" s="20" customFormat="1" x14ac:dyDescent="0.25">
      <c r="A17" s="21" t="s">
        <v>639</v>
      </c>
      <c r="B17" s="19"/>
      <c r="C17" s="19"/>
      <c r="D17" s="19"/>
      <c r="E17" s="19"/>
      <c r="F17" s="19"/>
      <c r="G17" s="19"/>
      <c r="H17" s="19">
        <v>2000</v>
      </c>
      <c r="I17" s="19"/>
      <c r="J17" s="19"/>
      <c r="K17" s="19"/>
      <c r="L17" s="19"/>
      <c r="M17" s="19">
        <v>2000</v>
      </c>
    </row>
    <row r="18" spans="1:13" s="20" customFormat="1" x14ac:dyDescent="0.25">
      <c r="A18" s="21" t="s">
        <v>641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262.89999999999998</v>
      </c>
      <c r="L18" s="19"/>
      <c r="M18" s="19">
        <v>262.89999999999998</v>
      </c>
    </row>
    <row r="19" spans="1:13" s="20" customFormat="1" x14ac:dyDescent="0.25">
      <c r="A19" s="21" t="s">
        <v>478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1225</v>
      </c>
      <c r="M19" s="19">
        <v>1225</v>
      </c>
    </row>
    <row r="20" spans="1:13" s="20" customFormat="1" x14ac:dyDescent="0.25">
      <c r="A20" s="21" t="s">
        <v>82</v>
      </c>
      <c r="B20" s="19"/>
      <c r="C20" s="19"/>
      <c r="D20" s="19"/>
      <c r="E20" s="19"/>
      <c r="F20" s="19">
        <v>599.61999999999989</v>
      </c>
      <c r="G20" s="19"/>
      <c r="H20" s="19"/>
      <c r="I20" s="19"/>
      <c r="J20" s="19"/>
      <c r="K20" s="19"/>
      <c r="L20" s="19"/>
      <c r="M20" s="19">
        <v>599.61999999999989</v>
      </c>
    </row>
    <row r="21" spans="1:13" s="20" customFormat="1" x14ac:dyDescent="0.25">
      <c r="A21" s="21" t="s">
        <v>1198</v>
      </c>
      <c r="B21" s="19"/>
      <c r="C21" s="19"/>
      <c r="D21" s="19"/>
      <c r="E21" s="19"/>
      <c r="F21" s="19"/>
      <c r="G21" s="19"/>
      <c r="H21" s="19">
        <v>2884.76</v>
      </c>
      <c r="I21" s="19"/>
      <c r="J21" s="19"/>
      <c r="K21" s="19"/>
      <c r="L21" s="19"/>
      <c r="M21" s="19">
        <v>2884.76</v>
      </c>
    </row>
    <row r="22" spans="1:13" s="20" customFormat="1" x14ac:dyDescent="0.25">
      <c r="A22" s="21" t="s">
        <v>1199</v>
      </c>
      <c r="B22" s="19"/>
      <c r="C22" s="19"/>
      <c r="D22" s="19"/>
      <c r="E22" s="19"/>
      <c r="F22" s="19"/>
      <c r="G22" s="19">
        <v>726</v>
      </c>
      <c r="H22" s="19"/>
      <c r="I22" s="19"/>
      <c r="J22" s="19"/>
      <c r="K22" s="19"/>
      <c r="L22" s="19"/>
      <c r="M22" s="19">
        <v>726</v>
      </c>
    </row>
    <row r="23" spans="1:13" s="20" customFormat="1" x14ac:dyDescent="0.25">
      <c r="A23" s="21" t="s">
        <v>238</v>
      </c>
      <c r="B23" s="19"/>
      <c r="C23" s="19"/>
      <c r="D23" s="19">
        <v>70.48</v>
      </c>
      <c r="E23" s="19"/>
      <c r="F23" s="19"/>
      <c r="G23" s="19"/>
      <c r="H23" s="19"/>
      <c r="I23" s="19"/>
      <c r="J23" s="19"/>
      <c r="K23" s="19"/>
      <c r="L23" s="19"/>
      <c r="M23" s="19">
        <v>70.48</v>
      </c>
    </row>
    <row r="24" spans="1:13" s="20" customFormat="1" x14ac:dyDescent="0.25">
      <c r="A24" s="21" t="s">
        <v>1159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545</v>
      </c>
      <c r="M24" s="19">
        <v>545</v>
      </c>
    </row>
    <row r="25" spans="1:13" s="20" customFormat="1" x14ac:dyDescent="0.25">
      <c r="A25" s="21" t="s">
        <v>57</v>
      </c>
      <c r="B25" s="19"/>
      <c r="C25" s="19"/>
      <c r="D25" s="19">
        <v>880</v>
      </c>
      <c r="E25" s="19"/>
      <c r="F25" s="19"/>
      <c r="G25" s="19"/>
      <c r="H25" s="19"/>
      <c r="I25" s="19"/>
      <c r="J25" s="19"/>
      <c r="K25" s="19"/>
      <c r="L25" s="19"/>
      <c r="M25" s="19">
        <v>880</v>
      </c>
    </row>
    <row r="26" spans="1:13" s="20" customFormat="1" x14ac:dyDescent="0.25">
      <c r="A26" s="21" t="s">
        <v>1642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2000</v>
      </c>
      <c r="M26" s="19">
        <v>2000</v>
      </c>
    </row>
    <row r="27" spans="1:13" s="20" customFormat="1" x14ac:dyDescent="0.25">
      <c r="A27" s="21" t="s">
        <v>1050</v>
      </c>
      <c r="B27" s="19"/>
      <c r="C27" s="19">
        <v>854.51</v>
      </c>
      <c r="D27" s="19">
        <v>2940.3</v>
      </c>
      <c r="E27" s="19"/>
      <c r="F27" s="19"/>
      <c r="G27" s="19"/>
      <c r="H27" s="19"/>
      <c r="I27" s="19"/>
      <c r="J27" s="19"/>
      <c r="K27" s="19">
        <v>81.31</v>
      </c>
      <c r="L27" s="19"/>
      <c r="M27" s="19">
        <v>3876.1200000000003</v>
      </c>
    </row>
    <row r="28" spans="1:13" s="20" customFormat="1" x14ac:dyDescent="0.25">
      <c r="A28" s="21" t="s">
        <v>254</v>
      </c>
      <c r="B28" s="19"/>
      <c r="C28" s="19"/>
      <c r="D28" s="19"/>
      <c r="E28" s="19"/>
      <c r="F28" s="19"/>
      <c r="G28" s="19"/>
      <c r="H28" s="19"/>
      <c r="I28" s="19">
        <v>1100</v>
      </c>
      <c r="J28" s="19"/>
      <c r="K28" s="19"/>
      <c r="L28" s="19"/>
      <c r="M28" s="19">
        <v>1100</v>
      </c>
    </row>
    <row r="29" spans="1:13" s="20" customFormat="1" ht="15" customHeight="1" x14ac:dyDescent="0.25">
      <c r="A29" s="21" t="s">
        <v>1660</v>
      </c>
      <c r="B29" s="19"/>
      <c r="C29" s="19"/>
      <c r="D29" s="19"/>
      <c r="E29" s="19"/>
      <c r="F29" s="19">
        <v>15609</v>
      </c>
      <c r="G29" s="19"/>
      <c r="H29" s="19"/>
      <c r="I29" s="19"/>
      <c r="J29" s="19"/>
      <c r="K29" s="19"/>
      <c r="L29" s="19"/>
      <c r="M29" s="19">
        <v>15609</v>
      </c>
    </row>
    <row r="30" spans="1:13" s="20" customFormat="1" x14ac:dyDescent="0.25">
      <c r="A30" s="21" t="s">
        <v>574</v>
      </c>
      <c r="B30" s="19"/>
      <c r="C30" s="19"/>
      <c r="D30" s="19"/>
      <c r="E30" s="19"/>
      <c r="F30" s="19"/>
      <c r="G30" s="19">
        <v>196</v>
      </c>
      <c r="H30" s="19"/>
      <c r="I30" s="19"/>
      <c r="J30" s="19"/>
      <c r="K30" s="19"/>
      <c r="L30" s="19"/>
      <c r="M30" s="19">
        <v>196</v>
      </c>
    </row>
    <row r="31" spans="1:13" s="20" customFormat="1" x14ac:dyDescent="0.25">
      <c r="A31" s="21" t="s">
        <v>71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7247.9</v>
      </c>
      <c r="M31" s="19">
        <v>7247.9</v>
      </c>
    </row>
    <row r="32" spans="1:13" s="20" customFormat="1" x14ac:dyDescent="0.25">
      <c r="A32" s="21" t="s">
        <v>651</v>
      </c>
      <c r="B32" s="19"/>
      <c r="C32" s="19">
        <v>15367</v>
      </c>
      <c r="D32" s="19"/>
      <c r="E32" s="19"/>
      <c r="F32" s="19"/>
      <c r="G32" s="19"/>
      <c r="H32" s="19"/>
      <c r="I32" s="19"/>
      <c r="J32" s="19"/>
      <c r="K32" s="19"/>
      <c r="L32" s="19"/>
      <c r="M32" s="19">
        <v>15367</v>
      </c>
    </row>
    <row r="33" spans="1:13" s="20" customFormat="1" x14ac:dyDescent="0.25">
      <c r="A33" s="21" t="s">
        <v>1052</v>
      </c>
      <c r="B33" s="19"/>
      <c r="C33" s="19"/>
      <c r="D33" s="19">
        <v>598.95000000000005</v>
      </c>
      <c r="E33" s="19"/>
      <c r="F33" s="19"/>
      <c r="G33" s="19"/>
      <c r="H33" s="19"/>
      <c r="I33" s="19"/>
      <c r="J33" s="19"/>
      <c r="K33" s="19"/>
      <c r="L33" s="19"/>
      <c r="M33" s="19">
        <v>598.95000000000005</v>
      </c>
    </row>
    <row r="34" spans="1:13" s="20" customFormat="1" x14ac:dyDescent="0.25">
      <c r="A34" s="21" t="s">
        <v>215</v>
      </c>
      <c r="B34" s="19"/>
      <c r="C34" s="19"/>
      <c r="D34" s="19"/>
      <c r="E34" s="19"/>
      <c r="F34" s="19"/>
      <c r="G34" s="19"/>
      <c r="H34" s="19"/>
      <c r="I34" s="19">
        <v>2904</v>
      </c>
      <c r="J34" s="19"/>
      <c r="K34" s="19"/>
      <c r="L34" s="19"/>
      <c r="M34" s="19">
        <v>2904</v>
      </c>
    </row>
    <row r="35" spans="1:13" s="20" customFormat="1" x14ac:dyDescent="0.25">
      <c r="A35" s="21" t="s">
        <v>191</v>
      </c>
      <c r="B35" s="19"/>
      <c r="C35" s="19"/>
      <c r="D35" s="19"/>
      <c r="E35" s="19"/>
      <c r="F35" s="19"/>
      <c r="G35" s="19">
        <v>9629.23</v>
      </c>
      <c r="H35" s="19"/>
      <c r="I35" s="19"/>
      <c r="J35" s="19"/>
      <c r="K35" s="19"/>
      <c r="L35" s="19"/>
      <c r="M35" s="19">
        <v>9629.23</v>
      </c>
    </row>
    <row r="36" spans="1:13" s="20" customFormat="1" x14ac:dyDescent="0.25">
      <c r="A36" s="21" t="s">
        <v>1679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1233.04</v>
      </c>
      <c r="L36" s="19"/>
      <c r="M36" s="19">
        <v>1233.04</v>
      </c>
    </row>
    <row r="37" spans="1:13" s="20" customFormat="1" x14ac:dyDescent="0.25">
      <c r="A37" s="21" t="s">
        <v>652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193.6</v>
      </c>
      <c r="M37" s="19">
        <v>193.6</v>
      </c>
    </row>
    <row r="38" spans="1:13" s="20" customFormat="1" x14ac:dyDescent="0.25">
      <c r="A38" s="21" t="s">
        <v>59</v>
      </c>
      <c r="B38" s="19"/>
      <c r="C38" s="19"/>
      <c r="D38" s="19"/>
      <c r="E38" s="19"/>
      <c r="F38" s="19"/>
      <c r="G38" s="19">
        <v>5600</v>
      </c>
      <c r="H38" s="19"/>
      <c r="I38" s="19"/>
      <c r="J38" s="19"/>
      <c r="K38" s="19"/>
      <c r="L38" s="19"/>
      <c r="M38" s="19">
        <v>5600</v>
      </c>
    </row>
    <row r="39" spans="1:13" s="20" customFormat="1" x14ac:dyDescent="0.25">
      <c r="A39" s="21" t="s">
        <v>239</v>
      </c>
      <c r="B39" s="19">
        <v>4840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>
        <v>4840</v>
      </c>
    </row>
    <row r="40" spans="1:13" s="20" customFormat="1" x14ac:dyDescent="0.25">
      <c r="A40" s="21" t="s">
        <v>656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1370</v>
      </c>
      <c r="M40" s="19">
        <v>1370</v>
      </c>
    </row>
    <row r="41" spans="1:13" s="20" customFormat="1" x14ac:dyDescent="0.25">
      <c r="A41" s="21" t="s">
        <v>186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20685.599999999999</v>
      </c>
      <c r="M41" s="19">
        <v>20685.599999999999</v>
      </c>
    </row>
    <row r="42" spans="1:13" s="20" customFormat="1" x14ac:dyDescent="0.25">
      <c r="A42" s="21" t="s">
        <v>1705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18149</v>
      </c>
      <c r="M42" s="19">
        <v>18149</v>
      </c>
    </row>
    <row r="43" spans="1:13" s="20" customFormat="1" x14ac:dyDescent="0.25">
      <c r="A43" s="21" t="s">
        <v>1193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1681.9</v>
      </c>
      <c r="L43" s="19"/>
      <c r="M43" s="19">
        <v>1681.9</v>
      </c>
    </row>
    <row r="44" spans="1:13" s="20" customFormat="1" x14ac:dyDescent="0.25">
      <c r="A44" s="21" t="s">
        <v>957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6267.8</v>
      </c>
      <c r="M44" s="19">
        <v>6267.8</v>
      </c>
    </row>
    <row r="45" spans="1:13" s="20" customFormat="1" x14ac:dyDescent="0.25">
      <c r="A45" s="21" t="s">
        <v>1715</v>
      </c>
      <c r="B45" s="19"/>
      <c r="C45" s="19"/>
      <c r="D45" s="19"/>
      <c r="E45" s="19"/>
      <c r="F45" s="19"/>
      <c r="G45" s="19">
        <v>1304.3800000000001</v>
      </c>
      <c r="H45" s="19"/>
      <c r="I45" s="19"/>
      <c r="J45" s="19"/>
      <c r="K45" s="19"/>
      <c r="L45" s="19">
        <v>779.24</v>
      </c>
      <c r="M45" s="19">
        <v>2083.62</v>
      </c>
    </row>
    <row r="46" spans="1:13" s="20" customFormat="1" x14ac:dyDescent="0.25">
      <c r="A46" s="21" t="s">
        <v>1723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7018</v>
      </c>
      <c r="M46" s="19">
        <v>7018</v>
      </c>
    </row>
    <row r="47" spans="1:13" s="20" customFormat="1" x14ac:dyDescent="0.25">
      <c r="A47" s="21" t="s">
        <v>1732</v>
      </c>
      <c r="B47" s="19"/>
      <c r="C47" s="19"/>
      <c r="D47" s="19"/>
      <c r="E47" s="19"/>
      <c r="F47" s="19"/>
      <c r="G47" s="19">
        <v>700</v>
      </c>
      <c r="H47" s="19"/>
      <c r="I47" s="19"/>
      <c r="J47" s="19"/>
      <c r="K47" s="19"/>
      <c r="L47" s="19"/>
      <c r="M47" s="19">
        <v>700</v>
      </c>
    </row>
    <row r="48" spans="1:13" s="20" customFormat="1" x14ac:dyDescent="0.25">
      <c r="A48" s="21" t="s">
        <v>66</v>
      </c>
      <c r="B48" s="19"/>
      <c r="C48" s="19"/>
      <c r="D48" s="19">
        <v>183.18</v>
      </c>
      <c r="E48" s="19"/>
      <c r="F48" s="19"/>
      <c r="G48" s="19"/>
      <c r="H48" s="19">
        <v>2333.36</v>
      </c>
      <c r="I48" s="19"/>
      <c r="J48" s="19"/>
      <c r="K48" s="19"/>
      <c r="L48" s="19">
        <v>3518.64</v>
      </c>
      <c r="M48" s="19">
        <v>6035.18</v>
      </c>
    </row>
    <row r="49" spans="1:13" s="20" customFormat="1" x14ac:dyDescent="0.25">
      <c r="A49" s="21" t="s">
        <v>34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7670.51</v>
      </c>
      <c r="L49" s="19"/>
      <c r="M49" s="19">
        <v>7670.51</v>
      </c>
    </row>
    <row r="50" spans="1:13" s="20" customFormat="1" ht="25.5" x14ac:dyDescent="0.25">
      <c r="A50" s="21" t="s">
        <v>1757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135</v>
      </c>
      <c r="M50" s="19">
        <v>135</v>
      </c>
    </row>
    <row r="51" spans="1:13" s="20" customFormat="1" x14ac:dyDescent="0.25">
      <c r="A51" s="21" t="s">
        <v>1005</v>
      </c>
      <c r="B51" s="19"/>
      <c r="C51" s="19">
        <v>1159</v>
      </c>
      <c r="D51" s="19"/>
      <c r="E51" s="19"/>
      <c r="F51" s="19"/>
      <c r="G51" s="19"/>
      <c r="H51" s="19"/>
      <c r="I51" s="19"/>
      <c r="J51" s="19"/>
      <c r="K51" s="19"/>
      <c r="L51" s="19"/>
      <c r="M51" s="19">
        <v>1159</v>
      </c>
    </row>
    <row r="52" spans="1:13" s="20" customFormat="1" x14ac:dyDescent="0.25">
      <c r="A52" s="21" t="s">
        <v>1304</v>
      </c>
      <c r="B52" s="19"/>
      <c r="C52" s="19"/>
      <c r="D52" s="19">
        <v>400</v>
      </c>
      <c r="E52" s="19"/>
      <c r="F52" s="19"/>
      <c r="G52" s="19"/>
      <c r="H52" s="19"/>
      <c r="I52" s="19"/>
      <c r="J52" s="19"/>
      <c r="K52" s="19"/>
      <c r="L52" s="19"/>
      <c r="M52" s="19">
        <v>400</v>
      </c>
    </row>
    <row r="53" spans="1:13" s="20" customFormat="1" x14ac:dyDescent="0.25">
      <c r="A53" s="21" t="s">
        <v>246</v>
      </c>
      <c r="B53" s="19"/>
      <c r="C53" s="19"/>
      <c r="D53" s="19"/>
      <c r="E53" s="19"/>
      <c r="F53" s="19"/>
      <c r="G53" s="19">
        <v>135.97</v>
      </c>
      <c r="H53" s="19"/>
      <c r="I53" s="19"/>
      <c r="J53" s="19"/>
      <c r="K53" s="19"/>
      <c r="L53" s="19"/>
      <c r="M53" s="19">
        <v>135.97</v>
      </c>
    </row>
    <row r="54" spans="1:13" s="20" customFormat="1" ht="25.5" x14ac:dyDescent="0.25">
      <c r="A54" s="21" t="s">
        <v>1015</v>
      </c>
      <c r="B54" s="19"/>
      <c r="C54" s="19"/>
      <c r="D54" s="19">
        <v>895</v>
      </c>
      <c r="E54" s="19"/>
      <c r="F54" s="19"/>
      <c r="G54" s="19"/>
      <c r="H54" s="19"/>
      <c r="I54" s="19"/>
      <c r="J54" s="19"/>
      <c r="K54" s="19"/>
      <c r="L54" s="19"/>
      <c r="M54" s="19">
        <v>895</v>
      </c>
    </row>
    <row r="55" spans="1:13" s="20" customFormat="1" x14ac:dyDescent="0.25">
      <c r="A55" s="21" t="s">
        <v>1766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490</v>
      </c>
      <c r="M55" s="19">
        <v>490</v>
      </c>
    </row>
    <row r="56" spans="1:13" s="20" customFormat="1" ht="25.5" x14ac:dyDescent="0.25">
      <c r="A56" s="21" t="s">
        <v>1769</v>
      </c>
      <c r="B56" s="19"/>
      <c r="C56" s="19"/>
      <c r="D56" s="19"/>
      <c r="E56" s="19"/>
      <c r="F56" s="19"/>
      <c r="G56" s="19"/>
      <c r="H56" s="19"/>
      <c r="I56" s="19"/>
      <c r="J56" s="19"/>
      <c r="K56" s="19">
        <v>3602</v>
      </c>
      <c r="L56" s="19"/>
      <c r="M56" s="19">
        <v>3602</v>
      </c>
    </row>
    <row r="57" spans="1:13" s="20" customFormat="1" x14ac:dyDescent="0.25">
      <c r="A57" s="21" t="s">
        <v>975</v>
      </c>
      <c r="B57" s="19"/>
      <c r="C57" s="19"/>
      <c r="D57" s="19"/>
      <c r="E57" s="19"/>
      <c r="F57" s="19">
        <v>8417.85</v>
      </c>
      <c r="G57" s="19"/>
      <c r="H57" s="19"/>
      <c r="I57" s="19"/>
      <c r="J57" s="19"/>
      <c r="K57" s="19"/>
      <c r="L57" s="19"/>
      <c r="M57" s="19">
        <v>8417.85</v>
      </c>
    </row>
    <row r="58" spans="1:13" s="20" customFormat="1" ht="25.5" x14ac:dyDescent="0.25">
      <c r="A58" s="21" t="s">
        <v>1058</v>
      </c>
      <c r="B58" s="19"/>
      <c r="C58" s="19"/>
      <c r="D58" s="19"/>
      <c r="E58" s="19"/>
      <c r="F58" s="19"/>
      <c r="G58" s="19">
        <v>2000</v>
      </c>
      <c r="H58" s="19"/>
      <c r="I58" s="19"/>
      <c r="J58" s="19"/>
      <c r="K58" s="19"/>
      <c r="L58" s="19"/>
      <c r="M58" s="19">
        <v>2000</v>
      </c>
    </row>
    <row r="59" spans="1:13" s="20" customFormat="1" x14ac:dyDescent="0.25">
      <c r="A59" s="21" t="s">
        <v>1021</v>
      </c>
      <c r="B59" s="19"/>
      <c r="C59" s="19"/>
      <c r="D59" s="19"/>
      <c r="E59" s="19"/>
      <c r="F59" s="19"/>
      <c r="G59" s="19">
        <v>380</v>
      </c>
      <c r="H59" s="19"/>
      <c r="I59" s="19"/>
      <c r="J59" s="19"/>
      <c r="K59" s="19"/>
      <c r="L59" s="19"/>
      <c r="M59" s="19">
        <v>380</v>
      </c>
    </row>
    <row r="60" spans="1:13" s="20" customFormat="1" x14ac:dyDescent="0.25">
      <c r="A60" s="21" t="s">
        <v>175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600</v>
      </c>
      <c r="M60" s="19">
        <v>600</v>
      </c>
    </row>
    <row r="61" spans="1:13" s="20" customFormat="1" x14ac:dyDescent="0.25">
      <c r="A61" s="21" t="s">
        <v>668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5935.05</v>
      </c>
      <c r="M61" s="19">
        <v>5935.05</v>
      </c>
    </row>
    <row r="62" spans="1:13" s="20" customFormat="1" x14ac:dyDescent="0.25">
      <c r="A62" s="21" t="s">
        <v>901</v>
      </c>
      <c r="B62" s="19"/>
      <c r="C62" s="19"/>
      <c r="D62" s="19"/>
      <c r="E62" s="19"/>
      <c r="F62" s="19"/>
      <c r="G62" s="19"/>
      <c r="H62" s="19"/>
      <c r="I62" s="19"/>
      <c r="J62" s="19">
        <v>2508.98</v>
      </c>
      <c r="K62" s="19"/>
      <c r="L62" s="19"/>
      <c r="M62" s="19">
        <v>2508.98</v>
      </c>
    </row>
    <row r="63" spans="1:13" s="20" customFormat="1" x14ac:dyDescent="0.25">
      <c r="A63" s="21" t="s">
        <v>260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2500</v>
      </c>
      <c r="M63" s="19">
        <v>2500</v>
      </c>
    </row>
    <row r="64" spans="1:13" s="20" customFormat="1" x14ac:dyDescent="0.25">
      <c r="A64" s="21" t="s">
        <v>1200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723.58</v>
      </c>
      <c r="M64" s="19">
        <v>723.58</v>
      </c>
    </row>
    <row r="65" spans="1:13" s="20" customFormat="1" x14ac:dyDescent="0.25">
      <c r="A65" s="21" t="s">
        <v>1121</v>
      </c>
      <c r="B65" s="19"/>
      <c r="C65" s="19"/>
      <c r="D65" s="19"/>
      <c r="E65" s="19"/>
      <c r="F65" s="19"/>
      <c r="G65" s="19">
        <v>391</v>
      </c>
      <c r="H65" s="19"/>
      <c r="I65" s="19"/>
      <c r="J65" s="19"/>
      <c r="K65" s="19"/>
      <c r="L65" s="19"/>
      <c r="M65" s="19">
        <v>391</v>
      </c>
    </row>
    <row r="66" spans="1:13" s="20" customFormat="1" x14ac:dyDescent="0.25">
      <c r="A66" s="21" t="s">
        <v>671</v>
      </c>
      <c r="B66" s="19"/>
      <c r="C66" s="19"/>
      <c r="D66" s="19"/>
      <c r="E66" s="19">
        <v>18000</v>
      </c>
      <c r="F66" s="19"/>
      <c r="G66" s="19"/>
      <c r="H66" s="19"/>
      <c r="I66" s="19"/>
      <c r="J66" s="19"/>
      <c r="K66" s="19"/>
      <c r="L66" s="19"/>
      <c r="M66" s="19">
        <v>18000</v>
      </c>
    </row>
    <row r="67" spans="1:13" s="20" customFormat="1" x14ac:dyDescent="0.25">
      <c r="A67" s="21" t="s">
        <v>1833</v>
      </c>
      <c r="B67" s="19"/>
      <c r="C67" s="19"/>
      <c r="D67" s="19">
        <v>267.41000000000003</v>
      </c>
      <c r="E67" s="19"/>
      <c r="F67" s="19"/>
      <c r="G67" s="19"/>
      <c r="H67" s="19"/>
      <c r="I67" s="19"/>
      <c r="J67" s="19"/>
      <c r="K67" s="19"/>
      <c r="L67" s="19"/>
      <c r="M67" s="19">
        <v>267.41000000000003</v>
      </c>
    </row>
    <row r="68" spans="1:13" s="20" customFormat="1" x14ac:dyDescent="0.25">
      <c r="A68" s="21" t="s">
        <v>251</v>
      </c>
      <c r="B68" s="19"/>
      <c r="C68" s="19"/>
      <c r="D68" s="19"/>
      <c r="E68" s="19"/>
      <c r="F68" s="19">
        <v>4819.67</v>
      </c>
      <c r="G68" s="19"/>
      <c r="H68" s="19"/>
      <c r="I68" s="19"/>
      <c r="J68" s="19"/>
      <c r="K68" s="19"/>
      <c r="L68" s="19"/>
      <c r="M68" s="19">
        <v>4819.67</v>
      </c>
    </row>
    <row r="69" spans="1:13" s="20" customFormat="1" x14ac:dyDescent="0.25">
      <c r="A69" s="21" t="s">
        <v>261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5767</v>
      </c>
      <c r="M69" s="19">
        <v>5767</v>
      </c>
    </row>
    <row r="70" spans="1:13" s="20" customFormat="1" x14ac:dyDescent="0.25">
      <c r="A70" s="21" t="s">
        <v>1035</v>
      </c>
      <c r="B70" s="19"/>
      <c r="C70" s="19"/>
      <c r="D70" s="19">
        <v>399.35</v>
      </c>
      <c r="E70" s="19"/>
      <c r="F70" s="19"/>
      <c r="G70" s="19"/>
      <c r="H70" s="19"/>
      <c r="I70" s="19"/>
      <c r="J70" s="19"/>
      <c r="K70" s="19"/>
      <c r="L70" s="19"/>
      <c r="M70" s="19">
        <v>399.35</v>
      </c>
    </row>
    <row r="71" spans="1:13" s="20" customFormat="1" x14ac:dyDescent="0.25">
      <c r="A71" s="21" t="s">
        <v>672</v>
      </c>
      <c r="B71" s="19"/>
      <c r="C71" s="19"/>
      <c r="D71" s="19"/>
      <c r="E71" s="19"/>
      <c r="F71" s="19"/>
      <c r="G71" s="19"/>
      <c r="H71" s="19"/>
      <c r="I71" s="19">
        <v>7260</v>
      </c>
      <c r="J71" s="19"/>
      <c r="K71" s="19"/>
      <c r="L71" s="19"/>
      <c r="M71" s="19">
        <v>7260</v>
      </c>
    </row>
    <row r="72" spans="1:13" s="20" customFormat="1" x14ac:dyDescent="0.25">
      <c r="A72" s="21" t="s">
        <v>258</v>
      </c>
      <c r="B72" s="19"/>
      <c r="C72" s="19"/>
      <c r="D72" s="19">
        <v>423.5</v>
      </c>
      <c r="E72" s="19"/>
      <c r="F72" s="19"/>
      <c r="G72" s="19">
        <v>750</v>
      </c>
      <c r="H72" s="19"/>
      <c r="I72" s="19"/>
      <c r="J72" s="19"/>
      <c r="K72" s="19"/>
      <c r="L72" s="19"/>
      <c r="M72" s="19">
        <v>1173.5</v>
      </c>
    </row>
    <row r="73" spans="1:13" s="20" customFormat="1" x14ac:dyDescent="0.25">
      <c r="A73" s="21" t="s">
        <v>1311</v>
      </c>
      <c r="B73" s="19"/>
      <c r="C73" s="19"/>
      <c r="D73" s="19"/>
      <c r="E73" s="19"/>
      <c r="F73" s="19"/>
      <c r="G73" s="19"/>
      <c r="H73" s="19">
        <v>479</v>
      </c>
      <c r="I73" s="19"/>
      <c r="J73" s="19"/>
      <c r="K73" s="19"/>
      <c r="L73" s="19"/>
      <c r="M73" s="19">
        <v>479</v>
      </c>
    </row>
    <row r="74" spans="1:13" s="20" customFormat="1" x14ac:dyDescent="0.25">
      <c r="A74" s="21" t="s">
        <v>591</v>
      </c>
      <c r="B74" s="19"/>
      <c r="C74" s="19"/>
      <c r="D74" s="19"/>
      <c r="E74" s="19"/>
      <c r="F74" s="19"/>
      <c r="G74" s="19"/>
      <c r="H74" s="19">
        <v>1000</v>
      </c>
      <c r="I74" s="19"/>
      <c r="J74" s="19"/>
      <c r="K74" s="19"/>
      <c r="L74" s="19"/>
      <c r="M74" s="19">
        <v>1000</v>
      </c>
    </row>
    <row r="75" spans="1:13" s="20" customFormat="1" x14ac:dyDescent="0.25">
      <c r="A75" s="21" t="s">
        <v>675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5777.75</v>
      </c>
      <c r="L75" s="19"/>
      <c r="M75" s="19">
        <v>5777.75</v>
      </c>
    </row>
    <row r="76" spans="1:13" s="20" customFormat="1" x14ac:dyDescent="0.25">
      <c r="A76" s="21" t="s">
        <v>231</v>
      </c>
      <c r="B76" s="19"/>
      <c r="C76" s="19"/>
      <c r="D76" s="19">
        <v>3630</v>
      </c>
      <c r="E76" s="19"/>
      <c r="F76" s="19"/>
      <c r="G76" s="19"/>
      <c r="H76" s="19">
        <v>1500</v>
      </c>
      <c r="I76" s="19">
        <v>943.8</v>
      </c>
      <c r="J76" s="19"/>
      <c r="K76" s="19"/>
      <c r="L76" s="19"/>
      <c r="M76" s="19">
        <v>6073.8</v>
      </c>
    </row>
    <row r="77" spans="1:13" s="20" customFormat="1" x14ac:dyDescent="0.25">
      <c r="A77" s="21" t="s">
        <v>464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7260</v>
      </c>
      <c r="L77" s="19"/>
      <c r="M77" s="19">
        <v>7260</v>
      </c>
    </row>
    <row r="78" spans="1:13" s="20" customFormat="1" x14ac:dyDescent="0.25">
      <c r="A78" s="21" t="s">
        <v>900</v>
      </c>
      <c r="B78" s="19"/>
      <c r="C78" s="19"/>
      <c r="D78" s="19"/>
      <c r="E78" s="19"/>
      <c r="F78" s="19"/>
      <c r="G78" s="19">
        <v>2500</v>
      </c>
      <c r="H78" s="19"/>
      <c r="I78" s="19"/>
      <c r="J78" s="19"/>
      <c r="K78" s="19"/>
      <c r="L78" s="19"/>
      <c r="M78" s="19">
        <v>2500</v>
      </c>
    </row>
    <row r="79" spans="1:13" s="20" customFormat="1" x14ac:dyDescent="0.25">
      <c r="A79" s="21" t="s">
        <v>1080</v>
      </c>
      <c r="B79" s="19"/>
      <c r="C79" s="19"/>
      <c r="D79" s="19"/>
      <c r="E79" s="19"/>
      <c r="F79" s="19">
        <v>2325.62</v>
      </c>
      <c r="G79" s="19"/>
      <c r="H79" s="19"/>
      <c r="I79" s="19"/>
      <c r="J79" s="19"/>
      <c r="K79" s="19"/>
      <c r="L79" s="19"/>
      <c r="M79" s="19">
        <v>2325.62</v>
      </c>
    </row>
    <row r="80" spans="1:13" s="20" customFormat="1" x14ac:dyDescent="0.25">
      <c r="A80" s="21" t="s">
        <v>886</v>
      </c>
      <c r="B80" s="19"/>
      <c r="C80" s="19"/>
      <c r="D80" s="19"/>
      <c r="E80" s="19">
        <v>1950</v>
      </c>
      <c r="F80" s="19"/>
      <c r="G80" s="19"/>
      <c r="H80" s="19"/>
      <c r="I80" s="19"/>
      <c r="J80" s="19"/>
      <c r="K80" s="19"/>
      <c r="L80" s="19"/>
      <c r="M80" s="19">
        <v>1950</v>
      </c>
    </row>
    <row r="81" spans="1:13" s="20" customFormat="1" x14ac:dyDescent="0.25">
      <c r="A81" s="21" t="s">
        <v>930</v>
      </c>
      <c r="B81" s="19"/>
      <c r="C81" s="19">
        <v>35335.15</v>
      </c>
      <c r="D81" s="19"/>
      <c r="E81" s="19"/>
      <c r="F81" s="19"/>
      <c r="G81" s="19"/>
      <c r="H81" s="19"/>
      <c r="I81" s="19"/>
      <c r="J81" s="19"/>
      <c r="K81" s="19"/>
      <c r="L81" s="19"/>
      <c r="M81" s="19">
        <v>35335.15</v>
      </c>
    </row>
    <row r="82" spans="1:13" s="20" customFormat="1" x14ac:dyDescent="0.25">
      <c r="A82" s="21" t="s">
        <v>85</v>
      </c>
      <c r="B82" s="19"/>
      <c r="C82" s="19">
        <v>546.46</v>
      </c>
      <c r="D82" s="19"/>
      <c r="E82" s="19"/>
      <c r="F82" s="19"/>
      <c r="G82" s="19"/>
      <c r="H82" s="19"/>
      <c r="I82" s="19"/>
      <c r="J82" s="19"/>
      <c r="K82" s="19"/>
      <c r="L82" s="19"/>
      <c r="M82" s="19">
        <v>546.46</v>
      </c>
    </row>
    <row r="83" spans="1:13" s="20" customFormat="1" x14ac:dyDescent="0.25">
      <c r="A83" s="21" t="s">
        <v>242</v>
      </c>
      <c r="B83" s="19"/>
      <c r="C83" s="19"/>
      <c r="D83" s="19"/>
      <c r="E83" s="19">
        <v>821.25</v>
      </c>
      <c r="F83" s="19"/>
      <c r="G83" s="19"/>
      <c r="H83" s="19"/>
      <c r="I83" s="19"/>
      <c r="J83" s="19"/>
      <c r="K83" s="19"/>
      <c r="L83" s="19"/>
      <c r="M83" s="19">
        <v>821.25</v>
      </c>
    </row>
    <row r="84" spans="1:13" s="20" customFormat="1" x14ac:dyDescent="0.25">
      <c r="A84" s="21" t="s">
        <v>922</v>
      </c>
      <c r="B84" s="19"/>
      <c r="C84" s="19"/>
      <c r="D84" s="19"/>
      <c r="E84" s="19"/>
      <c r="F84" s="19"/>
      <c r="G84" s="19"/>
      <c r="H84" s="19"/>
      <c r="I84" s="19">
        <v>658.24</v>
      </c>
      <c r="J84" s="19"/>
      <c r="K84" s="19"/>
      <c r="L84" s="19"/>
      <c r="M84" s="19">
        <v>658.24</v>
      </c>
    </row>
    <row r="85" spans="1:13" s="20" customFormat="1" x14ac:dyDescent="0.25">
      <c r="A85" s="21" t="s">
        <v>72</v>
      </c>
      <c r="B85" s="19"/>
      <c r="C85" s="19"/>
      <c r="D85" s="19"/>
      <c r="E85" s="19"/>
      <c r="F85" s="19"/>
      <c r="G85" s="19"/>
      <c r="H85" s="19"/>
      <c r="I85" s="19"/>
      <c r="J85" s="19"/>
      <c r="K85" s="19">
        <v>1500</v>
      </c>
      <c r="L85" s="19"/>
      <c r="M85" s="19">
        <v>1500</v>
      </c>
    </row>
    <row r="86" spans="1:13" s="20" customFormat="1" x14ac:dyDescent="0.25">
      <c r="A86" s="21" t="s">
        <v>1986</v>
      </c>
      <c r="B86" s="19"/>
      <c r="C86" s="19"/>
      <c r="D86" s="19"/>
      <c r="E86" s="19"/>
      <c r="F86" s="19">
        <v>1815</v>
      </c>
      <c r="G86" s="19"/>
      <c r="H86" s="19"/>
      <c r="I86" s="19"/>
      <c r="J86" s="19"/>
      <c r="K86" s="19"/>
      <c r="L86" s="19"/>
      <c r="M86" s="19">
        <v>1815</v>
      </c>
    </row>
    <row r="87" spans="1:13" s="20" customFormat="1" x14ac:dyDescent="0.25">
      <c r="A87" s="21" t="s">
        <v>684</v>
      </c>
      <c r="B87" s="19"/>
      <c r="C87" s="19"/>
      <c r="D87" s="19">
        <v>108.9</v>
      </c>
      <c r="E87" s="19"/>
      <c r="F87" s="19"/>
      <c r="G87" s="19"/>
      <c r="H87" s="19"/>
      <c r="I87" s="19"/>
      <c r="J87" s="19"/>
      <c r="K87" s="19"/>
      <c r="L87" s="19"/>
      <c r="M87" s="19">
        <v>108.9</v>
      </c>
    </row>
    <row r="88" spans="1:13" s="20" customFormat="1" x14ac:dyDescent="0.25">
      <c r="A88" s="21" t="s">
        <v>39</v>
      </c>
      <c r="B88" s="19"/>
      <c r="C88" s="19"/>
      <c r="D88" s="19">
        <v>2707.01</v>
      </c>
      <c r="E88" s="19"/>
      <c r="F88" s="19"/>
      <c r="G88" s="19"/>
      <c r="H88" s="19"/>
      <c r="I88" s="19"/>
      <c r="J88" s="19"/>
      <c r="K88" s="19"/>
      <c r="L88" s="19"/>
      <c r="M88" s="19">
        <v>2707.01</v>
      </c>
    </row>
    <row r="89" spans="1:13" s="20" customFormat="1" x14ac:dyDescent="0.25">
      <c r="A89" s="21" t="s">
        <v>223</v>
      </c>
      <c r="B89" s="19"/>
      <c r="C89" s="19"/>
      <c r="D89" s="19"/>
      <c r="E89" s="19"/>
      <c r="F89" s="19"/>
      <c r="G89" s="19">
        <v>3000</v>
      </c>
      <c r="H89" s="19">
        <v>4000</v>
      </c>
      <c r="I89" s="19"/>
      <c r="J89" s="19"/>
      <c r="K89" s="19">
        <v>372.45</v>
      </c>
      <c r="L89" s="19">
        <v>391.44</v>
      </c>
      <c r="M89" s="19">
        <v>7763.8899999999994</v>
      </c>
    </row>
    <row r="90" spans="1:13" s="20" customFormat="1" x14ac:dyDescent="0.25">
      <c r="A90" s="21" t="s">
        <v>179</v>
      </c>
      <c r="B90" s="19">
        <v>2422.42</v>
      </c>
      <c r="C90" s="19"/>
      <c r="D90" s="19">
        <v>424.02</v>
      </c>
      <c r="E90" s="19"/>
      <c r="F90" s="19"/>
      <c r="G90" s="19"/>
      <c r="H90" s="19"/>
      <c r="I90" s="19"/>
      <c r="J90" s="19"/>
      <c r="K90" s="19"/>
      <c r="L90" s="19">
        <v>1639.15</v>
      </c>
      <c r="M90" s="19">
        <v>4485.59</v>
      </c>
    </row>
    <row r="91" spans="1:13" s="20" customFormat="1" x14ac:dyDescent="0.25">
      <c r="A91" s="21" t="s">
        <v>64</v>
      </c>
      <c r="B91" s="19"/>
      <c r="C91" s="19">
        <v>71.09</v>
      </c>
      <c r="D91" s="19"/>
      <c r="E91" s="19"/>
      <c r="F91" s="19"/>
      <c r="G91" s="19"/>
      <c r="H91" s="19"/>
      <c r="I91" s="19"/>
      <c r="J91" s="19"/>
      <c r="K91" s="19"/>
      <c r="L91" s="19">
        <v>4886</v>
      </c>
      <c r="M91" s="19">
        <v>4957.09</v>
      </c>
    </row>
    <row r="92" spans="1:13" s="20" customFormat="1" ht="25.5" x14ac:dyDescent="0.25">
      <c r="A92" s="21" t="s">
        <v>1313</v>
      </c>
      <c r="B92" s="19"/>
      <c r="C92" s="19"/>
      <c r="D92" s="19">
        <v>107</v>
      </c>
      <c r="E92" s="19"/>
      <c r="F92" s="19"/>
      <c r="G92" s="19"/>
      <c r="H92" s="19"/>
      <c r="I92" s="19"/>
      <c r="J92" s="19"/>
      <c r="K92" s="19"/>
      <c r="L92" s="19"/>
      <c r="M92" s="19">
        <v>107</v>
      </c>
    </row>
    <row r="93" spans="1:13" s="20" customFormat="1" ht="25.5" x14ac:dyDescent="0.25">
      <c r="A93" s="21" t="s">
        <v>502</v>
      </c>
      <c r="B93" s="19"/>
      <c r="C93" s="19"/>
      <c r="D93" s="19"/>
      <c r="E93" s="19"/>
      <c r="F93" s="19">
        <v>11835.01</v>
      </c>
      <c r="G93" s="19"/>
      <c r="H93" s="19"/>
      <c r="I93" s="19"/>
      <c r="J93" s="19"/>
      <c r="K93" s="19"/>
      <c r="L93" s="19"/>
      <c r="M93" s="19">
        <v>11835.01</v>
      </c>
    </row>
    <row r="94" spans="1:13" s="20" customFormat="1" x14ac:dyDescent="0.25">
      <c r="A94" s="21" t="s">
        <v>473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529.53</v>
      </c>
      <c r="M94" s="19">
        <v>529.53</v>
      </c>
    </row>
    <row r="95" spans="1:13" s="20" customFormat="1" x14ac:dyDescent="0.25">
      <c r="A95" s="21" t="s">
        <v>933</v>
      </c>
      <c r="B95" s="19"/>
      <c r="C95" s="19"/>
      <c r="D95" s="19">
        <v>3539.25</v>
      </c>
      <c r="E95" s="19"/>
      <c r="F95" s="19"/>
      <c r="G95" s="19"/>
      <c r="H95" s="19"/>
      <c r="I95" s="19"/>
      <c r="J95" s="19"/>
      <c r="K95" s="19"/>
      <c r="L95" s="19"/>
      <c r="M95" s="19">
        <v>3539.25</v>
      </c>
    </row>
    <row r="96" spans="1:13" s="20" customFormat="1" x14ac:dyDescent="0.25">
      <c r="A96" s="21" t="s">
        <v>256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2582.14</v>
      </c>
      <c r="M96" s="19">
        <v>2582.14</v>
      </c>
    </row>
    <row r="97" spans="1:13" s="20" customFormat="1" x14ac:dyDescent="0.25">
      <c r="A97" s="21" t="s">
        <v>1095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1573</v>
      </c>
      <c r="M97" s="19">
        <v>1573</v>
      </c>
    </row>
    <row r="98" spans="1:13" s="20" customFormat="1" x14ac:dyDescent="0.25">
      <c r="A98" s="21" t="s">
        <v>685</v>
      </c>
      <c r="B98" s="19"/>
      <c r="C98" s="19"/>
      <c r="D98" s="19">
        <v>968</v>
      </c>
      <c r="E98" s="19"/>
      <c r="F98" s="19"/>
      <c r="G98" s="19">
        <v>1650</v>
      </c>
      <c r="H98" s="19"/>
      <c r="I98" s="19"/>
      <c r="J98" s="19"/>
      <c r="K98" s="19"/>
      <c r="L98" s="19"/>
      <c r="M98" s="19">
        <v>2618</v>
      </c>
    </row>
    <row r="99" spans="1:13" s="20" customFormat="1" x14ac:dyDescent="0.25">
      <c r="A99" s="21" t="s">
        <v>1020</v>
      </c>
      <c r="B99" s="19"/>
      <c r="C99" s="19"/>
      <c r="D99" s="19"/>
      <c r="E99" s="19"/>
      <c r="F99" s="19"/>
      <c r="G99" s="19">
        <v>395</v>
      </c>
      <c r="H99" s="19"/>
      <c r="I99" s="19"/>
      <c r="J99" s="19"/>
      <c r="K99" s="19"/>
      <c r="L99" s="19"/>
      <c r="M99" s="19">
        <v>395</v>
      </c>
    </row>
    <row r="100" spans="1:13" s="20" customFormat="1" x14ac:dyDescent="0.25">
      <c r="A100" s="21" t="s">
        <v>75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>
        <v>8000</v>
      </c>
      <c r="L100" s="19"/>
      <c r="M100" s="19">
        <v>8000</v>
      </c>
    </row>
    <row r="101" spans="1:13" s="20" customFormat="1" ht="25.5" x14ac:dyDescent="0.25">
      <c r="A101" s="21" t="s">
        <v>687</v>
      </c>
      <c r="B101" s="19">
        <v>752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>
        <v>752</v>
      </c>
    </row>
    <row r="102" spans="1:13" s="20" customFormat="1" x14ac:dyDescent="0.25">
      <c r="A102" s="21" t="s">
        <v>70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>
        <v>3000</v>
      </c>
      <c r="M102" s="19">
        <v>3000</v>
      </c>
    </row>
    <row r="103" spans="1:13" s="20" customFormat="1" x14ac:dyDescent="0.25">
      <c r="A103" s="21" t="s">
        <v>117</v>
      </c>
      <c r="B103" s="19"/>
      <c r="C103" s="19"/>
      <c r="D103" s="19"/>
      <c r="E103" s="19">
        <v>2032.8</v>
      </c>
      <c r="F103" s="19"/>
      <c r="G103" s="19"/>
      <c r="H103" s="19"/>
      <c r="I103" s="19"/>
      <c r="J103" s="19"/>
      <c r="K103" s="19">
        <v>1862.2</v>
      </c>
      <c r="L103" s="19"/>
      <c r="M103" s="19">
        <v>3895</v>
      </c>
    </row>
    <row r="104" spans="1:13" s="20" customFormat="1" x14ac:dyDescent="0.25">
      <c r="A104" s="21" t="s">
        <v>879</v>
      </c>
      <c r="B104" s="19">
        <v>744.88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>
        <v>744.88</v>
      </c>
    </row>
    <row r="105" spans="1:13" s="20" customFormat="1" ht="25.5" x14ac:dyDescent="0.25">
      <c r="A105" s="21" t="s">
        <v>47</v>
      </c>
      <c r="B105" s="19">
        <v>4950.3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>
        <v>4950.3</v>
      </c>
    </row>
    <row r="106" spans="1:13" s="20" customFormat="1" x14ac:dyDescent="0.25">
      <c r="A106" s="21" t="s">
        <v>2113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>
        <v>516.78</v>
      </c>
      <c r="M106" s="19">
        <v>516.78</v>
      </c>
    </row>
    <row r="107" spans="1:13" s="20" customFormat="1" x14ac:dyDescent="0.25">
      <c r="A107" s="21" t="s">
        <v>169</v>
      </c>
      <c r="B107" s="19"/>
      <c r="C107" s="19"/>
      <c r="D107" s="19"/>
      <c r="E107" s="19">
        <v>14636.16</v>
      </c>
      <c r="F107" s="19"/>
      <c r="G107" s="19"/>
      <c r="H107" s="19"/>
      <c r="I107" s="19"/>
      <c r="J107" s="19"/>
      <c r="K107" s="19"/>
      <c r="L107" s="19"/>
      <c r="M107" s="19">
        <v>14636.16</v>
      </c>
    </row>
    <row r="108" spans="1:13" s="20" customFormat="1" x14ac:dyDescent="0.25">
      <c r="A108" s="21" t="s">
        <v>691</v>
      </c>
      <c r="B108" s="19"/>
      <c r="C108" s="19">
        <v>1848.88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>
        <v>1848.88</v>
      </c>
    </row>
    <row r="109" spans="1:13" s="20" customFormat="1" x14ac:dyDescent="0.25">
      <c r="A109" s="21" t="s">
        <v>498</v>
      </c>
      <c r="B109" s="19"/>
      <c r="C109" s="19"/>
      <c r="D109" s="19">
        <v>13530</v>
      </c>
      <c r="E109" s="19"/>
      <c r="F109" s="19"/>
      <c r="G109" s="19">
        <v>29469.09</v>
      </c>
      <c r="H109" s="19"/>
      <c r="I109" s="19"/>
      <c r="J109" s="19"/>
      <c r="K109" s="19">
        <v>1424.06</v>
      </c>
      <c r="L109" s="19"/>
      <c r="M109" s="19">
        <v>44423.149999999994</v>
      </c>
    </row>
    <row r="110" spans="1:13" s="20" customFormat="1" x14ac:dyDescent="0.25">
      <c r="A110" s="21" t="s">
        <v>253</v>
      </c>
      <c r="B110" s="19"/>
      <c r="C110" s="19"/>
      <c r="D110" s="19"/>
      <c r="E110" s="19"/>
      <c r="F110" s="19"/>
      <c r="G110" s="19">
        <v>1815</v>
      </c>
      <c r="H110" s="19"/>
      <c r="I110" s="19">
        <v>2057</v>
      </c>
      <c r="J110" s="19"/>
      <c r="K110" s="19"/>
      <c r="L110" s="19">
        <v>669.9</v>
      </c>
      <c r="M110" s="19">
        <v>4541.8999999999996</v>
      </c>
    </row>
    <row r="111" spans="1:13" s="20" customFormat="1" x14ac:dyDescent="0.25">
      <c r="A111" s="21" t="s">
        <v>92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965</v>
      </c>
      <c r="M111" s="19">
        <v>965</v>
      </c>
    </row>
    <row r="112" spans="1:13" s="20" customFormat="1" x14ac:dyDescent="0.25">
      <c r="A112" s="21" t="s">
        <v>2154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>
        <v>600</v>
      </c>
      <c r="L112" s="19"/>
      <c r="M112" s="19">
        <v>600</v>
      </c>
    </row>
    <row r="113" spans="1:13" s="20" customFormat="1" x14ac:dyDescent="0.25">
      <c r="A113" s="21" t="s">
        <v>2156</v>
      </c>
      <c r="B113" s="19"/>
      <c r="C113" s="19"/>
      <c r="D113" s="19"/>
      <c r="E113" s="19"/>
      <c r="F113" s="19"/>
      <c r="G113" s="19">
        <v>3652.02</v>
      </c>
      <c r="H113" s="19"/>
      <c r="I113" s="19"/>
      <c r="J113" s="19"/>
      <c r="K113" s="19"/>
      <c r="L113" s="19"/>
      <c r="M113" s="19">
        <v>3652.02</v>
      </c>
    </row>
    <row r="114" spans="1:13" s="20" customFormat="1" x14ac:dyDescent="0.25">
      <c r="A114" s="21" t="s">
        <v>41</v>
      </c>
      <c r="B114" s="19"/>
      <c r="C114" s="19"/>
      <c r="D114" s="19"/>
      <c r="E114" s="19"/>
      <c r="F114" s="19"/>
      <c r="G114" s="19"/>
      <c r="H114" s="19"/>
      <c r="I114" s="19"/>
      <c r="J114" s="19">
        <v>580.79999999999995</v>
      </c>
      <c r="K114" s="19"/>
      <c r="L114" s="19">
        <v>2346.67</v>
      </c>
      <c r="M114" s="19">
        <v>2927.4700000000003</v>
      </c>
    </row>
    <row r="115" spans="1:13" s="20" customFormat="1" x14ac:dyDescent="0.25">
      <c r="A115" s="21" t="s">
        <v>978</v>
      </c>
      <c r="B115" s="19"/>
      <c r="C115" s="19"/>
      <c r="D115" s="19"/>
      <c r="E115" s="19"/>
      <c r="F115" s="19"/>
      <c r="G115" s="19"/>
      <c r="H115" s="19">
        <v>1200</v>
      </c>
      <c r="I115" s="19"/>
      <c r="J115" s="19"/>
      <c r="K115" s="19"/>
      <c r="L115" s="19"/>
      <c r="M115" s="19">
        <v>1200</v>
      </c>
    </row>
    <row r="116" spans="1:13" s="20" customFormat="1" x14ac:dyDescent="0.25">
      <c r="A116" s="21" t="s">
        <v>1323</v>
      </c>
      <c r="B116" s="19"/>
      <c r="C116" s="19"/>
      <c r="D116" s="19">
        <v>440</v>
      </c>
      <c r="E116" s="19"/>
      <c r="F116" s="19"/>
      <c r="G116" s="19"/>
      <c r="H116" s="19"/>
      <c r="I116" s="19"/>
      <c r="J116" s="19"/>
      <c r="K116" s="19"/>
      <c r="L116" s="19"/>
      <c r="M116" s="19">
        <v>440</v>
      </c>
    </row>
    <row r="117" spans="1:13" s="20" customFormat="1" x14ac:dyDescent="0.25">
      <c r="A117" s="21" t="s">
        <v>2192</v>
      </c>
      <c r="B117" s="19">
        <v>5679.93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>
        <v>5679.93</v>
      </c>
    </row>
    <row r="118" spans="1:13" s="20" customFormat="1" x14ac:dyDescent="0.25">
      <c r="A118" s="21" t="s">
        <v>1325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>
        <v>242</v>
      </c>
      <c r="L118" s="19"/>
      <c r="M118" s="19">
        <v>242</v>
      </c>
    </row>
    <row r="119" spans="1:13" s="20" customFormat="1" x14ac:dyDescent="0.25">
      <c r="A119" s="21" t="s">
        <v>981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1000</v>
      </c>
      <c r="M119" s="19">
        <v>1000</v>
      </c>
    </row>
    <row r="120" spans="1:13" s="20" customFormat="1" x14ac:dyDescent="0.25">
      <c r="A120" s="21" t="s">
        <v>76</v>
      </c>
      <c r="B120" s="19"/>
      <c r="C120" s="19"/>
      <c r="D120" s="19"/>
      <c r="E120" s="19"/>
      <c r="F120" s="19"/>
      <c r="G120" s="19"/>
      <c r="H120" s="19"/>
      <c r="I120" s="19">
        <v>14520</v>
      </c>
      <c r="J120" s="19"/>
      <c r="K120" s="19"/>
      <c r="L120" s="19"/>
      <c r="M120" s="19">
        <v>14520</v>
      </c>
    </row>
    <row r="121" spans="1:13" s="20" customFormat="1" x14ac:dyDescent="0.25">
      <c r="A121" s="21" t="s">
        <v>43</v>
      </c>
      <c r="B121" s="19"/>
      <c r="C121" s="19"/>
      <c r="D121" s="19"/>
      <c r="E121" s="19"/>
      <c r="F121" s="19">
        <v>27225</v>
      </c>
      <c r="G121" s="19"/>
      <c r="H121" s="19"/>
      <c r="I121" s="19"/>
      <c r="J121" s="19"/>
      <c r="K121" s="19"/>
      <c r="L121" s="19"/>
      <c r="M121" s="19">
        <v>27225</v>
      </c>
    </row>
    <row r="122" spans="1:13" s="20" customFormat="1" x14ac:dyDescent="0.25">
      <c r="A122" s="21" t="s">
        <v>2205</v>
      </c>
      <c r="B122" s="19"/>
      <c r="C122" s="19"/>
      <c r="D122" s="19">
        <v>400</v>
      </c>
      <c r="E122" s="19"/>
      <c r="F122" s="19"/>
      <c r="G122" s="19"/>
      <c r="H122" s="19"/>
      <c r="I122" s="19"/>
      <c r="J122" s="19"/>
      <c r="K122" s="19"/>
      <c r="L122" s="19"/>
      <c r="M122" s="19">
        <v>400</v>
      </c>
    </row>
    <row r="123" spans="1:13" s="20" customFormat="1" x14ac:dyDescent="0.25">
      <c r="A123" s="21" t="s">
        <v>702</v>
      </c>
      <c r="B123" s="19"/>
      <c r="C123" s="19"/>
      <c r="D123" s="19"/>
      <c r="E123" s="19"/>
      <c r="F123" s="19"/>
      <c r="G123" s="19">
        <v>7260</v>
      </c>
      <c r="H123" s="19"/>
      <c r="I123" s="19"/>
      <c r="J123" s="19"/>
      <c r="K123" s="19"/>
      <c r="L123" s="19"/>
      <c r="M123" s="19">
        <v>7260</v>
      </c>
    </row>
    <row r="124" spans="1:13" s="20" customFormat="1" x14ac:dyDescent="0.25">
      <c r="A124" s="21" t="s">
        <v>1225</v>
      </c>
      <c r="B124" s="19"/>
      <c r="C124" s="19"/>
      <c r="D124" s="19"/>
      <c r="E124" s="19"/>
      <c r="F124" s="19">
        <v>8470</v>
      </c>
      <c r="G124" s="19"/>
      <c r="H124" s="19"/>
      <c r="I124" s="19"/>
      <c r="J124" s="19"/>
      <c r="K124" s="19"/>
      <c r="L124" s="19"/>
      <c r="M124" s="19">
        <v>8470</v>
      </c>
    </row>
    <row r="125" spans="1:13" s="20" customFormat="1" x14ac:dyDescent="0.25">
      <c r="A125" s="21" t="s">
        <v>50</v>
      </c>
      <c r="B125" s="19"/>
      <c r="C125" s="19"/>
      <c r="D125" s="19">
        <v>227.48</v>
      </c>
      <c r="E125" s="19"/>
      <c r="F125" s="19"/>
      <c r="G125" s="19"/>
      <c r="H125" s="19"/>
      <c r="I125" s="19"/>
      <c r="J125" s="19"/>
      <c r="K125" s="19"/>
      <c r="L125" s="19"/>
      <c r="M125" s="19">
        <v>227.48</v>
      </c>
    </row>
    <row r="126" spans="1:13" s="20" customFormat="1" x14ac:dyDescent="0.25">
      <c r="A126" s="21" t="s">
        <v>208</v>
      </c>
      <c r="B126" s="19"/>
      <c r="C126" s="19"/>
      <c r="D126" s="19"/>
      <c r="E126" s="19"/>
      <c r="F126" s="19">
        <v>437.91</v>
      </c>
      <c r="G126" s="19">
        <v>1150.01</v>
      </c>
      <c r="H126" s="19"/>
      <c r="I126" s="19"/>
      <c r="J126" s="19"/>
      <c r="K126" s="19"/>
      <c r="L126" s="19"/>
      <c r="M126" s="19">
        <v>1587.92</v>
      </c>
    </row>
    <row r="127" spans="1:13" s="20" customFormat="1" x14ac:dyDescent="0.25">
      <c r="A127" s="21" t="s">
        <v>62</v>
      </c>
      <c r="B127" s="19"/>
      <c r="C127" s="19"/>
      <c r="D127" s="19">
        <v>1365.3600000000001</v>
      </c>
      <c r="E127" s="19"/>
      <c r="F127" s="19"/>
      <c r="G127" s="19">
        <v>10853.7</v>
      </c>
      <c r="H127" s="19"/>
      <c r="I127" s="19">
        <v>2985.68</v>
      </c>
      <c r="J127" s="19"/>
      <c r="K127" s="19"/>
      <c r="L127" s="19">
        <v>1113.2</v>
      </c>
      <c r="M127" s="19">
        <v>16317.940000000002</v>
      </c>
    </row>
    <row r="128" spans="1:13" s="20" customFormat="1" x14ac:dyDescent="0.25">
      <c r="A128" s="21" t="s">
        <v>705</v>
      </c>
      <c r="B128" s="19">
        <v>7120.85</v>
      </c>
      <c r="C128" s="19"/>
      <c r="D128" s="19">
        <v>780.23</v>
      </c>
      <c r="E128" s="19"/>
      <c r="F128" s="19"/>
      <c r="G128" s="19">
        <v>1350</v>
      </c>
      <c r="H128" s="19"/>
      <c r="I128" s="19"/>
      <c r="J128" s="19"/>
      <c r="K128" s="19"/>
      <c r="L128" s="19"/>
      <c r="M128" s="19">
        <v>9251.08</v>
      </c>
    </row>
    <row r="129" spans="1:13" s="20" customFormat="1" x14ac:dyDescent="0.25">
      <c r="A129" s="21" t="s">
        <v>1326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1413.28</v>
      </c>
      <c r="M129" s="19">
        <v>1413.28</v>
      </c>
    </row>
    <row r="130" spans="1:13" s="20" customFormat="1" x14ac:dyDescent="0.25">
      <c r="A130" s="21" t="s">
        <v>188</v>
      </c>
      <c r="B130" s="19"/>
      <c r="C130" s="19"/>
      <c r="D130" s="19">
        <v>17811.2</v>
      </c>
      <c r="E130" s="19"/>
      <c r="F130" s="19"/>
      <c r="G130" s="19"/>
      <c r="H130" s="19"/>
      <c r="I130" s="19"/>
      <c r="J130" s="19"/>
      <c r="K130" s="19"/>
      <c r="L130" s="19"/>
      <c r="M130" s="19">
        <v>17811.2</v>
      </c>
    </row>
    <row r="131" spans="1:13" s="20" customFormat="1" x14ac:dyDescent="0.25">
      <c r="A131" s="21" t="s">
        <v>189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0.5</v>
      </c>
      <c r="M131" s="19">
        <v>0.5</v>
      </c>
    </row>
    <row r="132" spans="1:13" s="20" customFormat="1" x14ac:dyDescent="0.25">
      <c r="A132" s="21" t="s">
        <v>582</v>
      </c>
      <c r="B132" s="19"/>
      <c r="C132" s="19"/>
      <c r="D132" s="19"/>
      <c r="E132" s="19"/>
      <c r="F132" s="19"/>
      <c r="G132" s="19"/>
      <c r="H132" s="19">
        <v>2180.54</v>
      </c>
      <c r="I132" s="19"/>
      <c r="J132" s="19"/>
      <c r="K132" s="19"/>
      <c r="L132" s="19"/>
      <c r="M132" s="19">
        <v>2180.54</v>
      </c>
    </row>
    <row r="133" spans="1:13" s="20" customFormat="1" x14ac:dyDescent="0.25">
      <c r="A133" s="21" t="s">
        <v>709</v>
      </c>
      <c r="B133" s="19"/>
      <c r="C133" s="19"/>
      <c r="D133" s="19">
        <v>330</v>
      </c>
      <c r="E133" s="19"/>
      <c r="F133" s="19"/>
      <c r="G133" s="19">
        <v>500</v>
      </c>
      <c r="H133" s="19"/>
      <c r="I133" s="19"/>
      <c r="J133" s="19"/>
      <c r="K133" s="19">
        <v>1800</v>
      </c>
      <c r="L133" s="19">
        <v>1874.4</v>
      </c>
      <c r="M133" s="19">
        <v>4504.3999999999996</v>
      </c>
    </row>
    <row r="134" spans="1:13" s="20" customFormat="1" x14ac:dyDescent="0.25">
      <c r="A134" s="21" t="s">
        <v>2251</v>
      </c>
      <c r="B134" s="19"/>
      <c r="C134" s="19"/>
      <c r="D134" s="19"/>
      <c r="E134" s="19">
        <v>9317</v>
      </c>
      <c r="F134" s="19"/>
      <c r="G134" s="19"/>
      <c r="H134" s="19"/>
      <c r="I134" s="19"/>
      <c r="J134" s="19"/>
      <c r="K134" s="19"/>
      <c r="L134" s="19"/>
      <c r="M134" s="19">
        <v>9317</v>
      </c>
    </row>
    <row r="135" spans="1:13" s="20" customFormat="1" x14ac:dyDescent="0.25">
      <c r="A135" s="21" t="s">
        <v>244</v>
      </c>
      <c r="B135" s="19"/>
      <c r="C135" s="19"/>
      <c r="D135" s="19"/>
      <c r="E135" s="19"/>
      <c r="F135" s="19"/>
      <c r="G135" s="19">
        <v>96.01</v>
      </c>
      <c r="H135" s="19"/>
      <c r="I135" s="19"/>
      <c r="J135" s="19"/>
      <c r="K135" s="19"/>
      <c r="L135" s="19"/>
      <c r="M135" s="19">
        <v>96.01</v>
      </c>
    </row>
    <row r="136" spans="1:13" s="20" customFormat="1" x14ac:dyDescent="0.25">
      <c r="A136" s="21" t="s">
        <v>1163</v>
      </c>
      <c r="B136" s="19"/>
      <c r="C136" s="19"/>
      <c r="D136" s="19"/>
      <c r="E136" s="19"/>
      <c r="F136" s="19"/>
      <c r="G136" s="19">
        <v>441</v>
      </c>
      <c r="H136" s="19"/>
      <c r="I136" s="19"/>
      <c r="J136" s="19"/>
      <c r="K136" s="19"/>
      <c r="L136" s="19"/>
      <c r="M136" s="19">
        <v>441</v>
      </c>
    </row>
    <row r="137" spans="1:13" s="20" customFormat="1" x14ac:dyDescent="0.25">
      <c r="A137" s="21" t="s">
        <v>202</v>
      </c>
      <c r="B137" s="19"/>
      <c r="C137" s="19"/>
      <c r="D137" s="19"/>
      <c r="E137" s="19"/>
      <c r="F137" s="19"/>
      <c r="G137" s="19">
        <v>300.02</v>
      </c>
      <c r="H137" s="19"/>
      <c r="I137" s="19"/>
      <c r="J137" s="19"/>
      <c r="K137" s="19"/>
      <c r="L137" s="19"/>
      <c r="M137" s="19">
        <v>300.02</v>
      </c>
    </row>
    <row r="138" spans="1:13" s="20" customFormat="1" x14ac:dyDescent="0.25">
      <c r="A138" s="21" t="s">
        <v>153</v>
      </c>
      <c r="B138" s="19"/>
      <c r="C138" s="19">
        <v>2075.73</v>
      </c>
      <c r="D138" s="19"/>
      <c r="E138" s="19"/>
      <c r="F138" s="19"/>
      <c r="G138" s="19"/>
      <c r="H138" s="19"/>
      <c r="I138" s="19"/>
      <c r="J138" s="19">
        <v>5607.6100000000006</v>
      </c>
      <c r="K138" s="19"/>
      <c r="L138" s="19"/>
      <c r="M138" s="19">
        <v>7683.34</v>
      </c>
    </row>
    <row r="139" spans="1:13" s="20" customFormat="1" x14ac:dyDescent="0.25">
      <c r="A139" s="21" t="s">
        <v>104</v>
      </c>
      <c r="B139" s="19"/>
      <c r="C139" s="19"/>
      <c r="D139" s="19">
        <v>593.9</v>
      </c>
      <c r="E139" s="19"/>
      <c r="F139" s="19"/>
      <c r="G139" s="19"/>
      <c r="H139" s="19"/>
      <c r="I139" s="19"/>
      <c r="J139" s="19"/>
      <c r="K139" s="19"/>
      <c r="L139" s="19">
        <v>397.9</v>
      </c>
      <c r="M139" s="19">
        <v>991.8</v>
      </c>
    </row>
    <row r="140" spans="1:13" s="20" customFormat="1" x14ac:dyDescent="0.25">
      <c r="A140" s="21" t="s">
        <v>216</v>
      </c>
      <c r="B140" s="19">
        <v>2152.84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2152.84</v>
      </c>
    </row>
    <row r="141" spans="1:13" s="20" customFormat="1" x14ac:dyDescent="0.25">
      <c r="A141" s="21" t="s">
        <v>55</v>
      </c>
      <c r="B141" s="19">
        <v>1456</v>
      </c>
      <c r="C141" s="19"/>
      <c r="D141" s="19"/>
      <c r="E141" s="19"/>
      <c r="F141" s="19">
        <v>4840</v>
      </c>
      <c r="G141" s="19">
        <v>6566.5</v>
      </c>
      <c r="H141" s="19"/>
      <c r="I141" s="19"/>
      <c r="J141" s="19"/>
      <c r="K141" s="19">
        <v>5116.18</v>
      </c>
      <c r="L141" s="19"/>
      <c r="M141" s="19">
        <v>17978.68</v>
      </c>
    </row>
    <row r="142" spans="1:13" s="20" customFormat="1" x14ac:dyDescent="0.25">
      <c r="A142" s="21" t="s">
        <v>1223</v>
      </c>
      <c r="B142" s="19"/>
      <c r="C142" s="19"/>
      <c r="D142" s="19">
        <v>1078.1099999999999</v>
      </c>
      <c r="E142" s="19"/>
      <c r="F142" s="19"/>
      <c r="G142" s="19"/>
      <c r="H142" s="19">
        <v>3000</v>
      </c>
      <c r="I142" s="19"/>
      <c r="J142" s="19"/>
      <c r="K142" s="19"/>
      <c r="L142" s="19">
        <v>3050</v>
      </c>
      <c r="M142" s="19">
        <v>7128.11</v>
      </c>
    </row>
    <row r="143" spans="1:13" s="20" customFormat="1" x14ac:dyDescent="0.25">
      <c r="A143" s="21" t="s">
        <v>37</v>
      </c>
      <c r="B143" s="19"/>
      <c r="C143" s="19"/>
      <c r="D143" s="19">
        <v>0</v>
      </c>
      <c r="E143" s="19"/>
      <c r="F143" s="19"/>
      <c r="G143" s="19"/>
      <c r="H143" s="19"/>
      <c r="I143" s="19"/>
      <c r="J143" s="19"/>
      <c r="K143" s="19"/>
      <c r="L143" s="19"/>
      <c r="M143" s="19">
        <v>0</v>
      </c>
    </row>
    <row r="144" spans="1:13" s="20" customFormat="1" x14ac:dyDescent="0.25">
      <c r="A144" s="21" t="s">
        <v>193</v>
      </c>
      <c r="B144" s="19"/>
      <c r="C144" s="19"/>
      <c r="D144" s="19"/>
      <c r="E144" s="19"/>
      <c r="F144" s="19"/>
      <c r="G144" s="19"/>
      <c r="H144" s="19">
        <v>821</v>
      </c>
      <c r="I144" s="19"/>
      <c r="J144" s="19"/>
      <c r="K144" s="19"/>
      <c r="L144" s="19"/>
      <c r="M144" s="19">
        <v>821</v>
      </c>
    </row>
    <row r="145" spans="1:13" s="20" customFormat="1" x14ac:dyDescent="0.25">
      <c r="A145" s="21" t="s">
        <v>934</v>
      </c>
      <c r="B145" s="19"/>
      <c r="C145" s="19">
        <v>1016.41</v>
      </c>
      <c r="D145" s="19">
        <v>886.03</v>
      </c>
      <c r="E145" s="19"/>
      <c r="F145" s="19"/>
      <c r="G145" s="19"/>
      <c r="H145" s="19"/>
      <c r="I145" s="19"/>
      <c r="J145" s="19"/>
      <c r="K145" s="19"/>
      <c r="L145" s="19"/>
      <c r="M145" s="19">
        <v>1902.44</v>
      </c>
    </row>
    <row r="146" spans="1:13" s="20" customFormat="1" x14ac:dyDescent="0.25">
      <c r="A146" s="21" t="s">
        <v>472</v>
      </c>
      <c r="B146" s="19"/>
      <c r="C146" s="19">
        <v>100.79</v>
      </c>
      <c r="D146" s="19"/>
      <c r="E146" s="19"/>
      <c r="F146" s="19"/>
      <c r="G146" s="19"/>
      <c r="H146" s="19">
        <v>3000.8</v>
      </c>
      <c r="I146" s="19"/>
      <c r="J146" s="19">
        <v>871.2</v>
      </c>
      <c r="K146" s="19"/>
      <c r="L146" s="19">
        <v>502.15</v>
      </c>
      <c r="M146" s="19">
        <v>4474.9399999999996</v>
      </c>
    </row>
    <row r="147" spans="1:13" s="20" customFormat="1" x14ac:dyDescent="0.25">
      <c r="A147" s="21" t="s">
        <v>590</v>
      </c>
      <c r="B147" s="19"/>
      <c r="C147" s="19"/>
      <c r="D147" s="19"/>
      <c r="E147" s="19"/>
      <c r="F147" s="19"/>
      <c r="G147" s="19"/>
      <c r="H147" s="19">
        <v>4037.65</v>
      </c>
      <c r="I147" s="19"/>
      <c r="J147" s="19"/>
      <c r="K147" s="19"/>
      <c r="L147" s="19"/>
      <c r="M147" s="19">
        <v>4037.65</v>
      </c>
    </row>
    <row r="148" spans="1:13" s="20" customFormat="1" x14ac:dyDescent="0.25">
      <c r="A148" s="21" t="s">
        <v>2328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296.60000000000002</v>
      </c>
      <c r="M148" s="19">
        <v>296.60000000000002</v>
      </c>
    </row>
    <row r="149" spans="1:13" s="20" customFormat="1" x14ac:dyDescent="0.25">
      <c r="A149" s="21" t="s">
        <v>989</v>
      </c>
      <c r="B149" s="19"/>
      <c r="C149" s="19"/>
      <c r="D149" s="19"/>
      <c r="E149" s="19"/>
      <c r="F149" s="19"/>
      <c r="G149" s="19">
        <v>2930</v>
      </c>
      <c r="H149" s="19"/>
      <c r="I149" s="19"/>
      <c r="J149" s="19"/>
      <c r="K149" s="19"/>
      <c r="L149" s="19"/>
      <c r="M149" s="19">
        <v>2930</v>
      </c>
    </row>
    <row r="150" spans="1:13" s="20" customFormat="1" x14ac:dyDescent="0.25">
      <c r="A150" s="21" t="s">
        <v>2336</v>
      </c>
      <c r="B150" s="19"/>
      <c r="C150" s="19"/>
      <c r="D150" s="19"/>
      <c r="E150" s="19"/>
      <c r="F150" s="19"/>
      <c r="G150" s="19">
        <v>220</v>
      </c>
      <c r="H150" s="19"/>
      <c r="I150" s="19"/>
      <c r="J150" s="19"/>
      <c r="K150" s="19"/>
      <c r="L150" s="19"/>
      <c r="M150" s="19">
        <v>220</v>
      </c>
    </row>
    <row r="151" spans="1:13" s="20" customFormat="1" x14ac:dyDescent="0.25">
      <c r="A151" s="21" t="s">
        <v>257</v>
      </c>
      <c r="B151" s="19"/>
      <c r="C151" s="19"/>
      <c r="D151" s="19"/>
      <c r="E151" s="19"/>
      <c r="F151" s="19"/>
      <c r="G151" s="19"/>
      <c r="H151" s="19">
        <v>7260</v>
      </c>
      <c r="I151" s="19"/>
      <c r="J151" s="19"/>
      <c r="K151" s="19"/>
      <c r="L151" s="19"/>
      <c r="M151" s="19">
        <v>7260</v>
      </c>
    </row>
    <row r="152" spans="1:13" s="20" customFormat="1" x14ac:dyDescent="0.25">
      <c r="A152" s="21" t="s">
        <v>505</v>
      </c>
      <c r="B152" s="19"/>
      <c r="C152" s="19"/>
      <c r="D152" s="19"/>
      <c r="E152" s="19"/>
      <c r="F152" s="19"/>
      <c r="G152" s="19">
        <v>4060.02</v>
      </c>
      <c r="H152" s="19"/>
      <c r="I152" s="19"/>
      <c r="J152" s="19"/>
      <c r="K152" s="19"/>
      <c r="L152" s="19"/>
      <c r="M152" s="19">
        <v>4060.02</v>
      </c>
    </row>
    <row r="153" spans="1:13" s="20" customFormat="1" x14ac:dyDescent="0.25">
      <c r="A153" s="21" t="s">
        <v>192</v>
      </c>
      <c r="B153" s="19"/>
      <c r="C153" s="19"/>
      <c r="D153" s="19"/>
      <c r="E153" s="19"/>
      <c r="F153" s="19"/>
      <c r="G153" s="19"/>
      <c r="H153" s="19">
        <v>5835.12</v>
      </c>
      <c r="I153" s="19"/>
      <c r="J153" s="19"/>
      <c r="K153" s="19"/>
      <c r="L153" s="19"/>
      <c r="M153" s="19">
        <v>5835.12</v>
      </c>
    </row>
    <row r="154" spans="1:13" s="20" customFormat="1" x14ac:dyDescent="0.25">
      <c r="A154" s="21" t="s">
        <v>988</v>
      </c>
      <c r="B154" s="19"/>
      <c r="C154" s="19"/>
      <c r="D154" s="19"/>
      <c r="E154" s="19">
        <v>1149.5</v>
      </c>
      <c r="F154" s="19"/>
      <c r="G154" s="19"/>
      <c r="H154" s="19"/>
      <c r="I154" s="19"/>
      <c r="J154" s="19"/>
      <c r="K154" s="19"/>
      <c r="L154" s="19"/>
      <c r="M154" s="19">
        <v>1149.5</v>
      </c>
    </row>
    <row r="155" spans="1:13" s="20" customFormat="1" x14ac:dyDescent="0.25">
      <c r="A155" s="21" t="s">
        <v>2395</v>
      </c>
      <c r="B155" s="19"/>
      <c r="C155" s="19"/>
      <c r="D155" s="19"/>
      <c r="E155" s="19"/>
      <c r="F155" s="19"/>
      <c r="G155" s="19"/>
      <c r="H155" s="19"/>
      <c r="I155" s="19">
        <v>2727.95</v>
      </c>
      <c r="J155" s="19"/>
      <c r="K155" s="19"/>
      <c r="L155" s="19"/>
      <c r="M155" s="19">
        <v>2727.95</v>
      </c>
    </row>
    <row r="156" spans="1:13" s="20" customFormat="1" x14ac:dyDescent="0.25">
      <c r="A156" s="21" t="s">
        <v>993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>
        <v>1026</v>
      </c>
      <c r="L156" s="19"/>
      <c r="M156" s="19">
        <v>1026</v>
      </c>
    </row>
    <row r="157" spans="1:13" s="20" customFormat="1" x14ac:dyDescent="0.25">
      <c r="A157" s="21" t="s">
        <v>727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3060</v>
      </c>
      <c r="M157" s="19">
        <v>3060</v>
      </c>
    </row>
    <row r="158" spans="1:13" s="20" customFormat="1" x14ac:dyDescent="0.25">
      <c r="A158" s="21" t="s">
        <v>1330</v>
      </c>
      <c r="B158" s="19"/>
      <c r="C158" s="19"/>
      <c r="D158" s="19">
        <v>440</v>
      </c>
      <c r="E158" s="19"/>
      <c r="F158" s="19"/>
      <c r="G158" s="19"/>
      <c r="H158" s="19"/>
      <c r="I158" s="19"/>
      <c r="J158" s="19"/>
      <c r="K158" s="19"/>
      <c r="L158" s="19"/>
      <c r="M158" s="19">
        <v>440</v>
      </c>
    </row>
    <row r="159" spans="1:13" s="20" customFormat="1" ht="25.5" x14ac:dyDescent="0.25">
      <c r="A159" s="21" t="s">
        <v>512</v>
      </c>
      <c r="B159" s="19"/>
      <c r="C159" s="19"/>
      <c r="D159" s="19"/>
      <c r="E159" s="19"/>
      <c r="F159" s="19"/>
      <c r="G159" s="19"/>
      <c r="H159" s="19"/>
      <c r="I159" s="19">
        <v>16940</v>
      </c>
      <c r="J159" s="19"/>
      <c r="K159" s="19"/>
      <c r="L159" s="19">
        <v>6358.55</v>
      </c>
      <c r="M159" s="19">
        <v>23298.55</v>
      </c>
    </row>
    <row r="160" spans="1:13" s="20" customFormat="1" x14ac:dyDescent="0.25">
      <c r="A160" s="21" t="s">
        <v>1018</v>
      </c>
      <c r="B160" s="19"/>
      <c r="C160" s="19"/>
      <c r="D160" s="19"/>
      <c r="E160" s="19"/>
      <c r="F160" s="19"/>
      <c r="G160" s="19">
        <v>1016.4</v>
      </c>
      <c r="H160" s="19"/>
      <c r="I160" s="19"/>
      <c r="J160" s="19"/>
      <c r="K160" s="19"/>
      <c r="L160" s="19"/>
      <c r="M160" s="19">
        <v>1016.4</v>
      </c>
    </row>
    <row r="161" spans="1:13" s="20" customFormat="1" x14ac:dyDescent="0.25">
      <c r="A161" s="21" t="s">
        <v>101</v>
      </c>
      <c r="B161" s="19"/>
      <c r="C161" s="19"/>
      <c r="D161" s="19"/>
      <c r="E161" s="19"/>
      <c r="F161" s="19">
        <v>2934.25</v>
      </c>
      <c r="G161" s="19"/>
      <c r="H161" s="19"/>
      <c r="I161" s="19"/>
      <c r="J161" s="19">
        <v>1405.9</v>
      </c>
      <c r="K161" s="19"/>
      <c r="L161" s="19"/>
      <c r="M161" s="19">
        <v>4340.1499999999996</v>
      </c>
    </row>
    <row r="162" spans="1:13" s="20" customFormat="1" x14ac:dyDescent="0.25">
      <c r="A162" s="21" t="s">
        <v>52</v>
      </c>
      <c r="B162" s="19">
        <v>18730.05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>
        <v>18730.05</v>
      </c>
    </row>
    <row r="163" spans="1:13" s="20" customFormat="1" x14ac:dyDescent="0.25">
      <c r="A163" s="21" t="s">
        <v>1229</v>
      </c>
      <c r="B163" s="19"/>
      <c r="C163" s="19"/>
      <c r="D163" s="19"/>
      <c r="E163" s="19"/>
      <c r="F163" s="19"/>
      <c r="G163" s="19"/>
      <c r="H163" s="19">
        <v>2000</v>
      </c>
      <c r="I163" s="19"/>
      <c r="J163" s="19"/>
      <c r="K163" s="19"/>
      <c r="L163" s="19"/>
      <c r="M163" s="19">
        <v>2000</v>
      </c>
    </row>
    <row r="164" spans="1:13" s="20" customFormat="1" x14ac:dyDescent="0.25">
      <c r="A164" s="21" t="s">
        <v>69</v>
      </c>
      <c r="B164" s="19"/>
      <c r="C164" s="19"/>
      <c r="D164" s="19">
        <v>984.5</v>
      </c>
      <c r="E164" s="19"/>
      <c r="F164" s="19"/>
      <c r="G164" s="19">
        <v>2673</v>
      </c>
      <c r="H164" s="19"/>
      <c r="I164" s="19"/>
      <c r="J164" s="19"/>
      <c r="K164" s="19"/>
      <c r="L164" s="19"/>
      <c r="M164" s="19">
        <v>3657.5</v>
      </c>
    </row>
    <row r="165" spans="1:13" s="20" customFormat="1" x14ac:dyDescent="0.25">
      <c r="A165" s="21" t="s">
        <v>1108</v>
      </c>
      <c r="B165" s="19"/>
      <c r="C165" s="19"/>
      <c r="D165" s="19"/>
      <c r="E165" s="19"/>
      <c r="F165" s="19"/>
      <c r="G165" s="19">
        <v>3872</v>
      </c>
      <c r="H165" s="19"/>
      <c r="I165" s="19"/>
      <c r="J165" s="19"/>
      <c r="K165" s="19"/>
      <c r="L165" s="19"/>
      <c r="M165" s="19">
        <v>3872</v>
      </c>
    </row>
    <row r="166" spans="1:13" s="20" customFormat="1" x14ac:dyDescent="0.25">
      <c r="A166" s="21" t="s">
        <v>925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2500</v>
      </c>
      <c r="M166" s="19">
        <v>2500</v>
      </c>
    </row>
    <row r="167" spans="1:13" s="20" customFormat="1" x14ac:dyDescent="0.25">
      <c r="A167" s="21" t="s">
        <v>2484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931.5</v>
      </c>
      <c r="L167" s="19"/>
      <c r="M167" s="19">
        <v>931.5</v>
      </c>
    </row>
    <row r="168" spans="1:13" s="20" customFormat="1" x14ac:dyDescent="0.25">
      <c r="A168" s="21" t="s">
        <v>2848</v>
      </c>
      <c r="B168" s="19"/>
      <c r="C168" s="19">
        <v>13019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>
        <v>13019</v>
      </c>
    </row>
    <row r="169" spans="1:13" s="20" customFormat="1" x14ac:dyDescent="0.25">
      <c r="A169" s="21" t="s">
        <v>2887</v>
      </c>
      <c r="B169" s="19"/>
      <c r="C169" s="19">
        <v>375.1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19">
        <v>375.1</v>
      </c>
    </row>
    <row r="170" spans="1:13" s="20" customFormat="1" x14ac:dyDescent="0.25">
      <c r="A170" s="21" t="s">
        <v>222</v>
      </c>
      <c r="B170" s="19"/>
      <c r="C170" s="19"/>
      <c r="D170" s="19"/>
      <c r="E170" s="19"/>
      <c r="F170" s="19"/>
      <c r="G170" s="19">
        <v>56.95</v>
      </c>
      <c r="H170" s="19"/>
      <c r="I170" s="19"/>
      <c r="J170" s="19"/>
      <c r="K170" s="19"/>
      <c r="L170" s="19"/>
      <c r="M170" s="19">
        <v>56.95</v>
      </c>
    </row>
    <row r="171" spans="1:13" s="20" customFormat="1" x14ac:dyDescent="0.25">
      <c r="A171" s="21" t="s">
        <v>210</v>
      </c>
      <c r="B171" s="19">
        <v>442.24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>
        <v>442.24</v>
      </c>
    </row>
    <row r="172" spans="1:13" s="20" customFormat="1" x14ac:dyDescent="0.25">
      <c r="A172" s="21" t="s">
        <v>736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50</v>
      </c>
      <c r="M172" s="19">
        <v>50</v>
      </c>
    </row>
    <row r="173" spans="1:13" s="20" customFormat="1" x14ac:dyDescent="0.25">
      <c r="A173" s="21" t="s">
        <v>1232</v>
      </c>
      <c r="B173" s="19"/>
      <c r="C173" s="19"/>
      <c r="D173" s="19">
        <v>8232.84</v>
      </c>
      <c r="E173" s="19"/>
      <c r="F173" s="19"/>
      <c r="G173" s="19"/>
      <c r="H173" s="19"/>
      <c r="I173" s="19"/>
      <c r="J173" s="19"/>
      <c r="K173" s="19"/>
      <c r="L173" s="19"/>
      <c r="M173" s="19">
        <v>8232.84</v>
      </c>
    </row>
    <row r="174" spans="1:13" s="20" customFormat="1" x14ac:dyDescent="0.25">
      <c r="A174" s="21" t="s">
        <v>219</v>
      </c>
      <c r="B174" s="19"/>
      <c r="C174" s="19"/>
      <c r="D174" s="19"/>
      <c r="E174" s="19"/>
      <c r="F174" s="19"/>
      <c r="G174" s="19"/>
      <c r="H174" s="19"/>
      <c r="I174" s="19">
        <v>1210</v>
      </c>
      <c r="J174" s="19"/>
      <c r="K174" s="19"/>
      <c r="L174" s="19"/>
      <c r="M174" s="19">
        <v>1210</v>
      </c>
    </row>
    <row r="175" spans="1:13" s="20" customFormat="1" x14ac:dyDescent="0.25">
      <c r="A175" s="21" t="s">
        <v>1332</v>
      </c>
      <c r="B175" s="19"/>
      <c r="C175" s="19"/>
      <c r="D175" s="19">
        <v>1197.9000000000001</v>
      </c>
      <c r="E175" s="19"/>
      <c r="F175" s="19"/>
      <c r="G175" s="19"/>
      <c r="H175" s="19"/>
      <c r="I175" s="19"/>
      <c r="J175" s="19"/>
      <c r="K175" s="19"/>
      <c r="L175" s="19"/>
      <c r="M175" s="19">
        <v>1197.9000000000001</v>
      </c>
    </row>
    <row r="176" spans="1:13" s="20" customFormat="1" x14ac:dyDescent="0.25">
      <c r="A176" s="21" t="s">
        <v>739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>
        <v>629.79999999999995</v>
      </c>
      <c r="L176" s="19"/>
      <c r="M176" s="19">
        <v>629.79999999999995</v>
      </c>
    </row>
    <row r="177" spans="1:13" s="20" customFormat="1" x14ac:dyDescent="0.25">
      <c r="A177" s="21" t="s">
        <v>2531</v>
      </c>
      <c r="B177" s="19"/>
      <c r="C177" s="19"/>
      <c r="D177" s="19"/>
      <c r="E177" s="19"/>
      <c r="F177" s="19"/>
      <c r="G177" s="19"/>
      <c r="H177" s="19">
        <v>6344.33</v>
      </c>
      <c r="I177" s="19"/>
      <c r="J177" s="19"/>
      <c r="K177" s="19"/>
      <c r="L177" s="19"/>
      <c r="M177" s="19">
        <v>6344.33</v>
      </c>
    </row>
    <row r="178" spans="1:13" s="20" customFormat="1" x14ac:dyDescent="0.25">
      <c r="A178" s="21" t="s">
        <v>1033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>
        <v>459.8</v>
      </c>
      <c r="L178" s="19"/>
      <c r="M178" s="19">
        <v>459.8</v>
      </c>
    </row>
    <row r="179" spans="1:13" s="20" customFormat="1" x14ac:dyDescent="0.25">
      <c r="A179" s="21" t="s">
        <v>247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>
        <v>170.4</v>
      </c>
      <c r="L179" s="19"/>
      <c r="M179" s="19">
        <v>170.4</v>
      </c>
    </row>
    <row r="180" spans="1:13" s="20" customFormat="1" x14ac:dyDescent="0.25">
      <c r="A180" s="21" t="s">
        <v>3067</v>
      </c>
      <c r="B180" s="19"/>
      <c r="C180" s="19"/>
      <c r="D180" s="19"/>
      <c r="E180" s="19"/>
      <c r="F180" s="19"/>
      <c r="G180" s="19"/>
      <c r="H180" s="19">
        <v>1420.78</v>
      </c>
      <c r="I180" s="19"/>
      <c r="J180" s="19"/>
      <c r="K180" s="19"/>
      <c r="L180" s="19">
        <v>2100</v>
      </c>
      <c r="M180" s="19">
        <v>3520.7799999999997</v>
      </c>
    </row>
    <row r="181" spans="1:13" s="20" customFormat="1" x14ac:dyDescent="0.25">
      <c r="A181" s="21" t="s">
        <v>3069</v>
      </c>
      <c r="B181" s="19"/>
      <c r="C181" s="19"/>
      <c r="D181" s="19"/>
      <c r="E181" s="19"/>
      <c r="F181" s="19"/>
      <c r="G181" s="19"/>
      <c r="H181" s="19">
        <v>813.12</v>
      </c>
      <c r="I181" s="19"/>
      <c r="J181" s="19"/>
      <c r="K181" s="19"/>
      <c r="L181" s="19">
        <v>2100</v>
      </c>
      <c r="M181" s="19">
        <v>2913.12</v>
      </c>
    </row>
    <row r="182" spans="1:13" s="20" customFormat="1" ht="25.5" x14ac:dyDescent="0.25">
      <c r="A182" s="21" t="s">
        <v>1333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300</v>
      </c>
      <c r="L182" s="19"/>
      <c r="M182" s="19">
        <v>300</v>
      </c>
    </row>
    <row r="183" spans="1:13" s="20" customFormat="1" x14ac:dyDescent="0.25">
      <c r="A183" s="21" t="s">
        <v>248</v>
      </c>
      <c r="B183" s="19"/>
      <c r="C183" s="19"/>
      <c r="D183" s="19"/>
      <c r="E183" s="19"/>
      <c r="F183" s="19"/>
      <c r="G183" s="19">
        <v>264.01</v>
      </c>
      <c r="H183" s="19"/>
      <c r="I183" s="19"/>
      <c r="J183" s="19"/>
      <c r="K183" s="19"/>
      <c r="L183" s="19"/>
      <c r="M183" s="19">
        <v>264.01</v>
      </c>
    </row>
    <row r="184" spans="1:13" s="20" customFormat="1" x14ac:dyDescent="0.25">
      <c r="A184" s="21" t="s">
        <v>1319</v>
      </c>
      <c r="B184" s="19"/>
      <c r="C184" s="19"/>
      <c r="D184" s="19"/>
      <c r="E184" s="19"/>
      <c r="F184" s="19">
        <v>11495</v>
      </c>
      <c r="G184" s="19"/>
      <c r="H184" s="19"/>
      <c r="I184" s="19"/>
      <c r="J184" s="19"/>
      <c r="K184" s="19"/>
      <c r="L184" s="19"/>
      <c r="M184" s="19">
        <v>11495</v>
      </c>
    </row>
    <row r="185" spans="1:13" s="20" customFormat="1" x14ac:dyDescent="0.25">
      <c r="A185" s="21" t="s">
        <v>740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1161.5999999999999</v>
      </c>
      <c r="M185" s="19">
        <v>1161.5999999999999</v>
      </c>
    </row>
    <row r="186" spans="1:13" s="20" customFormat="1" x14ac:dyDescent="0.25">
      <c r="A186" s="21" t="s">
        <v>951</v>
      </c>
      <c r="B186" s="19"/>
      <c r="C186" s="19"/>
      <c r="D186" s="19"/>
      <c r="E186" s="19"/>
      <c r="F186" s="19">
        <v>7199.5</v>
      </c>
      <c r="G186" s="19">
        <v>9545</v>
      </c>
      <c r="H186" s="19"/>
      <c r="I186" s="19"/>
      <c r="J186" s="19">
        <v>6100.42</v>
      </c>
      <c r="K186" s="19"/>
      <c r="L186" s="19"/>
      <c r="M186" s="19">
        <v>22844.92</v>
      </c>
    </row>
    <row r="187" spans="1:13" s="20" customFormat="1" x14ac:dyDescent="0.25">
      <c r="A187" s="21" t="s">
        <v>462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720</v>
      </c>
      <c r="L187" s="19"/>
      <c r="M187" s="19">
        <v>720</v>
      </c>
    </row>
    <row r="188" spans="1:13" s="20" customFormat="1" x14ac:dyDescent="0.25">
      <c r="A188" s="21" t="s">
        <v>264</v>
      </c>
      <c r="B188" s="19"/>
      <c r="C188" s="19"/>
      <c r="D188" s="19"/>
      <c r="E188" s="19">
        <v>709.5</v>
      </c>
      <c r="F188" s="19"/>
      <c r="G188" s="19"/>
      <c r="H188" s="19"/>
      <c r="I188" s="19"/>
      <c r="J188" s="19"/>
      <c r="K188" s="19">
        <v>190</v>
      </c>
      <c r="L188" s="19"/>
      <c r="M188" s="19">
        <v>899.5</v>
      </c>
    </row>
    <row r="189" spans="1:13" s="20" customFormat="1" ht="25.5" x14ac:dyDescent="0.25">
      <c r="A189" s="21" t="s">
        <v>459</v>
      </c>
      <c r="B189" s="19"/>
      <c r="C189" s="19"/>
      <c r="D189" s="19"/>
      <c r="E189" s="19"/>
      <c r="F189" s="19"/>
      <c r="G189" s="19"/>
      <c r="H189" s="19"/>
      <c r="I189" s="19"/>
      <c r="J189" s="19">
        <v>3599.75</v>
      </c>
      <c r="K189" s="19"/>
      <c r="L189" s="19"/>
      <c r="M189" s="19">
        <v>3599.75</v>
      </c>
    </row>
    <row r="190" spans="1:13" s="20" customFormat="1" x14ac:dyDescent="0.25">
      <c r="A190" s="21" t="s">
        <v>827</v>
      </c>
      <c r="B190" s="19"/>
      <c r="C190" s="19"/>
      <c r="D190" s="19">
        <v>484</v>
      </c>
      <c r="E190" s="19"/>
      <c r="F190" s="19"/>
      <c r="G190" s="19"/>
      <c r="H190" s="19"/>
      <c r="I190" s="19"/>
      <c r="J190" s="19"/>
      <c r="K190" s="19"/>
      <c r="L190" s="19"/>
      <c r="M190" s="19">
        <v>484</v>
      </c>
    </row>
    <row r="191" spans="1:13" s="20" customFormat="1" x14ac:dyDescent="0.25">
      <c r="A191" s="21" t="s">
        <v>35</v>
      </c>
      <c r="B191" s="19"/>
      <c r="C191" s="19"/>
      <c r="D191" s="19"/>
      <c r="E191" s="19"/>
      <c r="F191" s="19"/>
      <c r="G191" s="19">
        <v>1500</v>
      </c>
      <c r="H191" s="19"/>
      <c r="I191" s="19"/>
      <c r="J191" s="19"/>
      <c r="K191" s="19"/>
      <c r="L191" s="19"/>
      <c r="M191" s="19">
        <v>1500</v>
      </c>
    </row>
    <row r="192" spans="1:13" s="20" customFormat="1" x14ac:dyDescent="0.25">
      <c r="A192" s="21" t="s">
        <v>94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4000</v>
      </c>
      <c r="M192" s="19">
        <v>4000</v>
      </c>
    </row>
    <row r="193" spans="1:13" s="20" customFormat="1" x14ac:dyDescent="0.25">
      <c r="A193" s="21" t="s">
        <v>985</v>
      </c>
      <c r="B193" s="19"/>
      <c r="C193" s="19"/>
      <c r="D193" s="19"/>
      <c r="E193" s="19"/>
      <c r="F193" s="19"/>
      <c r="G193" s="19"/>
      <c r="H193" s="19"/>
      <c r="I193" s="19"/>
      <c r="J193" s="19">
        <v>1355.81</v>
      </c>
      <c r="K193" s="19"/>
      <c r="L193" s="19"/>
      <c r="M193" s="19">
        <v>1355.81</v>
      </c>
    </row>
    <row r="194" spans="1:13" s="20" customFormat="1" x14ac:dyDescent="0.25">
      <c r="A194" s="21" t="s">
        <v>3241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385</v>
      </c>
      <c r="M194" s="19">
        <v>385</v>
      </c>
    </row>
    <row r="195" spans="1:13" s="20" customFormat="1" x14ac:dyDescent="0.25">
      <c r="A195" s="21" t="s">
        <v>33</v>
      </c>
      <c r="B195" s="19"/>
      <c r="C195" s="19"/>
      <c r="D195" s="19"/>
      <c r="E195" s="19"/>
      <c r="F195" s="19"/>
      <c r="G195" s="19"/>
      <c r="H195" s="19">
        <v>6413</v>
      </c>
      <c r="I195" s="19"/>
      <c r="J195" s="19"/>
      <c r="K195" s="19"/>
      <c r="L195" s="19"/>
      <c r="M195" s="19">
        <v>6413</v>
      </c>
    </row>
    <row r="196" spans="1:13" s="20" customFormat="1" x14ac:dyDescent="0.25">
      <c r="A196" s="21" t="s">
        <v>581</v>
      </c>
      <c r="B196" s="19"/>
      <c r="C196" s="19"/>
      <c r="D196" s="19"/>
      <c r="E196" s="19"/>
      <c r="F196" s="19"/>
      <c r="G196" s="19"/>
      <c r="H196" s="19">
        <v>7260</v>
      </c>
      <c r="I196" s="19"/>
      <c r="J196" s="19"/>
      <c r="K196" s="19"/>
      <c r="L196" s="19"/>
      <c r="M196" s="19">
        <v>7260</v>
      </c>
    </row>
    <row r="197" spans="1:13" s="20" customFormat="1" x14ac:dyDescent="0.25">
      <c r="A197" s="21" t="s">
        <v>470</v>
      </c>
      <c r="B197" s="19"/>
      <c r="C197" s="19"/>
      <c r="D197" s="19"/>
      <c r="E197" s="19">
        <v>4500</v>
      </c>
      <c r="F197" s="19"/>
      <c r="G197" s="19"/>
      <c r="H197" s="19"/>
      <c r="I197" s="19"/>
      <c r="J197" s="19"/>
      <c r="K197" s="19"/>
      <c r="L197" s="19"/>
      <c r="M197" s="19">
        <v>4500</v>
      </c>
    </row>
    <row r="198" spans="1:13" s="20" customFormat="1" x14ac:dyDescent="0.25">
      <c r="A198" s="21" t="s">
        <v>240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4973.58</v>
      </c>
      <c r="M198" s="19">
        <v>4973.58</v>
      </c>
    </row>
    <row r="199" spans="1:13" s="20" customFormat="1" x14ac:dyDescent="0.25">
      <c r="A199" s="21" t="s">
        <v>820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484</v>
      </c>
      <c r="M199" s="19">
        <v>484</v>
      </c>
    </row>
    <row r="200" spans="1:13" s="20" customFormat="1" x14ac:dyDescent="0.25">
      <c r="A200" s="21" t="s">
        <v>999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>
        <v>990.43999999999994</v>
      </c>
      <c r="L200" s="19"/>
      <c r="M200" s="19">
        <v>990.43999999999994</v>
      </c>
    </row>
    <row r="201" spans="1:13" s="20" customFormat="1" x14ac:dyDescent="0.25">
      <c r="A201" s="21" t="s">
        <v>1334</v>
      </c>
      <c r="B201" s="19"/>
      <c r="C201" s="19"/>
      <c r="D201" s="19">
        <v>51.47</v>
      </c>
      <c r="E201" s="19"/>
      <c r="F201" s="19"/>
      <c r="G201" s="19"/>
      <c r="H201" s="19"/>
      <c r="I201" s="19"/>
      <c r="J201" s="19"/>
      <c r="K201" s="19"/>
      <c r="L201" s="19"/>
      <c r="M201" s="19">
        <v>51.47</v>
      </c>
    </row>
    <row r="202" spans="1:13" s="20" customFormat="1" x14ac:dyDescent="0.25">
      <c r="A202" s="21" t="s">
        <v>1179</v>
      </c>
      <c r="B202" s="19"/>
      <c r="C202" s="19"/>
      <c r="D202" s="19"/>
      <c r="E202" s="19"/>
      <c r="F202" s="19"/>
      <c r="G202" s="19"/>
      <c r="H202" s="19">
        <v>1605.67</v>
      </c>
      <c r="I202" s="19"/>
      <c r="J202" s="19"/>
      <c r="K202" s="19"/>
      <c r="L202" s="19"/>
      <c r="M202" s="19">
        <v>1605.67</v>
      </c>
    </row>
    <row r="203" spans="1:13" s="20" customFormat="1" x14ac:dyDescent="0.25">
      <c r="A203" s="21" t="s">
        <v>1016</v>
      </c>
      <c r="B203" s="19"/>
      <c r="C203" s="19"/>
      <c r="D203" s="19">
        <v>1695</v>
      </c>
      <c r="E203" s="19"/>
      <c r="F203" s="19"/>
      <c r="G203" s="19"/>
      <c r="H203" s="19"/>
      <c r="I203" s="19"/>
      <c r="J203" s="19"/>
      <c r="K203" s="19"/>
      <c r="L203" s="19"/>
      <c r="M203" s="19">
        <v>1695</v>
      </c>
    </row>
    <row r="204" spans="1:13" s="20" customFormat="1" x14ac:dyDescent="0.25">
      <c r="A204" s="21" t="s">
        <v>84</v>
      </c>
      <c r="B204" s="19">
        <v>1584</v>
      </c>
      <c r="C204" s="19"/>
      <c r="D204" s="19"/>
      <c r="E204" s="19">
        <v>550</v>
      </c>
      <c r="F204" s="19"/>
      <c r="G204" s="19">
        <v>838.68</v>
      </c>
      <c r="H204" s="19">
        <v>561.44000000000005</v>
      </c>
      <c r="I204" s="19"/>
      <c r="J204" s="19"/>
      <c r="K204" s="19">
        <v>157.08000000000001</v>
      </c>
      <c r="L204" s="19"/>
      <c r="M204" s="19">
        <v>3691.2</v>
      </c>
    </row>
    <row r="205" spans="1:13" s="20" customFormat="1" x14ac:dyDescent="0.25">
      <c r="A205" s="21" t="s">
        <v>1236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10465.43</v>
      </c>
      <c r="M205" s="19">
        <v>10465.43</v>
      </c>
    </row>
    <row r="206" spans="1:13" s="20" customFormat="1" x14ac:dyDescent="0.25">
      <c r="A206" s="21" t="s">
        <v>51</v>
      </c>
      <c r="B206" s="19"/>
      <c r="C206" s="19"/>
      <c r="D206" s="19"/>
      <c r="E206" s="19"/>
      <c r="F206" s="19"/>
      <c r="G206" s="19">
        <v>17711.93</v>
      </c>
      <c r="H206" s="19"/>
      <c r="I206" s="19"/>
      <c r="J206" s="19"/>
      <c r="K206" s="19"/>
      <c r="L206" s="19"/>
      <c r="M206" s="19">
        <v>17711.93</v>
      </c>
    </row>
    <row r="207" spans="1:13" s="20" customFormat="1" x14ac:dyDescent="0.25">
      <c r="A207" s="21" t="s">
        <v>176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>
        <v>6000</v>
      </c>
      <c r="L207" s="19"/>
      <c r="M207" s="19">
        <v>6000</v>
      </c>
    </row>
    <row r="208" spans="1:13" s="20" customFormat="1" x14ac:dyDescent="0.25">
      <c r="A208" s="21" t="s">
        <v>977</v>
      </c>
      <c r="B208" s="19"/>
      <c r="C208" s="19"/>
      <c r="D208" s="19"/>
      <c r="E208" s="19">
        <v>18146.849999999999</v>
      </c>
      <c r="F208" s="19"/>
      <c r="G208" s="19"/>
      <c r="H208" s="19"/>
      <c r="I208" s="19"/>
      <c r="J208" s="19"/>
      <c r="K208" s="19"/>
      <c r="L208" s="19"/>
      <c r="M208" s="19">
        <v>18146.849999999999</v>
      </c>
    </row>
    <row r="209" spans="1:13" s="20" customFormat="1" x14ac:dyDescent="0.25">
      <c r="A209" s="21" t="s">
        <v>476</v>
      </c>
      <c r="B209" s="19"/>
      <c r="C209" s="19"/>
      <c r="D209" s="19"/>
      <c r="E209" s="19"/>
      <c r="F209" s="19"/>
      <c r="G209" s="19">
        <v>282</v>
      </c>
      <c r="H209" s="19"/>
      <c r="I209" s="19"/>
      <c r="J209" s="19"/>
      <c r="K209" s="19"/>
      <c r="L209" s="19"/>
      <c r="M209" s="19">
        <v>282</v>
      </c>
    </row>
    <row r="210" spans="1:13" s="20" customFormat="1" x14ac:dyDescent="0.25">
      <c r="A210" s="21" t="s">
        <v>903</v>
      </c>
      <c r="B210" s="19"/>
      <c r="C210" s="19"/>
      <c r="D210" s="19"/>
      <c r="E210" s="19"/>
      <c r="F210" s="19"/>
      <c r="G210" s="19">
        <v>44199.23</v>
      </c>
      <c r="H210" s="19"/>
      <c r="I210" s="19"/>
      <c r="J210" s="19"/>
      <c r="K210" s="19"/>
      <c r="L210" s="19"/>
      <c r="M210" s="19">
        <v>44199.23</v>
      </c>
    </row>
    <row r="211" spans="1:13" s="20" customFormat="1" x14ac:dyDescent="0.25">
      <c r="A211" s="21" t="s">
        <v>968</v>
      </c>
      <c r="B211" s="19"/>
      <c r="C211" s="19"/>
      <c r="D211" s="19"/>
      <c r="E211" s="19"/>
      <c r="F211" s="19"/>
      <c r="G211" s="19">
        <v>863.94</v>
      </c>
      <c r="H211" s="19"/>
      <c r="I211" s="19"/>
      <c r="J211" s="19"/>
      <c r="K211" s="19">
        <v>930.49</v>
      </c>
      <c r="L211" s="19"/>
      <c r="M211" s="19">
        <v>1794.43</v>
      </c>
    </row>
    <row r="212" spans="1:13" s="20" customFormat="1" x14ac:dyDescent="0.25">
      <c r="A212" s="21" t="s">
        <v>2977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3194.4</v>
      </c>
      <c r="M212" s="19">
        <v>3194.4</v>
      </c>
    </row>
    <row r="213" spans="1:13" s="20" customFormat="1" x14ac:dyDescent="0.25">
      <c r="A213" s="21" t="s">
        <v>867</v>
      </c>
      <c r="B213" s="19"/>
      <c r="C213" s="19">
        <v>2211.84</v>
      </c>
      <c r="D213" s="19"/>
      <c r="E213" s="19"/>
      <c r="F213" s="19"/>
      <c r="G213" s="19"/>
      <c r="H213" s="19"/>
      <c r="I213" s="19"/>
      <c r="J213" s="19"/>
      <c r="K213" s="19"/>
      <c r="L213" s="19"/>
      <c r="M213" s="19">
        <v>2211.84</v>
      </c>
    </row>
    <row r="214" spans="1:13" s="20" customFormat="1" x14ac:dyDescent="0.25">
      <c r="A214" s="21" t="s">
        <v>995</v>
      </c>
      <c r="B214" s="19"/>
      <c r="C214" s="19"/>
      <c r="D214" s="19"/>
      <c r="E214" s="19"/>
      <c r="F214" s="19"/>
      <c r="G214" s="19">
        <v>500</v>
      </c>
      <c r="H214" s="19"/>
      <c r="I214" s="19"/>
      <c r="J214" s="19"/>
      <c r="K214" s="19"/>
      <c r="L214" s="19"/>
      <c r="M214" s="19">
        <v>500</v>
      </c>
    </row>
    <row r="215" spans="1:13" s="20" customFormat="1" x14ac:dyDescent="0.25">
      <c r="A215" s="21" t="s">
        <v>752</v>
      </c>
      <c r="B215" s="19"/>
      <c r="C215" s="19"/>
      <c r="D215" s="19"/>
      <c r="E215" s="19"/>
      <c r="F215" s="19"/>
      <c r="G215" s="19"/>
      <c r="H215" s="19">
        <v>600</v>
      </c>
      <c r="I215" s="19"/>
      <c r="J215" s="19"/>
      <c r="K215" s="19"/>
      <c r="L215" s="19">
        <v>663.56</v>
      </c>
      <c r="M215" s="19">
        <v>1263.56</v>
      </c>
    </row>
    <row r="216" spans="1:13" s="20" customFormat="1" x14ac:dyDescent="0.25">
      <c r="A216" s="21" t="s">
        <v>3018</v>
      </c>
      <c r="B216" s="19"/>
      <c r="C216" s="19"/>
      <c r="D216" s="19"/>
      <c r="E216" s="19"/>
      <c r="F216" s="19"/>
      <c r="G216" s="19"/>
      <c r="H216" s="19">
        <v>2565.1999999999998</v>
      </c>
      <c r="I216" s="19"/>
      <c r="J216" s="19"/>
      <c r="K216" s="19"/>
      <c r="L216" s="19"/>
      <c r="M216" s="19">
        <v>2565.1999999999998</v>
      </c>
    </row>
    <row r="217" spans="1:13" s="20" customFormat="1" x14ac:dyDescent="0.25">
      <c r="A217" s="21" t="s">
        <v>887</v>
      </c>
      <c r="B217" s="19"/>
      <c r="C217" s="19"/>
      <c r="D217" s="19"/>
      <c r="E217" s="19"/>
      <c r="F217" s="19">
        <v>7260</v>
      </c>
      <c r="G217" s="19"/>
      <c r="H217" s="19"/>
      <c r="I217" s="19"/>
      <c r="J217" s="19"/>
      <c r="K217" s="19"/>
      <c r="L217" s="19"/>
      <c r="M217" s="19">
        <v>7260</v>
      </c>
    </row>
    <row r="218" spans="1:13" s="20" customFormat="1" x14ac:dyDescent="0.25">
      <c r="A218" s="21" t="s">
        <v>953</v>
      </c>
      <c r="B218" s="19">
        <v>3008.54</v>
      </c>
      <c r="C218" s="19"/>
      <c r="D218" s="19"/>
      <c r="E218" s="19"/>
      <c r="F218" s="19"/>
      <c r="G218" s="19"/>
      <c r="H218" s="19"/>
      <c r="I218" s="19"/>
      <c r="J218" s="19">
        <v>2363.86</v>
      </c>
      <c r="K218" s="19"/>
      <c r="L218" s="19"/>
      <c r="M218" s="19">
        <v>5372.4</v>
      </c>
    </row>
    <row r="219" spans="1:13" s="20" customFormat="1" x14ac:dyDescent="0.25">
      <c r="A219" s="21" t="s">
        <v>1184</v>
      </c>
      <c r="B219" s="19"/>
      <c r="C219" s="19"/>
      <c r="D219" s="19"/>
      <c r="E219" s="19"/>
      <c r="F219" s="19">
        <v>5390.4</v>
      </c>
      <c r="G219" s="19"/>
      <c r="H219" s="19"/>
      <c r="I219" s="19"/>
      <c r="J219" s="19"/>
      <c r="K219" s="19"/>
      <c r="L219" s="19"/>
      <c r="M219" s="19">
        <v>5390.4</v>
      </c>
    </row>
    <row r="220" spans="1:13" s="20" customFormat="1" x14ac:dyDescent="0.25">
      <c r="A220" s="21" t="s">
        <v>1238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>
        <v>433.43</v>
      </c>
      <c r="L220" s="19"/>
      <c r="M220" s="19">
        <v>433.43</v>
      </c>
    </row>
    <row r="221" spans="1:13" s="20" customFormat="1" x14ac:dyDescent="0.25">
      <c r="A221" s="21" t="s">
        <v>103</v>
      </c>
      <c r="B221" s="19"/>
      <c r="C221" s="19">
        <v>16933.95</v>
      </c>
      <c r="D221" s="19">
        <v>6025.8</v>
      </c>
      <c r="E221" s="19"/>
      <c r="F221" s="19"/>
      <c r="G221" s="19"/>
      <c r="H221" s="19"/>
      <c r="I221" s="19">
        <v>6231.5</v>
      </c>
      <c r="J221" s="19"/>
      <c r="K221" s="19"/>
      <c r="L221" s="19"/>
      <c r="M221" s="19">
        <v>29191.25</v>
      </c>
    </row>
    <row r="222" spans="1:13" s="20" customFormat="1" x14ac:dyDescent="0.25">
      <c r="A222" s="21" t="s">
        <v>102</v>
      </c>
      <c r="B222" s="19"/>
      <c r="C222" s="19"/>
      <c r="D222" s="19"/>
      <c r="E222" s="19"/>
      <c r="F222" s="19">
        <v>1074.9100000000001</v>
      </c>
      <c r="G222" s="19">
        <v>2289.98</v>
      </c>
      <c r="H222" s="19"/>
      <c r="I222" s="19"/>
      <c r="J222" s="19"/>
      <c r="K222" s="19">
        <v>238.75</v>
      </c>
      <c r="L222" s="19"/>
      <c r="M222" s="19">
        <v>3603.6400000000003</v>
      </c>
    </row>
    <row r="223" spans="1:13" s="20" customFormat="1" x14ac:dyDescent="0.25">
      <c r="A223" s="21" t="s">
        <v>894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7442.9</v>
      </c>
      <c r="M223" s="19">
        <v>7442.9</v>
      </c>
    </row>
    <row r="224" spans="1:13" s="20" customFormat="1" x14ac:dyDescent="0.25">
      <c r="A224" s="21" t="s">
        <v>2791</v>
      </c>
      <c r="B224" s="19"/>
      <c r="C224" s="19"/>
      <c r="D224" s="19"/>
      <c r="E224" s="19"/>
      <c r="F224" s="19">
        <v>28746.59</v>
      </c>
      <c r="G224" s="19"/>
      <c r="H224" s="19"/>
      <c r="I224" s="19"/>
      <c r="J224" s="19"/>
      <c r="K224" s="19"/>
      <c r="L224" s="19"/>
      <c r="M224" s="19">
        <v>28746.59</v>
      </c>
    </row>
    <row r="225" spans="1:13" s="20" customFormat="1" x14ac:dyDescent="0.25">
      <c r="A225" s="21" t="s">
        <v>241</v>
      </c>
      <c r="B225" s="19"/>
      <c r="C225" s="19"/>
      <c r="D225" s="19"/>
      <c r="E225" s="19"/>
      <c r="F225" s="19"/>
      <c r="G225" s="19">
        <v>66.55</v>
      </c>
      <c r="H225" s="19"/>
      <c r="I225" s="19"/>
      <c r="J225" s="19"/>
      <c r="K225" s="19"/>
      <c r="L225" s="19">
        <v>516.07000000000005</v>
      </c>
      <c r="M225" s="19">
        <v>582.62</v>
      </c>
    </row>
    <row r="226" spans="1:13" s="20" customFormat="1" x14ac:dyDescent="0.25">
      <c r="A226" s="21" t="s">
        <v>2933</v>
      </c>
      <c r="B226" s="19"/>
      <c r="C226" s="19"/>
      <c r="D226" s="19"/>
      <c r="E226" s="19">
        <v>5348</v>
      </c>
      <c r="F226" s="19"/>
      <c r="G226" s="19"/>
      <c r="H226" s="19"/>
      <c r="I226" s="19"/>
      <c r="J226" s="19"/>
      <c r="K226" s="19"/>
      <c r="L226" s="19"/>
      <c r="M226" s="19">
        <v>5348</v>
      </c>
    </row>
    <row r="227" spans="1:13" s="20" customFormat="1" x14ac:dyDescent="0.25">
      <c r="A227" s="21" t="s">
        <v>3267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306.5</v>
      </c>
      <c r="L227" s="19"/>
      <c r="M227" s="19">
        <v>306.5</v>
      </c>
    </row>
    <row r="228" spans="1:13" s="20" customFormat="1" ht="25.5" x14ac:dyDescent="0.25">
      <c r="A228" s="21" t="s">
        <v>862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>
        <v>1512.5</v>
      </c>
      <c r="M228" s="19">
        <v>1512.5</v>
      </c>
    </row>
    <row r="229" spans="1:13" s="20" customFormat="1" x14ac:dyDescent="0.25">
      <c r="A229" s="21" t="s">
        <v>2979</v>
      </c>
      <c r="B229" s="19"/>
      <c r="C229" s="19"/>
      <c r="D229" s="19"/>
      <c r="E229" s="19">
        <v>4114</v>
      </c>
      <c r="F229" s="19"/>
      <c r="G229" s="19"/>
      <c r="H229" s="19"/>
      <c r="I229" s="19"/>
      <c r="J229" s="19"/>
      <c r="K229" s="19"/>
      <c r="L229" s="19"/>
      <c r="M229" s="19">
        <v>4114</v>
      </c>
    </row>
    <row r="230" spans="1:13" s="20" customFormat="1" x14ac:dyDescent="0.25">
      <c r="A230" s="21" t="s">
        <v>492</v>
      </c>
      <c r="B230" s="19"/>
      <c r="C230" s="19"/>
      <c r="D230" s="19"/>
      <c r="E230" s="19"/>
      <c r="F230" s="19"/>
      <c r="G230" s="19"/>
      <c r="H230" s="19">
        <v>2722.5</v>
      </c>
      <c r="I230" s="19"/>
      <c r="J230" s="19"/>
      <c r="K230" s="19"/>
      <c r="L230" s="19"/>
      <c r="M230" s="19">
        <v>2722.5</v>
      </c>
    </row>
    <row r="231" spans="1:13" s="20" customFormat="1" x14ac:dyDescent="0.25">
      <c r="A231" s="21" t="s">
        <v>56</v>
      </c>
      <c r="B231" s="19"/>
      <c r="C231" s="19"/>
      <c r="D231" s="19">
        <v>3993</v>
      </c>
      <c r="E231" s="19"/>
      <c r="F231" s="19"/>
      <c r="G231" s="19">
        <v>1062.43</v>
      </c>
      <c r="H231" s="19">
        <v>689.7</v>
      </c>
      <c r="I231" s="19"/>
      <c r="J231" s="19"/>
      <c r="K231" s="19"/>
      <c r="L231" s="19">
        <v>96.8</v>
      </c>
      <c r="M231" s="19">
        <v>5841.93</v>
      </c>
    </row>
    <row r="232" spans="1:13" s="20" customFormat="1" x14ac:dyDescent="0.25">
      <c r="A232" s="21" t="s">
        <v>984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1965.4099999999999</v>
      </c>
      <c r="M232" s="19">
        <v>1965.4099999999999</v>
      </c>
    </row>
    <row r="233" spans="1:13" s="20" customFormat="1" x14ac:dyDescent="0.25">
      <c r="A233" s="21" t="s">
        <v>44</v>
      </c>
      <c r="B233" s="19"/>
      <c r="C233" s="19">
        <v>47.57</v>
      </c>
      <c r="D233" s="19">
        <v>29.23</v>
      </c>
      <c r="E233" s="19"/>
      <c r="F233" s="19"/>
      <c r="G233" s="19">
        <v>11869.49</v>
      </c>
      <c r="H233" s="19">
        <v>5185.8099999999995</v>
      </c>
      <c r="I233" s="19">
        <v>1288.1300000000001</v>
      </c>
      <c r="J233" s="19">
        <v>564.5200000000001</v>
      </c>
      <c r="K233" s="19">
        <v>6847.49</v>
      </c>
      <c r="L233" s="19">
        <v>7808.64</v>
      </c>
      <c r="M233" s="19">
        <v>33640.879999999997</v>
      </c>
    </row>
    <row r="234" spans="1:13" s="20" customFormat="1" x14ac:dyDescent="0.25">
      <c r="A234" s="21" t="s">
        <v>807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>
        <v>1210</v>
      </c>
      <c r="L234" s="19">
        <v>605</v>
      </c>
      <c r="M234" s="19">
        <v>1815</v>
      </c>
    </row>
    <row r="235" spans="1:13" s="20" customFormat="1" x14ac:dyDescent="0.25">
      <c r="A235" s="21" t="s">
        <v>87</v>
      </c>
      <c r="B235" s="19"/>
      <c r="C235" s="19"/>
      <c r="D235" s="19"/>
      <c r="E235" s="19"/>
      <c r="F235" s="19"/>
      <c r="G235" s="19">
        <v>4800</v>
      </c>
      <c r="H235" s="19"/>
      <c r="I235" s="19"/>
      <c r="J235" s="19"/>
      <c r="K235" s="19"/>
      <c r="L235" s="19"/>
      <c r="M235" s="19">
        <v>4800</v>
      </c>
    </row>
    <row r="236" spans="1:13" s="20" customFormat="1" x14ac:dyDescent="0.25">
      <c r="A236" s="21" t="s">
        <v>461</v>
      </c>
      <c r="B236" s="19"/>
      <c r="C236" s="19"/>
      <c r="D236" s="19"/>
      <c r="E236" s="19"/>
      <c r="F236" s="19"/>
      <c r="G236" s="19"/>
      <c r="H236" s="19">
        <v>3000</v>
      </c>
      <c r="I236" s="19"/>
      <c r="J236" s="19"/>
      <c r="K236" s="19"/>
      <c r="L236" s="19"/>
      <c r="M236" s="19">
        <v>3000</v>
      </c>
    </row>
    <row r="237" spans="1:13" s="20" customFormat="1" x14ac:dyDescent="0.25">
      <c r="A237" s="21" t="s">
        <v>952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13668.89</v>
      </c>
      <c r="M237" s="19">
        <v>13668.89</v>
      </c>
    </row>
    <row r="238" spans="1:13" s="20" customFormat="1" x14ac:dyDescent="0.25">
      <c r="A238" s="21" t="s">
        <v>3250</v>
      </c>
      <c r="B238" s="19"/>
      <c r="C238" s="19"/>
      <c r="D238" s="19"/>
      <c r="E238" s="19"/>
      <c r="F238" s="19"/>
      <c r="G238" s="19">
        <v>350</v>
      </c>
      <c r="H238" s="19"/>
      <c r="I238" s="19"/>
      <c r="J238" s="19"/>
      <c r="K238" s="19"/>
      <c r="L238" s="19"/>
      <c r="M238" s="19">
        <v>350</v>
      </c>
    </row>
    <row r="239" spans="1:13" s="20" customFormat="1" x14ac:dyDescent="0.25">
      <c r="A239" s="21" t="s">
        <v>1129</v>
      </c>
      <c r="B239" s="19"/>
      <c r="C239" s="19"/>
      <c r="D239" s="19">
        <v>968</v>
      </c>
      <c r="E239" s="19"/>
      <c r="F239" s="19"/>
      <c r="G239" s="19"/>
      <c r="H239" s="19"/>
      <c r="I239" s="19"/>
      <c r="J239" s="19"/>
      <c r="K239" s="19"/>
      <c r="L239" s="19"/>
      <c r="M239" s="19">
        <v>968</v>
      </c>
    </row>
    <row r="240" spans="1:13" s="20" customFormat="1" x14ac:dyDescent="0.25">
      <c r="A240" s="21" t="s">
        <v>1242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>
        <v>550.54999999999995</v>
      </c>
      <c r="L240" s="19"/>
      <c r="M240" s="19">
        <v>550.54999999999995</v>
      </c>
    </row>
    <row r="241" spans="1:13" s="20" customFormat="1" x14ac:dyDescent="0.25">
      <c r="A241" s="21" t="s">
        <v>3161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4948.9000000000005</v>
      </c>
      <c r="L241" s="19"/>
      <c r="M241" s="19">
        <v>4948.9000000000005</v>
      </c>
    </row>
    <row r="242" spans="1:13" s="20" customFormat="1" x14ac:dyDescent="0.25">
      <c r="A242" s="21" t="s">
        <v>1343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>
        <v>48.76</v>
      </c>
      <c r="L242" s="19"/>
      <c r="M242" s="19">
        <v>48.76</v>
      </c>
    </row>
    <row r="243" spans="1:13" s="20" customFormat="1" x14ac:dyDescent="0.25">
      <c r="A243" s="21" t="s">
        <v>1000</v>
      </c>
      <c r="B243" s="19"/>
      <c r="C243" s="19"/>
      <c r="D243" s="19">
        <v>440</v>
      </c>
      <c r="E243" s="19"/>
      <c r="F243" s="19"/>
      <c r="G243" s="19"/>
      <c r="H243" s="19"/>
      <c r="I243" s="19"/>
      <c r="J243" s="19"/>
      <c r="K243" s="19"/>
      <c r="L243" s="19"/>
      <c r="M243" s="19">
        <v>440</v>
      </c>
    </row>
    <row r="244" spans="1:13" s="20" customFormat="1" x14ac:dyDescent="0.25">
      <c r="A244" s="21" t="s">
        <v>3115</v>
      </c>
      <c r="B244" s="19"/>
      <c r="C244" s="19"/>
      <c r="D244" s="19">
        <v>598.95000000000005</v>
      </c>
      <c r="E244" s="19"/>
      <c r="F244" s="19"/>
      <c r="G244" s="19"/>
      <c r="H244" s="19"/>
      <c r="I244" s="19"/>
      <c r="J244" s="19"/>
      <c r="K244" s="19"/>
      <c r="L244" s="19"/>
      <c r="M244" s="19">
        <v>598.95000000000005</v>
      </c>
    </row>
    <row r="245" spans="1:13" s="20" customFormat="1" x14ac:dyDescent="0.25">
      <c r="A245" s="21" t="s">
        <v>3425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>
        <v>200</v>
      </c>
      <c r="L245" s="19"/>
      <c r="M245" s="19">
        <v>200</v>
      </c>
    </row>
    <row r="246" spans="1:13" s="20" customFormat="1" x14ac:dyDescent="0.25">
      <c r="A246" s="21" t="s">
        <v>828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567.01</v>
      </c>
      <c r="M246" s="19">
        <v>567.01</v>
      </c>
    </row>
    <row r="247" spans="1:13" s="20" customFormat="1" x14ac:dyDescent="0.25">
      <c r="A247" s="21" t="s">
        <v>848</v>
      </c>
      <c r="B247" s="19"/>
      <c r="C247" s="19"/>
      <c r="D247" s="19">
        <v>6655</v>
      </c>
      <c r="E247" s="19"/>
      <c r="F247" s="19"/>
      <c r="G247" s="19"/>
      <c r="H247" s="19"/>
      <c r="I247" s="19"/>
      <c r="J247" s="19"/>
      <c r="K247" s="19"/>
      <c r="L247" s="19"/>
      <c r="M247" s="19">
        <v>6655</v>
      </c>
    </row>
    <row r="248" spans="1:13" s="20" customFormat="1" x14ac:dyDescent="0.25">
      <c r="A248" s="21" t="s">
        <v>1344</v>
      </c>
      <c r="B248" s="19"/>
      <c r="C248" s="19"/>
      <c r="D248" s="19"/>
      <c r="E248" s="19"/>
      <c r="F248" s="19">
        <v>11205.81</v>
      </c>
      <c r="G248" s="19"/>
      <c r="H248" s="19"/>
      <c r="I248" s="19"/>
      <c r="J248" s="19"/>
      <c r="K248" s="19"/>
      <c r="L248" s="19"/>
      <c r="M248" s="19">
        <v>11205.81</v>
      </c>
    </row>
    <row r="249" spans="1:13" s="20" customFormat="1" x14ac:dyDescent="0.25">
      <c r="A249" s="21" t="s">
        <v>81</v>
      </c>
      <c r="B249" s="19">
        <v>3960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>
        <v>3960</v>
      </c>
    </row>
    <row r="250" spans="1:13" s="20" customFormat="1" x14ac:dyDescent="0.25">
      <c r="A250" s="21" t="s">
        <v>86</v>
      </c>
      <c r="B250" s="19"/>
      <c r="C250" s="19"/>
      <c r="D250" s="19"/>
      <c r="E250" s="19"/>
      <c r="F250" s="19"/>
      <c r="G250" s="19">
        <v>7255.16</v>
      </c>
      <c r="H250" s="19"/>
      <c r="I250" s="19"/>
      <c r="J250" s="19"/>
      <c r="K250" s="19"/>
      <c r="L250" s="19"/>
      <c r="M250" s="19">
        <v>7255.16</v>
      </c>
    </row>
    <row r="251" spans="1:13" s="20" customFormat="1" x14ac:dyDescent="0.25">
      <c r="A251" s="21" t="s">
        <v>1130</v>
      </c>
      <c r="B251" s="19"/>
      <c r="C251" s="19"/>
      <c r="D251" s="19"/>
      <c r="E251" s="19"/>
      <c r="F251" s="19"/>
      <c r="G251" s="19"/>
      <c r="H251" s="19"/>
      <c r="I251" s="19"/>
      <c r="J251" s="19">
        <v>8973.36</v>
      </c>
      <c r="K251" s="19"/>
      <c r="L251" s="19"/>
      <c r="M251" s="19">
        <v>8973.36</v>
      </c>
    </row>
    <row r="252" spans="1:13" s="20" customFormat="1" x14ac:dyDescent="0.25">
      <c r="A252" s="21" t="s">
        <v>3046</v>
      </c>
      <c r="B252" s="19"/>
      <c r="C252" s="19"/>
      <c r="D252" s="19"/>
      <c r="E252" s="19"/>
      <c r="F252" s="19"/>
      <c r="G252" s="19">
        <v>1780</v>
      </c>
      <c r="H252" s="19"/>
      <c r="I252" s="19"/>
      <c r="J252" s="19"/>
      <c r="K252" s="19"/>
      <c r="L252" s="19"/>
      <c r="M252" s="19">
        <v>1780</v>
      </c>
    </row>
    <row r="253" spans="1:13" s="20" customFormat="1" x14ac:dyDescent="0.25">
      <c r="A253" s="21" t="s">
        <v>503</v>
      </c>
      <c r="B253" s="19"/>
      <c r="C253" s="19">
        <v>239.99</v>
      </c>
      <c r="D253" s="19">
        <v>4763.97</v>
      </c>
      <c r="E253" s="19"/>
      <c r="F253" s="19"/>
      <c r="G253" s="19"/>
      <c r="H253" s="19"/>
      <c r="I253" s="19"/>
      <c r="J253" s="19"/>
      <c r="K253" s="19"/>
      <c r="L253" s="19"/>
      <c r="M253" s="19">
        <v>5003.96</v>
      </c>
    </row>
    <row r="254" spans="1:13" s="20" customFormat="1" x14ac:dyDescent="0.25">
      <c r="A254" s="21" t="s">
        <v>932</v>
      </c>
      <c r="B254" s="19"/>
      <c r="C254" s="19"/>
      <c r="D254" s="19">
        <v>1305.3700000000001</v>
      </c>
      <c r="E254" s="19"/>
      <c r="F254" s="19">
        <v>3794.83</v>
      </c>
      <c r="G254" s="19"/>
      <c r="H254" s="19"/>
      <c r="I254" s="19"/>
      <c r="J254" s="19"/>
      <c r="K254" s="19"/>
      <c r="L254" s="19"/>
      <c r="M254" s="19">
        <v>5100.2</v>
      </c>
    </row>
    <row r="255" spans="1:13" s="20" customFormat="1" x14ac:dyDescent="0.25">
      <c r="A255" s="21" t="s">
        <v>1133</v>
      </c>
      <c r="B255" s="19"/>
      <c r="C255" s="19"/>
      <c r="D255" s="19"/>
      <c r="E255" s="19"/>
      <c r="F255" s="19"/>
      <c r="G255" s="19">
        <v>90</v>
      </c>
      <c r="H255" s="19"/>
      <c r="I255" s="19"/>
      <c r="J255" s="19"/>
      <c r="K255" s="19"/>
      <c r="L255" s="19"/>
      <c r="M255" s="19">
        <v>90</v>
      </c>
    </row>
    <row r="256" spans="1:13" s="20" customFormat="1" x14ac:dyDescent="0.25">
      <c r="A256" s="21" t="s">
        <v>757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>
        <v>428.34</v>
      </c>
      <c r="L256" s="19"/>
      <c r="M256" s="19">
        <v>428.34</v>
      </c>
    </row>
    <row r="257" spans="1:13" s="20" customFormat="1" x14ac:dyDescent="0.25">
      <c r="A257" s="21" t="s">
        <v>3024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>
        <v>2500</v>
      </c>
      <c r="M257" s="19">
        <v>2500</v>
      </c>
    </row>
    <row r="258" spans="1:13" s="20" customFormat="1" x14ac:dyDescent="0.25">
      <c r="A258" s="21" t="s">
        <v>3170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716.56</v>
      </c>
      <c r="M258" s="19">
        <v>716.56</v>
      </c>
    </row>
    <row r="259" spans="1:13" s="20" customFormat="1" x14ac:dyDescent="0.25">
      <c r="A259" s="21" t="s">
        <v>1247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7260</v>
      </c>
      <c r="M259" s="19">
        <v>7260</v>
      </c>
    </row>
    <row r="260" spans="1:13" s="20" customFormat="1" x14ac:dyDescent="0.25">
      <c r="A260" s="21" t="s">
        <v>1165</v>
      </c>
      <c r="B260" s="19"/>
      <c r="C260" s="19"/>
      <c r="D260" s="19">
        <v>5000</v>
      </c>
      <c r="E260" s="19"/>
      <c r="F260" s="19"/>
      <c r="G260" s="19"/>
      <c r="H260" s="19"/>
      <c r="I260" s="19"/>
      <c r="J260" s="19"/>
      <c r="K260" s="19"/>
      <c r="L260" s="19"/>
      <c r="M260" s="19">
        <v>5000</v>
      </c>
    </row>
    <row r="261" spans="1:13" s="20" customFormat="1" x14ac:dyDescent="0.25">
      <c r="A261" s="21" t="s">
        <v>3259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319.44</v>
      </c>
      <c r="M261" s="19">
        <v>319.44</v>
      </c>
    </row>
    <row r="262" spans="1:13" s="20" customFormat="1" x14ac:dyDescent="0.25">
      <c r="A262" s="21" t="s">
        <v>2823</v>
      </c>
      <c r="B262" s="19"/>
      <c r="C262" s="19"/>
      <c r="D262" s="19"/>
      <c r="E262" s="19"/>
      <c r="F262" s="19"/>
      <c r="G262" s="19">
        <v>16185.5</v>
      </c>
      <c r="H262" s="19"/>
      <c r="I262" s="19"/>
      <c r="J262" s="19"/>
      <c r="K262" s="19"/>
      <c r="L262" s="19"/>
      <c r="M262" s="19">
        <v>16185.5</v>
      </c>
    </row>
    <row r="263" spans="1:13" s="20" customFormat="1" x14ac:dyDescent="0.25">
      <c r="A263" s="21" t="s">
        <v>3255</v>
      </c>
      <c r="B263" s="19"/>
      <c r="C263" s="19"/>
      <c r="D263" s="19"/>
      <c r="E263" s="19"/>
      <c r="F263" s="19"/>
      <c r="G263" s="19">
        <v>333.96</v>
      </c>
      <c r="H263" s="19"/>
      <c r="I263" s="19"/>
      <c r="J263" s="19"/>
      <c r="K263" s="19"/>
      <c r="L263" s="19"/>
      <c r="M263" s="19">
        <v>333.96</v>
      </c>
    </row>
    <row r="264" spans="1:13" s="20" customFormat="1" x14ac:dyDescent="0.25">
      <c r="A264" s="21" t="s">
        <v>980</v>
      </c>
      <c r="B264" s="19"/>
      <c r="C264" s="19"/>
      <c r="D264" s="19">
        <v>4463.75</v>
      </c>
      <c r="E264" s="19"/>
      <c r="F264" s="19"/>
      <c r="G264" s="19"/>
      <c r="H264" s="19"/>
      <c r="I264" s="19"/>
      <c r="J264" s="19"/>
      <c r="K264" s="19"/>
      <c r="L264" s="19"/>
      <c r="M264" s="19">
        <v>4463.75</v>
      </c>
    </row>
    <row r="265" spans="1:13" s="20" customFormat="1" x14ac:dyDescent="0.25">
      <c r="A265" s="21" t="s">
        <v>823</v>
      </c>
      <c r="B265" s="19"/>
      <c r="C265" s="19"/>
      <c r="D265" s="19">
        <v>440</v>
      </c>
      <c r="E265" s="19"/>
      <c r="F265" s="19"/>
      <c r="G265" s="19"/>
      <c r="H265" s="19"/>
      <c r="I265" s="19"/>
      <c r="J265" s="19"/>
      <c r="K265" s="19"/>
      <c r="L265" s="19"/>
      <c r="M265" s="19">
        <v>440</v>
      </c>
    </row>
    <row r="266" spans="1:13" s="20" customFormat="1" x14ac:dyDescent="0.25">
      <c r="A266" s="21" t="s">
        <v>3371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>
        <v>118.58</v>
      </c>
      <c r="L266" s="19"/>
      <c r="M266" s="19">
        <v>118.58</v>
      </c>
    </row>
    <row r="267" spans="1:13" s="20" customFormat="1" x14ac:dyDescent="0.25">
      <c r="A267" s="21" t="s">
        <v>178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>
        <v>815.65</v>
      </c>
      <c r="M267" s="19">
        <v>815.65</v>
      </c>
    </row>
    <row r="268" spans="1:13" s="20" customFormat="1" x14ac:dyDescent="0.25">
      <c r="A268" s="21" t="s">
        <v>2796</v>
      </c>
      <c r="B268" s="19"/>
      <c r="C268" s="19"/>
      <c r="D268" s="19"/>
      <c r="E268" s="19"/>
      <c r="F268" s="19"/>
      <c r="G268" s="19"/>
      <c r="H268" s="19"/>
      <c r="I268" s="19">
        <v>25240.52</v>
      </c>
      <c r="J268" s="19"/>
      <c r="K268" s="19"/>
      <c r="L268" s="19"/>
      <c r="M268" s="19">
        <v>25240.52</v>
      </c>
    </row>
    <row r="269" spans="1:13" s="20" customFormat="1" x14ac:dyDescent="0.25">
      <c r="A269" s="21" t="s">
        <v>252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>
        <v>600</v>
      </c>
      <c r="M269" s="19">
        <v>600</v>
      </c>
    </row>
    <row r="270" spans="1:13" s="20" customFormat="1" x14ac:dyDescent="0.25">
      <c r="A270" s="21" t="s">
        <v>3020</v>
      </c>
      <c r="B270" s="19"/>
      <c r="C270" s="19"/>
      <c r="D270" s="19"/>
      <c r="E270" s="19"/>
      <c r="F270" s="19"/>
      <c r="G270" s="19"/>
      <c r="H270" s="19">
        <v>3466.6499999999996</v>
      </c>
      <c r="I270" s="19"/>
      <c r="J270" s="19"/>
      <c r="K270" s="19"/>
      <c r="L270" s="19"/>
      <c r="M270" s="19">
        <v>3466.6499999999996</v>
      </c>
    </row>
    <row r="271" spans="1:13" s="20" customFormat="1" x14ac:dyDescent="0.25">
      <c r="A271" s="21" t="s">
        <v>211</v>
      </c>
      <c r="B271" s="19"/>
      <c r="C271" s="19"/>
      <c r="D271" s="19"/>
      <c r="E271" s="19"/>
      <c r="F271" s="19"/>
      <c r="G271" s="19"/>
      <c r="H271" s="19">
        <v>1500</v>
      </c>
      <c r="I271" s="19"/>
      <c r="J271" s="19"/>
      <c r="K271" s="19">
        <v>1061.31</v>
      </c>
      <c r="L271" s="19"/>
      <c r="M271" s="19">
        <v>2561.31</v>
      </c>
    </row>
    <row r="272" spans="1:13" s="20" customFormat="1" x14ac:dyDescent="0.25">
      <c r="A272" s="21" t="s">
        <v>928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12771</v>
      </c>
      <c r="M272" s="19">
        <v>12771</v>
      </c>
    </row>
    <row r="273" spans="1:13" s="20" customFormat="1" x14ac:dyDescent="0.25">
      <c r="A273" s="21" t="s">
        <v>97</v>
      </c>
      <c r="B273" s="19"/>
      <c r="C273" s="19"/>
      <c r="D273" s="19"/>
      <c r="E273" s="19"/>
      <c r="F273" s="19"/>
      <c r="G273" s="19"/>
      <c r="H273" s="19">
        <v>1411</v>
      </c>
      <c r="I273" s="19"/>
      <c r="J273" s="19"/>
      <c r="K273" s="19"/>
      <c r="L273" s="19"/>
      <c r="M273" s="19">
        <v>1411</v>
      </c>
    </row>
    <row r="274" spans="1:13" s="20" customFormat="1" x14ac:dyDescent="0.25">
      <c r="A274" s="21" t="s">
        <v>3003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2500</v>
      </c>
      <c r="M274" s="19">
        <v>2500</v>
      </c>
    </row>
    <row r="275" spans="1:13" s="20" customFormat="1" x14ac:dyDescent="0.25">
      <c r="A275" s="21" t="s">
        <v>232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972.84</v>
      </c>
      <c r="M275" s="19">
        <v>972.84</v>
      </c>
    </row>
    <row r="276" spans="1:13" s="20" customFormat="1" x14ac:dyDescent="0.25">
      <c r="A276" s="21" t="s">
        <v>3451</v>
      </c>
      <c r="B276" s="19"/>
      <c r="C276" s="19"/>
      <c r="D276" s="19"/>
      <c r="E276" s="19"/>
      <c r="F276" s="19"/>
      <c r="G276" s="19"/>
      <c r="H276" s="19"/>
      <c r="I276" s="19"/>
      <c r="J276" s="19">
        <v>62.92</v>
      </c>
      <c r="K276" s="19"/>
      <c r="L276" s="19"/>
      <c r="M276" s="19">
        <v>62.92</v>
      </c>
    </row>
    <row r="277" spans="1:13" s="20" customFormat="1" x14ac:dyDescent="0.25">
      <c r="A277" s="21" t="s">
        <v>1255</v>
      </c>
      <c r="B277" s="19"/>
      <c r="C277" s="19"/>
      <c r="D277" s="19">
        <v>544.5</v>
      </c>
      <c r="E277" s="19"/>
      <c r="F277" s="19"/>
      <c r="G277" s="19"/>
      <c r="H277" s="19"/>
      <c r="I277" s="19"/>
      <c r="J277" s="19"/>
      <c r="K277" s="19"/>
      <c r="L277" s="19"/>
      <c r="M277" s="19">
        <v>544.5</v>
      </c>
    </row>
    <row r="278" spans="1:13" s="20" customFormat="1" x14ac:dyDescent="0.25">
      <c r="A278" s="21" t="s">
        <v>994</v>
      </c>
      <c r="B278" s="19"/>
      <c r="C278" s="19"/>
      <c r="D278" s="19"/>
      <c r="E278" s="19"/>
      <c r="F278" s="19"/>
      <c r="G278" s="19">
        <v>2600</v>
      </c>
      <c r="H278" s="19"/>
      <c r="I278" s="19"/>
      <c r="J278" s="19"/>
      <c r="K278" s="19"/>
      <c r="L278" s="19"/>
      <c r="M278" s="19">
        <v>2600</v>
      </c>
    </row>
    <row r="279" spans="1:13" s="20" customFormat="1" x14ac:dyDescent="0.25">
      <c r="A279" s="21" t="s">
        <v>1352</v>
      </c>
      <c r="B279" s="19"/>
      <c r="C279" s="19"/>
      <c r="D279" s="19"/>
      <c r="E279" s="19"/>
      <c r="F279" s="19"/>
      <c r="G279" s="19">
        <v>4200</v>
      </c>
      <c r="H279" s="19"/>
      <c r="I279" s="19"/>
      <c r="J279" s="19"/>
      <c r="K279" s="19"/>
      <c r="L279" s="19"/>
      <c r="M279" s="19">
        <v>4200</v>
      </c>
    </row>
    <row r="280" spans="1:13" s="20" customFormat="1" x14ac:dyDescent="0.25">
      <c r="A280" s="21" t="s">
        <v>67</v>
      </c>
      <c r="B280" s="19"/>
      <c r="C280" s="19"/>
      <c r="D280" s="19"/>
      <c r="E280" s="19"/>
      <c r="F280" s="19"/>
      <c r="G280" s="19">
        <v>13140.6</v>
      </c>
      <c r="H280" s="19"/>
      <c r="I280" s="19"/>
      <c r="J280" s="19"/>
      <c r="K280" s="19"/>
      <c r="L280" s="19"/>
      <c r="M280" s="19">
        <v>13140.6</v>
      </c>
    </row>
    <row r="281" spans="1:13" s="20" customFormat="1" x14ac:dyDescent="0.25">
      <c r="A281" s="21" t="s">
        <v>847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700</v>
      </c>
      <c r="M281" s="19">
        <v>700</v>
      </c>
    </row>
    <row r="282" spans="1:13" s="20" customFormat="1" x14ac:dyDescent="0.25">
      <c r="A282" s="21" t="s">
        <v>824</v>
      </c>
      <c r="B282" s="19"/>
      <c r="C282" s="19"/>
      <c r="D282" s="19">
        <v>1089</v>
      </c>
      <c r="E282" s="19"/>
      <c r="F282" s="19"/>
      <c r="G282" s="19"/>
      <c r="H282" s="19"/>
      <c r="I282" s="19"/>
      <c r="J282" s="19"/>
      <c r="K282" s="19"/>
      <c r="L282" s="19"/>
      <c r="M282" s="19">
        <v>1089</v>
      </c>
    </row>
    <row r="283" spans="1:13" s="20" customFormat="1" x14ac:dyDescent="0.25">
      <c r="A283" s="21" t="s">
        <v>2897</v>
      </c>
      <c r="B283" s="19">
        <v>5679.93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>
        <v>5679.93</v>
      </c>
    </row>
    <row r="284" spans="1:13" s="20" customFormat="1" x14ac:dyDescent="0.25">
      <c r="A284" s="21" t="s">
        <v>896</v>
      </c>
      <c r="B284" s="19"/>
      <c r="C284" s="19"/>
      <c r="D284" s="19"/>
      <c r="E284" s="19"/>
      <c r="F284" s="19"/>
      <c r="G284" s="19">
        <v>181.5</v>
      </c>
      <c r="H284" s="19"/>
      <c r="I284" s="19"/>
      <c r="J284" s="19"/>
      <c r="K284" s="19"/>
      <c r="L284" s="19"/>
      <c r="M284" s="19">
        <v>181.5</v>
      </c>
    </row>
    <row r="285" spans="1:13" s="20" customFormat="1" x14ac:dyDescent="0.25">
      <c r="A285" s="21" t="s">
        <v>1135</v>
      </c>
      <c r="B285" s="19"/>
      <c r="C285" s="19"/>
      <c r="D285" s="19">
        <v>81.23</v>
      </c>
      <c r="E285" s="19"/>
      <c r="F285" s="19"/>
      <c r="G285" s="19"/>
      <c r="H285" s="19"/>
      <c r="I285" s="19"/>
      <c r="J285" s="19"/>
      <c r="K285" s="19"/>
      <c r="L285" s="19"/>
      <c r="M285" s="19">
        <v>81.23</v>
      </c>
    </row>
    <row r="286" spans="1:13" s="20" customFormat="1" x14ac:dyDescent="0.25">
      <c r="A286" s="21" t="s">
        <v>2894</v>
      </c>
      <c r="B286" s="19"/>
      <c r="C286" s="19"/>
      <c r="D286" s="19"/>
      <c r="E286" s="19"/>
      <c r="F286" s="19"/>
      <c r="G286" s="19">
        <v>7328</v>
      </c>
      <c r="H286" s="19"/>
      <c r="I286" s="19"/>
      <c r="J286" s="19"/>
      <c r="K286" s="19"/>
      <c r="L286" s="19"/>
      <c r="M286" s="19">
        <v>7328</v>
      </c>
    </row>
    <row r="287" spans="1:13" s="20" customFormat="1" x14ac:dyDescent="0.25">
      <c r="A287" s="21" t="s">
        <v>3276</v>
      </c>
      <c r="B287" s="19">
        <v>275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>
        <v>275</v>
      </c>
    </row>
    <row r="288" spans="1:13" s="20" customFormat="1" x14ac:dyDescent="0.25">
      <c r="A288" s="21" t="s">
        <v>250</v>
      </c>
      <c r="B288" s="19"/>
      <c r="C288" s="19"/>
      <c r="D288" s="19"/>
      <c r="E288" s="19"/>
      <c r="F288" s="19">
        <v>290.39999999999998</v>
      </c>
      <c r="G288" s="19">
        <v>1163.8600000000001</v>
      </c>
      <c r="H288" s="19"/>
      <c r="I288" s="19"/>
      <c r="J288" s="19"/>
      <c r="K288" s="19"/>
      <c r="L288" s="19"/>
      <c r="M288" s="19">
        <v>1454.2600000000002</v>
      </c>
    </row>
    <row r="289" spans="1:13" s="20" customFormat="1" x14ac:dyDescent="0.25">
      <c r="A289" s="21" t="s">
        <v>3213</v>
      </c>
      <c r="B289" s="19"/>
      <c r="C289" s="19"/>
      <c r="D289" s="19"/>
      <c r="E289" s="19"/>
      <c r="F289" s="19"/>
      <c r="G289" s="19">
        <v>314.54000000000002</v>
      </c>
      <c r="H289" s="19"/>
      <c r="I289" s="19"/>
      <c r="J289" s="19"/>
      <c r="K289" s="19">
        <v>723.56999999999994</v>
      </c>
      <c r="L289" s="19"/>
      <c r="M289" s="19">
        <v>1038.1099999999999</v>
      </c>
    </row>
    <row r="290" spans="1:13" s="20" customFormat="1" ht="25.5" x14ac:dyDescent="0.25">
      <c r="A290" s="21" t="s">
        <v>1256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458</v>
      </c>
      <c r="L290" s="19"/>
      <c r="M290" s="19">
        <v>458</v>
      </c>
    </row>
    <row r="291" spans="1:13" s="20" customFormat="1" x14ac:dyDescent="0.25">
      <c r="A291" s="21" t="s">
        <v>936</v>
      </c>
      <c r="B291" s="19"/>
      <c r="C291" s="19"/>
      <c r="D291" s="19"/>
      <c r="E291" s="19"/>
      <c r="F291" s="19">
        <v>5390.55</v>
      </c>
      <c r="G291" s="19"/>
      <c r="H291" s="19"/>
      <c r="I291" s="19"/>
      <c r="J291" s="19"/>
      <c r="K291" s="19"/>
      <c r="L291" s="19"/>
      <c r="M291" s="19">
        <v>5390.55</v>
      </c>
    </row>
    <row r="292" spans="1:13" s="20" customFormat="1" x14ac:dyDescent="0.25">
      <c r="A292" s="21" t="s">
        <v>869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2420</v>
      </c>
      <c r="M292" s="19">
        <v>2420</v>
      </c>
    </row>
    <row r="293" spans="1:13" s="20" customFormat="1" x14ac:dyDescent="0.25">
      <c r="A293" s="21" t="s">
        <v>1356</v>
      </c>
      <c r="B293" s="19"/>
      <c r="C293" s="19"/>
      <c r="D293" s="19"/>
      <c r="E293" s="19"/>
      <c r="F293" s="19"/>
      <c r="G293" s="19"/>
      <c r="H293" s="19">
        <v>2220.35</v>
      </c>
      <c r="I293" s="19"/>
      <c r="J293" s="19"/>
      <c r="K293" s="19"/>
      <c r="L293" s="19"/>
      <c r="M293" s="19">
        <v>2220.35</v>
      </c>
    </row>
    <row r="294" spans="1:13" s="20" customFormat="1" x14ac:dyDescent="0.25">
      <c r="A294" s="21" t="s">
        <v>1004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3548.93</v>
      </c>
      <c r="L294" s="19"/>
      <c r="M294" s="19">
        <v>3548.93</v>
      </c>
    </row>
    <row r="295" spans="1:13" s="20" customFormat="1" x14ac:dyDescent="0.25">
      <c r="A295" s="21" t="s">
        <v>3405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948</v>
      </c>
      <c r="L295" s="19"/>
      <c r="M295" s="19">
        <v>948</v>
      </c>
    </row>
    <row r="296" spans="1:13" s="20" customFormat="1" x14ac:dyDescent="0.25">
      <c r="A296" s="21" t="s">
        <v>184</v>
      </c>
      <c r="B296" s="19"/>
      <c r="C296" s="19"/>
      <c r="D296" s="19"/>
      <c r="E296" s="19">
        <v>16000</v>
      </c>
      <c r="F296" s="19"/>
      <c r="G296" s="19"/>
      <c r="H296" s="19"/>
      <c r="I296" s="19"/>
      <c r="J296" s="19"/>
      <c r="K296" s="19"/>
      <c r="L296" s="19">
        <v>1500</v>
      </c>
      <c r="M296" s="19">
        <v>17500</v>
      </c>
    </row>
    <row r="297" spans="1:13" s="20" customFormat="1" x14ac:dyDescent="0.25">
      <c r="A297" s="21" t="s">
        <v>209</v>
      </c>
      <c r="B297" s="19">
        <v>5566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>
        <v>5566</v>
      </c>
    </row>
    <row r="298" spans="1:13" s="20" customFormat="1" x14ac:dyDescent="0.25">
      <c r="A298" s="21" t="s">
        <v>1296</v>
      </c>
      <c r="B298" s="19"/>
      <c r="C298" s="19"/>
      <c r="D298" s="19"/>
      <c r="E298" s="19"/>
      <c r="F298" s="19">
        <v>338.8</v>
      </c>
      <c r="G298" s="19"/>
      <c r="H298" s="19"/>
      <c r="I298" s="19"/>
      <c r="J298" s="19"/>
      <c r="K298" s="19"/>
      <c r="L298" s="19"/>
      <c r="M298" s="19">
        <v>338.8</v>
      </c>
    </row>
    <row r="299" spans="1:13" s="20" customFormat="1" x14ac:dyDescent="0.25">
      <c r="A299" s="21" t="s">
        <v>139</v>
      </c>
      <c r="B299" s="19"/>
      <c r="C299" s="19"/>
      <c r="D299" s="19">
        <v>21073.87</v>
      </c>
      <c r="E299" s="19"/>
      <c r="F299" s="19"/>
      <c r="G299" s="19"/>
      <c r="H299" s="19"/>
      <c r="I299" s="19"/>
      <c r="J299" s="19"/>
      <c r="K299" s="19"/>
      <c r="L299" s="19"/>
      <c r="M299" s="19">
        <v>21073.87</v>
      </c>
    </row>
    <row r="300" spans="1:13" s="20" customFormat="1" x14ac:dyDescent="0.25">
      <c r="A300" s="21" t="s">
        <v>142</v>
      </c>
      <c r="B300" s="19"/>
      <c r="C300" s="19"/>
      <c r="D300" s="19">
        <v>350.9</v>
      </c>
      <c r="E300" s="19"/>
      <c r="F300" s="19"/>
      <c r="G300" s="19"/>
      <c r="H300" s="19"/>
      <c r="I300" s="19"/>
      <c r="J300" s="19"/>
      <c r="K300" s="19"/>
      <c r="L300" s="19"/>
      <c r="M300" s="19">
        <v>350.9</v>
      </c>
    </row>
    <row r="301" spans="1:13" s="20" customFormat="1" x14ac:dyDescent="0.25">
      <c r="A301" s="21" t="s">
        <v>3257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321.73</v>
      </c>
      <c r="M301" s="19">
        <v>321.73</v>
      </c>
    </row>
    <row r="302" spans="1:13" s="20" customFormat="1" x14ac:dyDescent="0.25">
      <c r="A302" s="21" t="s">
        <v>1260</v>
      </c>
      <c r="B302" s="19"/>
      <c r="C302" s="19"/>
      <c r="D302" s="19"/>
      <c r="E302" s="19"/>
      <c r="F302" s="19"/>
      <c r="G302" s="19">
        <v>431.55</v>
      </c>
      <c r="H302" s="19"/>
      <c r="I302" s="19"/>
      <c r="J302" s="19"/>
      <c r="K302" s="19"/>
      <c r="L302" s="19"/>
      <c r="M302" s="19">
        <v>431.55</v>
      </c>
    </row>
    <row r="303" spans="1:13" s="20" customFormat="1" x14ac:dyDescent="0.25">
      <c r="A303" s="21" t="s">
        <v>1102</v>
      </c>
      <c r="B303" s="19"/>
      <c r="C303" s="19">
        <v>943.8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>
        <v>943.8</v>
      </c>
    </row>
    <row r="304" spans="1:13" s="20" customFormat="1" x14ac:dyDescent="0.25">
      <c r="A304" s="21" t="s">
        <v>31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>
        <v>3200</v>
      </c>
      <c r="L304" s="19"/>
      <c r="M304" s="19">
        <v>3200</v>
      </c>
    </row>
    <row r="305" spans="1:13" s="20" customFormat="1" x14ac:dyDescent="0.25">
      <c r="A305" s="21" t="s">
        <v>2814</v>
      </c>
      <c r="B305" s="19"/>
      <c r="C305" s="19"/>
      <c r="D305" s="19"/>
      <c r="E305" s="19">
        <v>16940</v>
      </c>
      <c r="F305" s="19"/>
      <c r="G305" s="19"/>
      <c r="H305" s="19"/>
      <c r="I305" s="19"/>
      <c r="J305" s="19"/>
      <c r="K305" s="19"/>
      <c r="L305" s="19"/>
      <c r="M305" s="19">
        <v>16940</v>
      </c>
    </row>
    <row r="306" spans="1:13" s="20" customFormat="1" x14ac:dyDescent="0.25">
      <c r="A306" s="21" t="s">
        <v>873</v>
      </c>
      <c r="B306" s="19"/>
      <c r="C306" s="19"/>
      <c r="D306" s="19"/>
      <c r="E306" s="19"/>
      <c r="F306" s="19"/>
      <c r="G306" s="19">
        <v>3746.16</v>
      </c>
      <c r="H306" s="19"/>
      <c r="I306" s="19"/>
      <c r="J306" s="19"/>
      <c r="K306" s="19"/>
      <c r="L306" s="19"/>
      <c r="M306" s="19">
        <v>3746.16</v>
      </c>
    </row>
    <row r="307" spans="1:13" s="20" customFormat="1" x14ac:dyDescent="0.25">
      <c r="A307" s="21" t="s">
        <v>1349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2299</v>
      </c>
      <c r="L307" s="19"/>
      <c r="M307" s="19">
        <v>2299</v>
      </c>
    </row>
    <row r="308" spans="1:13" s="20" customFormat="1" x14ac:dyDescent="0.25">
      <c r="A308" s="21" t="s">
        <v>1261</v>
      </c>
      <c r="B308" s="19"/>
      <c r="C308" s="19"/>
      <c r="D308" s="19">
        <v>544.5</v>
      </c>
      <c r="E308" s="19"/>
      <c r="F308" s="19"/>
      <c r="G308" s="19"/>
      <c r="H308" s="19"/>
      <c r="I308" s="19"/>
      <c r="J308" s="19"/>
      <c r="K308" s="19"/>
      <c r="L308" s="19"/>
      <c r="M308" s="19">
        <v>544.5</v>
      </c>
    </row>
    <row r="309" spans="1:13" s="20" customFormat="1" x14ac:dyDescent="0.25">
      <c r="A309" s="21" t="s">
        <v>98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>
        <v>1500</v>
      </c>
      <c r="M309" s="19">
        <v>1500</v>
      </c>
    </row>
    <row r="310" spans="1:13" s="20" customFormat="1" x14ac:dyDescent="0.25">
      <c r="A310" s="21" t="s">
        <v>1140</v>
      </c>
      <c r="B310" s="19"/>
      <c r="C310" s="19"/>
      <c r="D310" s="19"/>
      <c r="E310" s="19"/>
      <c r="F310" s="19"/>
      <c r="G310" s="19"/>
      <c r="H310" s="19">
        <v>7199.5</v>
      </c>
      <c r="I310" s="19"/>
      <c r="J310" s="19"/>
      <c r="K310" s="19"/>
      <c r="L310" s="19"/>
      <c r="M310" s="19">
        <v>7199.5</v>
      </c>
    </row>
    <row r="311" spans="1:13" s="20" customFormat="1" x14ac:dyDescent="0.25">
      <c r="A311" s="21" t="s">
        <v>1008</v>
      </c>
      <c r="B311" s="19"/>
      <c r="C311" s="19"/>
      <c r="D311" s="19">
        <v>1529</v>
      </c>
      <c r="E311" s="19"/>
      <c r="F311" s="19"/>
      <c r="G311" s="19"/>
      <c r="H311" s="19"/>
      <c r="I311" s="19"/>
      <c r="J311" s="19"/>
      <c r="K311" s="19"/>
      <c r="L311" s="19"/>
      <c r="M311" s="19">
        <v>1529</v>
      </c>
    </row>
    <row r="312" spans="1:13" s="20" customFormat="1" x14ac:dyDescent="0.25">
      <c r="A312" s="21" t="s">
        <v>1027</v>
      </c>
      <c r="B312" s="19"/>
      <c r="C312" s="19"/>
      <c r="D312" s="19"/>
      <c r="E312" s="19"/>
      <c r="F312" s="19"/>
      <c r="G312" s="19">
        <v>4180.8</v>
      </c>
      <c r="H312" s="19"/>
      <c r="I312" s="19"/>
      <c r="J312" s="19"/>
      <c r="K312" s="19"/>
      <c r="L312" s="19"/>
      <c r="M312" s="19">
        <v>4180.8</v>
      </c>
    </row>
    <row r="313" spans="1:13" s="20" customFormat="1" x14ac:dyDescent="0.25">
      <c r="A313" s="21" t="s">
        <v>1267</v>
      </c>
      <c r="B313" s="19"/>
      <c r="C313" s="19"/>
      <c r="D313" s="19"/>
      <c r="E313" s="19"/>
      <c r="F313" s="19"/>
      <c r="G313" s="19"/>
      <c r="H313" s="19"/>
      <c r="I313" s="19">
        <v>4114</v>
      </c>
      <c r="J313" s="19"/>
      <c r="K313" s="19"/>
      <c r="L313" s="19"/>
      <c r="M313" s="19">
        <v>4114</v>
      </c>
    </row>
    <row r="314" spans="1:13" s="20" customFormat="1" x14ac:dyDescent="0.25">
      <c r="A314" s="21" t="s">
        <v>955</v>
      </c>
      <c r="B314" s="19"/>
      <c r="C314" s="19">
        <v>37684.49</v>
      </c>
      <c r="D314" s="19"/>
      <c r="E314" s="19"/>
      <c r="F314" s="19"/>
      <c r="G314" s="19"/>
      <c r="H314" s="19"/>
      <c r="I314" s="19"/>
      <c r="J314" s="19"/>
      <c r="K314" s="19"/>
      <c r="L314" s="19"/>
      <c r="M314" s="19">
        <v>37684.49</v>
      </c>
    </row>
    <row r="315" spans="1:13" s="20" customFormat="1" x14ac:dyDescent="0.25">
      <c r="A315" s="21" t="s">
        <v>797</v>
      </c>
      <c r="B315" s="19"/>
      <c r="C315" s="19"/>
      <c r="D315" s="19">
        <v>53.36</v>
      </c>
      <c r="E315" s="19"/>
      <c r="F315" s="19"/>
      <c r="G315" s="19"/>
      <c r="H315" s="19"/>
      <c r="I315" s="19"/>
      <c r="J315" s="19"/>
      <c r="K315" s="19">
        <v>112.51</v>
      </c>
      <c r="L315" s="19"/>
      <c r="M315" s="19">
        <v>165.87</v>
      </c>
    </row>
    <row r="316" spans="1:13" s="20" customFormat="1" x14ac:dyDescent="0.25">
      <c r="A316" s="21" t="s">
        <v>598</v>
      </c>
      <c r="B316" s="19"/>
      <c r="C316" s="19"/>
      <c r="D316" s="19"/>
      <c r="E316" s="19"/>
      <c r="F316" s="19"/>
      <c r="G316" s="19">
        <v>1525.56</v>
      </c>
      <c r="H316" s="19"/>
      <c r="I316" s="19"/>
      <c r="J316" s="19"/>
      <c r="K316" s="19"/>
      <c r="L316" s="19"/>
      <c r="M316" s="19">
        <v>1525.56</v>
      </c>
    </row>
    <row r="317" spans="1:13" s="20" customFormat="1" x14ac:dyDescent="0.25">
      <c r="A317" s="21" t="s">
        <v>1167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2576.0500000000002</v>
      </c>
      <c r="M317" s="19">
        <v>2576.0500000000002</v>
      </c>
    </row>
    <row r="318" spans="1:13" s="20" customFormat="1" x14ac:dyDescent="0.25">
      <c r="A318" s="21" t="s">
        <v>1014</v>
      </c>
      <c r="B318" s="19"/>
      <c r="C318" s="19"/>
      <c r="D318" s="19">
        <v>544.5</v>
      </c>
      <c r="E318" s="19"/>
      <c r="F318" s="19"/>
      <c r="G318" s="19"/>
      <c r="H318" s="19"/>
      <c r="I318" s="19"/>
      <c r="J318" s="19"/>
      <c r="K318" s="19"/>
      <c r="L318" s="19"/>
      <c r="M318" s="19">
        <v>544.5</v>
      </c>
    </row>
    <row r="319" spans="1:13" s="20" customFormat="1" x14ac:dyDescent="0.25">
      <c r="A319" s="21" t="s">
        <v>1268</v>
      </c>
      <c r="B319" s="19"/>
      <c r="C319" s="19">
        <v>260</v>
      </c>
      <c r="D319" s="19"/>
      <c r="E319" s="19"/>
      <c r="F319" s="19"/>
      <c r="G319" s="19"/>
      <c r="H319" s="19"/>
      <c r="I319" s="19"/>
      <c r="J319" s="19"/>
      <c r="K319" s="19"/>
      <c r="L319" s="19"/>
      <c r="M319" s="19">
        <v>260</v>
      </c>
    </row>
    <row r="320" spans="1:13" s="20" customFormat="1" x14ac:dyDescent="0.25">
      <c r="A320" s="21" t="s">
        <v>60</v>
      </c>
      <c r="B320" s="19"/>
      <c r="C320" s="19"/>
      <c r="D320" s="19"/>
      <c r="E320" s="19"/>
      <c r="F320" s="19"/>
      <c r="G320" s="19">
        <v>3532.62</v>
      </c>
      <c r="H320" s="19"/>
      <c r="I320" s="19"/>
      <c r="J320" s="19"/>
      <c r="K320" s="19"/>
      <c r="L320" s="19">
        <v>4941.18</v>
      </c>
      <c r="M320" s="19">
        <v>8473.7999999999993</v>
      </c>
    </row>
    <row r="321" spans="1:13" s="20" customFormat="1" x14ac:dyDescent="0.25">
      <c r="A321" s="21" t="s">
        <v>507</v>
      </c>
      <c r="B321" s="19"/>
      <c r="C321" s="19"/>
      <c r="D321" s="19"/>
      <c r="E321" s="19"/>
      <c r="F321" s="19"/>
      <c r="G321" s="19">
        <v>453.75</v>
      </c>
      <c r="H321" s="19"/>
      <c r="I321" s="19"/>
      <c r="J321" s="19"/>
      <c r="K321" s="19"/>
      <c r="L321" s="19"/>
      <c r="M321" s="19">
        <v>453.75</v>
      </c>
    </row>
    <row r="322" spans="1:13" s="20" customFormat="1" x14ac:dyDescent="0.25">
      <c r="A322" s="21" t="s">
        <v>1269</v>
      </c>
      <c r="B322" s="19"/>
      <c r="C322" s="19"/>
      <c r="D322" s="19">
        <v>484</v>
      </c>
      <c r="E322" s="19"/>
      <c r="F322" s="19"/>
      <c r="G322" s="19"/>
      <c r="H322" s="19"/>
      <c r="I322" s="19"/>
      <c r="J322" s="19"/>
      <c r="K322" s="19"/>
      <c r="L322" s="19"/>
      <c r="M322" s="19">
        <v>484</v>
      </c>
    </row>
    <row r="323" spans="1:13" s="20" customFormat="1" x14ac:dyDescent="0.25">
      <c r="A323" s="21" t="s">
        <v>88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4000</v>
      </c>
      <c r="M323" s="19">
        <v>4000</v>
      </c>
    </row>
    <row r="324" spans="1:13" s="20" customFormat="1" x14ac:dyDescent="0.25">
      <c r="A324" s="21" t="s">
        <v>1271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10.82</v>
      </c>
      <c r="M324" s="19">
        <v>10.82</v>
      </c>
    </row>
    <row r="325" spans="1:13" s="20" customFormat="1" x14ac:dyDescent="0.25">
      <c r="A325" s="21" t="s">
        <v>78</v>
      </c>
      <c r="B325" s="19"/>
      <c r="C325" s="19"/>
      <c r="D325" s="19"/>
      <c r="E325" s="19"/>
      <c r="F325" s="19">
        <v>2093.3000000000002</v>
      </c>
      <c r="G325" s="19"/>
      <c r="H325" s="19"/>
      <c r="I325" s="19"/>
      <c r="J325" s="19"/>
      <c r="K325" s="19"/>
      <c r="L325" s="19"/>
      <c r="M325" s="19">
        <v>2093.3000000000002</v>
      </c>
    </row>
    <row r="326" spans="1:13" s="20" customFormat="1" x14ac:dyDescent="0.25">
      <c r="A326" s="21" t="s">
        <v>1025</v>
      </c>
      <c r="B326" s="19"/>
      <c r="C326" s="19">
        <v>84.64</v>
      </c>
      <c r="D326" s="19"/>
      <c r="E326" s="19"/>
      <c r="F326" s="19"/>
      <c r="G326" s="19"/>
      <c r="H326" s="19"/>
      <c r="I326" s="19"/>
      <c r="J326" s="19"/>
      <c r="K326" s="19">
        <v>334.5</v>
      </c>
      <c r="L326" s="19"/>
      <c r="M326" s="19">
        <v>419.14</v>
      </c>
    </row>
    <row r="327" spans="1:13" s="20" customFormat="1" x14ac:dyDescent="0.25">
      <c r="A327" s="21" t="s">
        <v>2809</v>
      </c>
      <c r="B327" s="19"/>
      <c r="C327" s="19"/>
      <c r="D327" s="19"/>
      <c r="E327" s="19"/>
      <c r="F327" s="19">
        <v>18029</v>
      </c>
      <c r="G327" s="19"/>
      <c r="H327" s="19"/>
      <c r="I327" s="19"/>
      <c r="J327" s="19"/>
      <c r="K327" s="19"/>
      <c r="L327" s="19"/>
      <c r="M327" s="19">
        <v>18029</v>
      </c>
    </row>
    <row r="328" spans="1:13" s="20" customFormat="1" x14ac:dyDescent="0.25">
      <c r="A328" s="21" t="s">
        <v>794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12417.05</v>
      </c>
      <c r="M328" s="19">
        <v>12417.05</v>
      </c>
    </row>
    <row r="329" spans="1:13" s="20" customFormat="1" x14ac:dyDescent="0.25">
      <c r="A329" s="21" t="s">
        <v>1275</v>
      </c>
      <c r="B329" s="19"/>
      <c r="C329" s="19"/>
      <c r="D329" s="19">
        <v>992.2</v>
      </c>
      <c r="E329" s="19"/>
      <c r="F329" s="19"/>
      <c r="G329" s="19"/>
      <c r="H329" s="19"/>
      <c r="I329" s="19"/>
      <c r="J329" s="19"/>
      <c r="K329" s="19"/>
      <c r="L329" s="19"/>
      <c r="M329" s="19">
        <v>992.2</v>
      </c>
    </row>
    <row r="330" spans="1:13" s="20" customFormat="1" x14ac:dyDescent="0.25">
      <c r="A330" s="21" t="s">
        <v>1278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>
        <v>169.4</v>
      </c>
      <c r="L330" s="19"/>
      <c r="M330" s="19">
        <v>169.4</v>
      </c>
    </row>
    <row r="331" spans="1:13" s="20" customFormat="1" x14ac:dyDescent="0.25">
      <c r="A331" s="21" t="s">
        <v>1279</v>
      </c>
      <c r="B331" s="19"/>
      <c r="C331" s="19">
        <v>1417.03</v>
      </c>
      <c r="D331" s="19">
        <v>198.26</v>
      </c>
      <c r="E331" s="19"/>
      <c r="F331" s="19"/>
      <c r="G331" s="19"/>
      <c r="H331" s="19"/>
      <c r="I331" s="19"/>
      <c r="J331" s="19"/>
      <c r="K331" s="19"/>
      <c r="L331" s="19"/>
      <c r="M331" s="19">
        <v>1615.29</v>
      </c>
    </row>
    <row r="332" spans="1:13" s="20" customFormat="1" x14ac:dyDescent="0.25">
      <c r="A332" s="21" t="s">
        <v>950</v>
      </c>
      <c r="B332" s="19"/>
      <c r="C332" s="19"/>
      <c r="D332" s="19"/>
      <c r="E332" s="19"/>
      <c r="F332" s="19"/>
      <c r="G332" s="19">
        <v>397.5</v>
      </c>
      <c r="H332" s="19"/>
      <c r="I332" s="19"/>
      <c r="J332" s="19"/>
      <c r="K332" s="19"/>
      <c r="L332" s="19"/>
      <c r="M332" s="19">
        <v>397.5</v>
      </c>
    </row>
    <row r="333" spans="1:13" s="20" customFormat="1" x14ac:dyDescent="0.25">
      <c r="A333" s="21" t="s">
        <v>997</v>
      </c>
      <c r="B333" s="19"/>
      <c r="C333" s="19"/>
      <c r="D333" s="19"/>
      <c r="E333" s="19"/>
      <c r="F333" s="19"/>
      <c r="G333" s="19"/>
      <c r="H333" s="19">
        <v>3600.96</v>
      </c>
      <c r="I333" s="19"/>
      <c r="J333" s="19"/>
      <c r="K333" s="19"/>
      <c r="L333" s="19"/>
      <c r="M333" s="19">
        <v>3600.96</v>
      </c>
    </row>
    <row r="334" spans="1:13" s="20" customFormat="1" x14ac:dyDescent="0.25">
      <c r="A334" s="21" t="s">
        <v>982</v>
      </c>
      <c r="B334" s="19"/>
      <c r="C334" s="19"/>
      <c r="D334" s="19"/>
      <c r="E334" s="19">
        <v>2500</v>
      </c>
      <c r="F334" s="19"/>
      <c r="G334" s="19"/>
      <c r="H334" s="19"/>
      <c r="I334" s="19"/>
      <c r="J334" s="19"/>
      <c r="K334" s="19"/>
      <c r="L334" s="19"/>
      <c r="M334" s="19">
        <v>2500</v>
      </c>
    </row>
    <row r="335" spans="1:13" s="20" customFormat="1" x14ac:dyDescent="0.25">
      <c r="A335" s="21" t="s">
        <v>3007</v>
      </c>
      <c r="B335" s="19"/>
      <c r="C335" s="19"/>
      <c r="D335" s="19"/>
      <c r="E335" s="19"/>
      <c r="F335" s="19"/>
      <c r="G335" s="19"/>
      <c r="H335" s="19"/>
      <c r="I335" s="19"/>
      <c r="J335" s="19">
        <v>2843.5</v>
      </c>
      <c r="K335" s="19"/>
      <c r="L335" s="19"/>
      <c r="M335" s="19">
        <v>2843.5</v>
      </c>
    </row>
    <row r="336" spans="1:13" s="20" customFormat="1" x14ac:dyDescent="0.25">
      <c r="A336" s="21" t="s">
        <v>1013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>
        <v>15000</v>
      </c>
      <c r="L336" s="19"/>
      <c r="M336" s="19">
        <v>15000</v>
      </c>
    </row>
    <row r="337" spans="1:13" s="20" customFormat="1" x14ac:dyDescent="0.25">
      <c r="A337" s="21" t="s">
        <v>1280</v>
      </c>
      <c r="B337" s="19">
        <v>121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>
        <v>121</v>
      </c>
    </row>
    <row r="338" spans="1:13" s="20" customFormat="1" x14ac:dyDescent="0.25">
      <c r="A338" s="21" t="s">
        <v>224</v>
      </c>
      <c r="B338" s="19"/>
      <c r="C338" s="19"/>
      <c r="D338" s="19">
        <v>980.7</v>
      </c>
      <c r="E338" s="19"/>
      <c r="F338" s="19"/>
      <c r="G338" s="19"/>
      <c r="H338" s="19"/>
      <c r="I338" s="19"/>
      <c r="J338" s="19"/>
      <c r="K338" s="19">
        <v>2000</v>
      </c>
      <c r="L338" s="19"/>
      <c r="M338" s="19">
        <v>2980.7</v>
      </c>
    </row>
    <row r="339" spans="1:13" s="20" customFormat="1" x14ac:dyDescent="0.25">
      <c r="A339" s="21" t="s">
        <v>3217</v>
      </c>
      <c r="B339" s="19"/>
      <c r="C339" s="19">
        <v>500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>
        <v>500</v>
      </c>
    </row>
    <row r="340" spans="1:13" s="20" customFormat="1" x14ac:dyDescent="0.25">
      <c r="A340" s="21" t="s">
        <v>959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152.07</v>
      </c>
      <c r="M340" s="19">
        <v>152.07</v>
      </c>
    </row>
    <row r="341" spans="1:13" s="20" customFormat="1" x14ac:dyDescent="0.25">
      <c r="A341" s="21" t="s">
        <v>174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>
        <v>179.3</v>
      </c>
      <c r="L341" s="19"/>
      <c r="M341" s="19">
        <v>179.3</v>
      </c>
    </row>
    <row r="342" spans="1:13" s="20" customFormat="1" x14ac:dyDescent="0.25">
      <c r="A342" s="21" t="s">
        <v>255</v>
      </c>
      <c r="B342" s="19"/>
      <c r="C342" s="19"/>
      <c r="D342" s="19"/>
      <c r="E342" s="19"/>
      <c r="F342" s="19"/>
      <c r="G342" s="19">
        <v>372.29</v>
      </c>
      <c r="H342" s="19"/>
      <c r="I342" s="19"/>
      <c r="J342" s="19"/>
      <c r="K342" s="19"/>
      <c r="L342" s="19">
        <v>800</v>
      </c>
      <c r="M342" s="19">
        <v>1172.29</v>
      </c>
    </row>
    <row r="343" spans="1:13" s="20" customFormat="1" x14ac:dyDescent="0.25">
      <c r="A343" s="21" t="s">
        <v>795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252.1</v>
      </c>
      <c r="L343" s="19"/>
      <c r="M343" s="19">
        <v>252.1</v>
      </c>
    </row>
    <row r="344" spans="1:13" s="20" customFormat="1" x14ac:dyDescent="0.25">
      <c r="A344" s="21" t="s">
        <v>1353</v>
      </c>
      <c r="B344" s="19"/>
      <c r="C344" s="19"/>
      <c r="D344" s="19">
        <v>800</v>
      </c>
      <c r="E344" s="19"/>
      <c r="F344" s="19"/>
      <c r="G344" s="19"/>
      <c r="H344" s="19"/>
      <c r="I344" s="19"/>
      <c r="J344" s="19"/>
      <c r="K344" s="19"/>
      <c r="L344" s="19"/>
      <c r="M344" s="19">
        <v>800</v>
      </c>
    </row>
    <row r="345" spans="1:13" s="20" customFormat="1" x14ac:dyDescent="0.25">
      <c r="A345" s="21" t="s">
        <v>962</v>
      </c>
      <c r="B345" s="19"/>
      <c r="C345" s="19"/>
      <c r="D345" s="19">
        <v>800</v>
      </c>
      <c r="E345" s="19"/>
      <c r="F345" s="19">
        <v>2904</v>
      </c>
      <c r="G345" s="19"/>
      <c r="H345" s="19"/>
      <c r="I345" s="19"/>
      <c r="J345" s="19"/>
      <c r="K345" s="19"/>
      <c r="L345" s="19"/>
      <c r="M345" s="19">
        <v>3704</v>
      </c>
    </row>
    <row r="346" spans="1:13" s="20" customFormat="1" x14ac:dyDescent="0.25">
      <c r="A346" s="21" t="s">
        <v>965</v>
      </c>
      <c r="B346" s="19"/>
      <c r="C346" s="19"/>
      <c r="D346" s="19"/>
      <c r="E346" s="19"/>
      <c r="F346" s="19"/>
      <c r="G346" s="19">
        <v>5631.25</v>
      </c>
      <c r="H346" s="19"/>
      <c r="I346" s="19"/>
      <c r="J346" s="19"/>
      <c r="K346" s="19"/>
      <c r="L346" s="19"/>
      <c r="M346" s="19">
        <v>5631.25</v>
      </c>
    </row>
    <row r="347" spans="1:13" s="20" customFormat="1" x14ac:dyDescent="0.25">
      <c r="A347" s="21" t="s">
        <v>504</v>
      </c>
      <c r="B347" s="19"/>
      <c r="C347" s="19"/>
      <c r="D347" s="19"/>
      <c r="E347" s="19"/>
      <c r="F347" s="19"/>
      <c r="G347" s="19"/>
      <c r="H347" s="19"/>
      <c r="I347" s="19">
        <v>4950</v>
      </c>
      <c r="J347" s="19"/>
      <c r="K347" s="19"/>
      <c r="L347" s="19"/>
      <c r="M347" s="19">
        <v>4950</v>
      </c>
    </row>
    <row r="348" spans="1:13" s="20" customFormat="1" x14ac:dyDescent="0.25">
      <c r="A348" s="21" t="s">
        <v>1347</v>
      </c>
      <c r="B348" s="19">
        <v>5256.24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5256.24</v>
      </c>
    </row>
    <row r="349" spans="1:13" s="20" customFormat="1" ht="25.5" x14ac:dyDescent="0.25">
      <c r="A349" s="21" t="s">
        <v>1143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>
        <v>25185.67</v>
      </c>
      <c r="L349" s="19"/>
      <c r="M349" s="19">
        <v>25185.67</v>
      </c>
    </row>
    <row r="350" spans="1:13" s="20" customFormat="1" x14ac:dyDescent="0.25">
      <c r="A350" s="21" t="s">
        <v>832</v>
      </c>
      <c r="B350" s="19">
        <v>304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>
        <v>304</v>
      </c>
    </row>
    <row r="351" spans="1:13" s="20" customFormat="1" x14ac:dyDescent="0.25">
      <c r="A351" s="21" t="s">
        <v>83</v>
      </c>
      <c r="B351" s="19"/>
      <c r="C351" s="19"/>
      <c r="D351" s="19"/>
      <c r="E351" s="19"/>
      <c r="F351" s="19">
        <v>53.52</v>
      </c>
      <c r="G351" s="19"/>
      <c r="H351" s="19"/>
      <c r="I351" s="19"/>
      <c r="J351" s="19"/>
      <c r="K351" s="19"/>
      <c r="L351" s="19">
        <v>428.04</v>
      </c>
      <c r="M351" s="19">
        <v>481.56</v>
      </c>
    </row>
    <row r="352" spans="1:13" s="20" customFormat="1" x14ac:dyDescent="0.25">
      <c r="A352" s="21" t="s">
        <v>863</v>
      </c>
      <c r="B352" s="19"/>
      <c r="C352" s="19">
        <v>847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19">
        <v>847</v>
      </c>
    </row>
    <row r="353" spans="1:13" s="20" customFormat="1" x14ac:dyDescent="0.25">
      <c r="A353" s="21" t="s">
        <v>814</v>
      </c>
      <c r="B353" s="19">
        <v>300.56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>
        <v>300.56</v>
      </c>
    </row>
    <row r="354" spans="1:13" s="20" customFormat="1" x14ac:dyDescent="0.25">
      <c r="A354" s="21" t="s">
        <v>1032</v>
      </c>
      <c r="B354" s="19"/>
      <c r="C354" s="19"/>
      <c r="D354" s="19"/>
      <c r="E354" s="19"/>
      <c r="F354" s="19"/>
      <c r="G354" s="19">
        <v>209.98</v>
      </c>
      <c r="H354" s="19"/>
      <c r="I354" s="19"/>
      <c r="J354" s="19"/>
      <c r="K354" s="19"/>
      <c r="L354" s="19"/>
      <c r="M354" s="19">
        <v>209.98</v>
      </c>
    </row>
    <row r="355" spans="1:13" s="20" customFormat="1" x14ac:dyDescent="0.25">
      <c r="A355" s="21" t="s">
        <v>96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7000</v>
      </c>
      <c r="M355" s="19">
        <v>7000</v>
      </c>
    </row>
    <row r="356" spans="1:13" s="20" customFormat="1" x14ac:dyDescent="0.25">
      <c r="A356" s="21" t="s">
        <v>2746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3729.28</v>
      </c>
      <c r="M356" s="19">
        <v>3729.28</v>
      </c>
    </row>
    <row r="357" spans="1:13" s="20" customFormat="1" x14ac:dyDescent="0.25">
      <c r="A357" s="21" t="s">
        <v>1026</v>
      </c>
      <c r="B357" s="19">
        <v>272.25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>
        <v>272.25</v>
      </c>
    </row>
    <row r="358" spans="1:13" s="20" customFormat="1" x14ac:dyDescent="0.25">
      <c r="A358" s="21" t="s">
        <v>1145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>
        <v>1419</v>
      </c>
      <c r="L358" s="19"/>
      <c r="M358" s="19">
        <v>1419</v>
      </c>
    </row>
    <row r="359" spans="1:13" s="20" customFormat="1" x14ac:dyDescent="0.25">
      <c r="A359" s="21" t="s">
        <v>61</v>
      </c>
      <c r="B359" s="19">
        <v>1818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>
        <v>1818</v>
      </c>
    </row>
    <row r="360" spans="1:13" s="20" customFormat="1" x14ac:dyDescent="0.25">
      <c r="A360" s="21" t="s">
        <v>1350</v>
      </c>
      <c r="B360" s="19"/>
      <c r="C360" s="19"/>
      <c r="D360" s="19">
        <v>800</v>
      </c>
      <c r="E360" s="19"/>
      <c r="F360" s="19"/>
      <c r="G360" s="19"/>
      <c r="H360" s="19"/>
      <c r="I360" s="19"/>
      <c r="J360" s="19"/>
      <c r="K360" s="19"/>
      <c r="L360" s="19"/>
      <c r="M360" s="19">
        <v>800</v>
      </c>
    </row>
    <row r="361" spans="1:13" s="20" customFormat="1" x14ac:dyDescent="0.25">
      <c r="A361" s="21" t="s">
        <v>68</v>
      </c>
      <c r="B361" s="19">
        <v>6981.7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>
        <v>6981.7</v>
      </c>
    </row>
    <row r="362" spans="1:13" s="20" customFormat="1" x14ac:dyDescent="0.25">
      <c r="A362" s="21" t="s">
        <v>830</v>
      </c>
      <c r="B362" s="19"/>
      <c r="C362" s="19"/>
      <c r="D362" s="19"/>
      <c r="E362" s="19"/>
      <c r="F362" s="19"/>
      <c r="G362" s="19">
        <v>596.53</v>
      </c>
      <c r="H362" s="19"/>
      <c r="I362" s="19"/>
      <c r="J362" s="19"/>
      <c r="K362" s="19"/>
      <c r="L362" s="19"/>
      <c r="M362" s="19">
        <v>596.53</v>
      </c>
    </row>
    <row r="363" spans="1:13" s="20" customFormat="1" x14ac:dyDescent="0.25">
      <c r="A363" s="21" t="s">
        <v>65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>
        <v>1490</v>
      </c>
      <c r="M363" s="19">
        <v>1490</v>
      </c>
    </row>
    <row r="364" spans="1:13" s="20" customFormat="1" x14ac:dyDescent="0.25">
      <c r="A364" s="21" t="s">
        <v>2732</v>
      </c>
      <c r="B364" s="19"/>
      <c r="C364" s="19"/>
      <c r="D364" s="19"/>
      <c r="E364" s="19"/>
      <c r="F364" s="19"/>
      <c r="G364" s="19">
        <v>4000</v>
      </c>
      <c r="H364" s="19"/>
      <c r="I364" s="19"/>
      <c r="J364" s="19"/>
      <c r="K364" s="19"/>
      <c r="L364" s="19"/>
      <c r="M364" s="19">
        <v>4000</v>
      </c>
    </row>
    <row r="365" spans="1:13" s="20" customFormat="1" x14ac:dyDescent="0.25">
      <c r="A365" s="21" t="s">
        <v>2730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>
        <v>5899</v>
      </c>
      <c r="M365" s="19">
        <v>5899</v>
      </c>
    </row>
    <row r="366" spans="1:13" s="20" customFormat="1" x14ac:dyDescent="0.25">
      <c r="A366" s="21" t="s">
        <v>870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>
        <v>606.21</v>
      </c>
      <c r="M366" s="19">
        <v>606.21</v>
      </c>
    </row>
    <row r="367" spans="1:13" s="20" customFormat="1" x14ac:dyDescent="0.25">
      <c r="A367" s="21" t="s">
        <v>1351</v>
      </c>
      <c r="B367" s="19"/>
      <c r="C367" s="19"/>
      <c r="D367" s="19"/>
      <c r="E367" s="19"/>
      <c r="F367" s="19"/>
      <c r="G367" s="19">
        <v>3400</v>
      </c>
      <c r="H367" s="19"/>
      <c r="I367" s="19"/>
      <c r="J367" s="19"/>
      <c r="K367" s="19"/>
      <c r="L367" s="19"/>
      <c r="M367" s="19">
        <v>3400</v>
      </c>
    </row>
    <row r="368" spans="1:13" s="20" customFormat="1" x14ac:dyDescent="0.25">
      <c r="A368" s="21" t="s">
        <v>131</v>
      </c>
      <c r="B368" s="19"/>
      <c r="C368" s="19"/>
      <c r="D368" s="19">
        <v>19307.98</v>
      </c>
      <c r="E368" s="19"/>
      <c r="F368" s="19"/>
      <c r="G368" s="19">
        <v>871.2</v>
      </c>
      <c r="H368" s="19"/>
      <c r="I368" s="19"/>
      <c r="J368" s="19"/>
      <c r="K368" s="19">
        <v>473.11</v>
      </c>
      <c r="L368" s="19"/>
      <c r="M368" s="19">
        <v>20652.29</v>
      </c>
    </row>
    <row r="369" spans="1:13" s="20" customFormat="1" x14ac:dyDescent="0.25">
      <c r="A369" s="21" t="s">
        <v>585</v>
      </c>
      <c r="B369" s="19"/>
      <c r="C369" s="19"/>
      <c r="D369" s="19"/>
      <c r="E369" s="19"/>
      <c r="F369" s="19"/>
      <c r="G369" s="19"/>
      <c r="H369" s="19">
        <v>5000</v>
      </c>
      <c r="I369" s="19"/>
      <c r="J369" s="19"/>
      <c r="K369" s="19"/>
      <c r="L369" s="19"/>
      <c r="M369" s="19">
        <v>5000</v>
      </c>
    </row>
    <row r="370" spans="1:13" s="20" customFormat="1" x14ac:dyDescent="0.25">
      <c r="A370" s="21" t="s">
        <v>207</v>
      </c>
      <c r="B370" s="19"/>
      <c r="C370" s="19"/>
      <c r="D370" s="19"/>
      <c r="E370" s="19"/>
      <c r="F370" s="19"/>
      <c r="G370" s="19"/>
      <c r="H370" s="19"/>
      <c r="I370" s="19">
        <v>1210</v>
      </c>
      <c r="J370" s="19"/>
      <c r="K370" s="19"/>
      <c r="L370" s="19">
        <v>835.17</v>
      </c>
      <c r="M370" s="19">
        <v>2045.17</v>
      </c>
    </row>
    <row r="371" spans="1:13" s="20" customFormat="1" x14ac:dyDescent="0.25">
      <c r="A371" s="21" t="s">
        <v>74</v>
      </c>
      <c r="B371" s="19"/>
      <c r="C371" s="19">
        <v>1000</v>
      </c>
      <c r="D371" s="19">
        <v>331.1</v>
      </c>
      <c r="E371" s="19"/>
      <c r="F371" s="19"/>
      <c r="G371" s="19">
        <v>2368.5</v>
      </c>
      <c r="H371" s="19"/>
      <c r="I371" s="19"/>
      <c r="J371" s="19"/>
      <c r="K371" s="19">
        <v>12150.560000000001</v>
      </c>
      <c r="L371" s="19">
        <v>3144.58</v>
      </c>
      <c r="M371" s="19">
        <v>18994.740000000002</v>
      </c>
    </row>
    <row r="372" spans="1:13" s="20" customFormat="1" x14ac:dyDescent="0.25">
      <c r="A372" s="21" t="s">
        <v>2689</v>
      </c>
      <c r="B372" s="19"/>
      <c r="C372" s="19"/>
      <c r="D372" s="19"/>
      <c r="E372" s="19"/>
      <c r="F372" s="19">
        <v>6763.9</v>
      </c>
      <c r="G372" s="19"/>
      <c r="H372" s="19"/>
      <c r="I372" s="19"/>
      <c r="J372" s="19"/>
      <c r="K372" s="19"/>
      <c r="L372" s="19"/>
      <c r="M372" s="19">
        <v>6763.9</v>
      </c>
    </row>
    <row r="373" spans="1:13" s="20" customFormat="1" ht="25.5" x14ac:dyDescent="0.25">
      <c r="A373" s="21" t="s">
        <v>1146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>
        <v>500</v>
      </c>
      <c r="M373" s="19">
        <v>500</v>
      </c>
    </row>
    <row r="374" spans="1:13" s="20" customFormat="1" x14ac:dyDescent="0.25">
      <c r="A374" s="21" t="s">
        <v>48</v>
      </c>
      <c r="B374" s="19"/>
      <c r="C374" s="19"/>
      <c r="D374" s="19"/>
      <c r="E374" s="19">
        <v>5684.58</v>
      </c>
      <c r="F374" s="19"/>
      <c r="G374" s="19">
        <v>151.25</v>
      </c>
      <c r="H374" s="19"/>
      <c r="I374" s="19"/>
      <c r="J374" s="19">
        <v>847</v>
      </c>
      <c r="K374" s="19"/>
      <c r="L374" s="19"/>
      <c r="M374" s="19">
        <v>6682.83</v>
      </c>
    </row>
    <row r="375" spans="1:13" s="20" customFormat="1" x14ac:dyDescent="0.25">
      <c r="A375" s="21" t="s">
        <v>758</v>
      </c>
      <c r="B375" s="19"/>
      <c r="C375" s="19"/>
      <c r="D375" s="19"/>
      <c r="E375" s="19"/>
      <c r="F375" s="19"/>
      <c r="G375" s="19">
        <v>4568.96</v>
      </c>
      <c r="H375" s="19"/>
      <c r="I375" s="19"/>
      <c r="J375" s="19"/>
      <c r="K375" s="19"/>
      <c r="L375" s="19"/>
      <c r="M375" s="19">
        <v>4568.96</v>
      </c>
    </row>
    <row r="376" spans="1:13" s="20" customFormat="1" ht="25.5" x14ac:dyDescent="0.25">
      <c r="A376" s="21" t="s">
        <v>1002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>
        <v>1082.95</v>
      </c>
      <c r="L376" s="19"/>
      <c r="M376" s="19">
        <v>1082.95</v>
      </c>
    </row>
    <row r="377" spans="1:13" s="20" customFormat="1" x14ac:dyDescent="0.25">
      <c r="A377" s="21" t="s">
        <v>570</v>
      </c>
      <c r="B377" s="19">
        <v>108.16</v>
      </c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>
        <v>108.16</v>
      </c>
    </row>
    <row r="378" spans="1:13" s="20" customFormat="1" x14ac:dyDescent="0.25">
      <c r="A378" s="21" t="s">
        <v>152</v>
      </c>
      <c r="B378" s="19"/>
      <c r="C378" s="19"/>
      <c r="D378" s="19"/>
      <c r="E378" s="19"/>
      <c r="F378" s="19"/>
      <c r="G378" s="19"/>
      <c r="H378" s="19"/>
      <c r="I378" s="19"/>
      <c r="J378" s="19">
        <v>4384.66</v>
      </c>
      <c r="K378" s="19"/>
      <c r="L378" s="19"/>
      <c r="M378" s="19">
        <v>4384.66</v>
      </c>
    </row>
    <row r="379" spans="1:13" s="20" customFormat="1" x14ac:dyDescent="0.25">
      <c r="A379" s="21" t="s">
        <v>2678</v>
      </c>
      <c r="B379" s="19"/>
      <c r="C379" s="19"/>
      <c r="D379" s="19"/>
      <c r="E379" s="19"/>
      <c r="F379" s="19"/>
      <c r="G379" s="19"/>
      <c r="H379" s="19"/>
      <c r="I379" s="19">
        <v>383.57</v>
      </c>
      <c r="J379" s="19"/>
      <c r="K379" s="19"/>
      <c r="L379" s="19"/>
      <c r="M379" s="19">
        <v>383.57</v>
      </c>
    </row>
    <row r="380" spans="1:13" s="20" customFormat="1" x14ac:dyDescent="0.25">
      <c r="A380" s="21" t="s">
        <v>1283</v>
      </c>
      <c r="B380" s="19"/>
      <c r="C380" s="19">
        <v>1990.45</v>
      </c>
      <c r="D380" s="19"/>
      <c r="E380" s="19"/>
      <c r="F380" s="19"/>
      <c r="G380" s="19"/>
      <c r="H380" s="19"/>
      <c r="I380" s="19"/>
      <c r="J380" s="19"/>
      <c r="K380" s="19"/>
      <c r="L380" s="19"/>
      <c r="M380" s="19">
        <v>1990.45</v>
      </c>
    </row>
    <row r="381" spans="1:13" s="20" customFormat="1" x14ac:dyDescent="0.25">
      <c r="A381" s="21" t="s">
        <v>89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>
        <v>7000</v>
      </c>
      <c r="M381" s="19">
        <v>7000</v>
      </c>
    </row>
    <row r="382" spans="1:13" s="20" customFormat="1" x14ac:dyDescent="0.25">
      <c r="A382" s="21" t="s">
        <v>594</v>
      </c>
      <c r="B382" s="19"/>
      <c r="C382" s="19"/>
      <c r="D382" s="19">
        <v>7260</v>
      </c>
      <c r="E382" s="19"/>
      <c r="F382" s="19"/>
      <c r="G382" s="19"/>
      <c r="H382" s="19"/>
      <c r="I382" s="19"/>
      <c r="J382" s="19"/>
      <c r="K382" s="19"/>
      <c r="L382" s="19"/>
      <c r="M382" s="19">
        <v>7260</v>
      </c>
    </row>
    <row r="383" spans="1:13" s="20" customFormat="1" x14ac:dyDescent="0.25">
      <c r="A383" s="21" t="s">
        <v>93</v>
      </c>
      <c r="B383" s="19"/>
      <c r="C383" s="19"/>
      <c r="D383" s="19"/>
      <c r="E383" s="19"/>
      <c r="F383" s="19">
        <v>1452</v>
      </c>
      <c r="G383" s="19"/>
      <c r="H383" s="19"/>
      <c r="I383" s="19"/>
      <c r="J383" s="19"/>
      <c r="K383" s="19"/>
      <c r="L383" s="19">
        <v>2500</v>
      </c>
      <c r="M383" s="19">
        <v>3952</v>
      </c>
    </row>
    <row r="384" spans="1:13" s="20" customFormat="1" x14ac:dyDescent="0.25">
      <c r="A384" s="21" t="s">
        <v>1034</v>
      </c>
      <c r="B384" s="19"/>
      <c r="C384" s="19"/>
      <c r="D384" s="19"/>
      <c r="E384" s="19"/>
      <c r="F384" s="19"/>
      <c r="G384" s="19">
        <v>508.2</v>
      </c>
      <c r="H384" s="19"/>
      <c r="I384" s="19"/>
      <c r="J384" s="19"/>
      <c r="K384" s="19"/>
      <c r="L384" s="19"/>
      <c r="M384" s="19">
        <v>508.2</v>
      </c>
    </row>
    <row r="385" spans="1:13" s="20" customFormat="1" x14ac:dyDescent="0.25">
      <c r="A385" s="21" t="s">
        <v>990</v>
      </c>
      <c r="B385" s="19"/>
      <c r="C385" s="19">
        <v>1597.2</v>
      </c>
      <c r="D385" s="19"/>
      <c r="E385" s="19"/>
      <c r="F385" s="19"/>
      <c r="G385" s="19"/>
      <c r="H385" s="19"/>
      <c r="I385" s="19"/>
      <c r="J385" s="19"/>
      <c r="K385" s="19"/>
      <c r="L385" s="19"/>
      <c r="M385" s="19">
        <v>1597.2</v>
      </c>
    </row>
    <row r="386" spans="1:13" s="20" customFormat="1" x14ac:dyDescent="0.25">
      <c r="A386" s="21" t="s">
        <v>30</v>
      </c>
      <c r="B386" s="19"/>
      <c r="C386" s="19"/>
      <c r="D386" s="19"/>
      <c r="E386" s="19"/>
      <c r="F386" s="19"/>
      <c r="G386" s="19"/>
      <c r="H386" s="19"/>
      <c r="I386" s="19">
        <v>3000</v>
      </c>
      <c r="J386" s="19"/>
      <c r="K386" s="19"/>
      <c r="L386" s="19">
        <v>200</v>
      </c>
      <c r="M386" s="19">
        <v>3200</v>
      </c>
    </row>
    <row r="387" spans="1:13" s="20" customFormat="1" x14ac:dyDescent="0.25">
      <c r="A387" s="21" t="s">
        <v>998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3715.2000000000003</v>
      </c>
      <c r="M387" s="19">
        <v>3715.2000000000003</v>
      </c>
    </row>
    <row r="388" spans="1:13" s="20" customFormat="1" x14ac:dyDescent="0.25">
      <c r="A388" s="21" t="s">
        <v>972</v>
      </c>
      <c r="B388" s="19"/>
      <c r="C388" s="19"/>
      <c r="D388" s="19"/>
      <c r="E388" s="19"/>
      <c r="F388" s="19">
        <v>626.29999999999995</v>
      </c>
      <c r="G388" s="19"/>
      <c r="H388" s="19"/>
      <c r="I388" s="19"/>
      <c r="J388" s="19"/>
      <c r="K388" s="19"/>
      <c r="L388" s="19"/>
      <c r="M388" s="19">
        <v>626.29999999999995</v>
      </c>
    </row>
    <row r="389" spans="1:13" s="20" customFormat="1" x14ac:dyDescent="0.25">
      <c r="A389" s="21" t="s">
        <v>469</v>
      </c>
      <c r="B389" s="19"/>
      <c r="C389" s="19"/>
      <c r="D389" s="19"/>
      <c r="E389" s="19">
        <v>1425</v>
      </c>
      <c r="F389" s="19"/>
      <c r="G389" s="19"/>
      <c r="H389" s="19"/>
      <c r="I389" s="19"/>
      <c r="J389" s="19"/>
      <c r="K389" s="19"/>
      <c r="L389" s="19">
        <v>2090.88</v>
      </c>
      <c r="M389" s="19">
        <v>3515.88</v>
      </c>
    </row>
    <row r="390" spans="1:13" s="20" customFormat="1" x14ac:dyDescent="0.25">
      <c r="A390" s="21" t="s">
        <v>477</v>
      </c>
      <c r="B390" s="19">
        <v>6322.25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>
        <v>6322.25</v>
      </c>
    </row>
    <row r="391" spans="1:13" s="20" customFormat="1" x14ac:dyDescent="0.25">
      <c r="A391" s="21" t="s">
        <v>2619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>
        <v>1790.31</v>
      </c>
      <c r="M391" s="19">
        <v>1790.31</v>
      </c>
    </row>
    <row r="392" spans="1:13" s="20" customFormat="1" x14ac:dyDescent="0.25">
      <c r="A392" s="21" t="s">
        <v>228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>
        <v>7935.79</v>
      </c>
      <c r="M392" s="19">
        <v>7935.79</v>
      </c>
    </row>
    <row r="393" spans="1:13" s="20" customFormat="1" x14ac:dyDescent="0.25">
      <c r="A393" s="21" t="s">
        <v>235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>
        <v>7000</v>
      </c>
      <c r="M393" s="19">
        <v>7000</v>
      </c>
    </row>
    <row r="394" spans="1:13" s="20" customFormat="1" x14ac:dyDescent="0.25">
      <c r="A394" s="21" t="s">
        <v>63</v>
      </c>
      <c r="B394" s="19"/>
      <c r="C394" s="19"/>
      <c r="D394" s="19"/>
      <c r="E394" s="19">
        <v>14140.44</v>
      </c>
      <c r="F394" s="19"/>
      <c r="G394" s="19"/>
      <c r="H394" s="19"/>
      <c r="I394" s="19"/>
      <c r="J394" s="19"/>
      <c r="K394" s="19"/>
      <c r="L394" s="19"/>
      <c r="M394" s="19">
        <v>14140.44</v>
      </c>
    </row>
    <row r="395" spans="1:13" s="20" customFormat="1" x14ac:dyDescent="0.25">
      <c r="A395" s="21" t="s">
        <v>483</v>
      </c>
      <c r="B395" s="19"/>
      <c r="C395" s="19"/>
      <c r="D395" s="19"/>
      <c r="E395" s="19"/>
      <c r="F395" s="19"/>
      <c r="G395" s="19">
        <v>1533.44</v>
      </c>
      <c r="H395" s="19"/>
      <c r="I395" s="19"/>
      <c r="J395" s="19"/>
      <c r="K395" s="19"/>
      <c r="L395" s="19"/>
      <c r="M395" s="19">
        <v>1533.44</v>
      </c>
    </row>
    <row r="396" spans="1:13" s="20" customFormat="1" x14ac:dyDescent="0.25">
      <c r="A396" s="21" t="s">
        <v>90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3000</v>
      </c>
      <c r="M396" s="19">
        <v>3000</v>
      </c>
    </row>
    <row r="397" spans="1:13" s="20" customFormat="1" x14ac:dyDescent="0.25">
      <c r="A397" s="21" t="s">
        <v>1284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>
        <v>964.45</v>
      </c>
      <c r="M397" s="19">
        <v>964.45</v>
      </c>
    </row>
    <row r="398" spans="1:13" s="20" customFormat="1" x14ac:dyDescent="0.25">
      <c r="A398" s="21" t="s">
        <v>1336</v>
      </c>
      <c r="B398" s="19"/>
      <c r="C398" s="19"/>
      <c r="D398" s="19"/>
      <c r="E398" s="19"/>
      <c r="F398" s="19"/>
      <c r="G398" s="19">
        <v>2000</v>
      </c>
      <c r="H398" s="19"/>
      <c r="I398" s="19"/>
      <c r="J398" s="19"/>
      <c r="K398" s="19"/>
      <c r="L398" s="19"/>
      <c r="M398" s="19">
        <v>2000</v>
      </c>
    </row>
    <row r="399" spans="1:13" s="20" customFormat="1" x14ac:dyDescent="0.25">
      <c r="A399" s="21" t="s">
        <v>2599</v>
      </c>
      <c r="B399" s="19"/>
      <c r="C399" s="19"/>
      <c r="D399" s="19">
        <v>1082.95</v>
      </c>
      <c r="E399" s="19"/>
      <c r="F399" s="19"/>
      <c r="G399" s="19"/>
      <c r="H399" s="19"/>
      <c r="I399" s="19"/>
      <c r="J399" s="19"/>
      <c r="K399" s="19"/>
      <c r="L399" s="19"/>
      <c r="M399" s="19">
        <v>1082.95</v>
      </c>
    </row>
    <row r="400" spans="1:13" s="20" customFormat="1" x14ac:dyDescent="0.25">
      <c r="A400" s="21" t="s">
        <v>506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>
        <v>3095.18</v>
      </c>
      <c r="M400" s="19">
        <v>3095.18</v>
      </c>
    </row>
    <row r="401" spans="1:13" s="20" customFormat="1" x14ac:dyDescent="0.25">
      <c r="A401" s="21" t="s">
        <v>49</v>
      </c>
      <c r="B401" s="19"/>
      <c r="C401" s="19"/>
      <c r="D401" s="19">
        <v>15028.2</v>
      </c>
      <c r="E401" s="19"/>
      <c r="F401" s="19">
        <v>238.37</v>
      </c>
      <c r="G401" s="19"/>
      <c r="H401" s="19"/>
      <c r="I401" s="19"/>
      <c r="J401" s="19"/>
      <c r="K401" s="19">
        <v>9998.23</v>
      </c>
      <c r="L401" s="19">
        <v>4016.4</v>
      </c>
      <c r="M401" s="19">
        <v>29281.200000000004</v>
      </c>
    </row>
    <row r="402" spans="1:13" s="20" customFormat="1" x14ac:dyDescent="0.25">
      <c r="A402" s="21" t="s">
        <v>851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1386</v>
      </c>
      <c r="M402" s="19">
        <v>1386</v>
      </c>
    </row>
    <row r="403" spans="1:13" s="20" customFormat="1" x14ac:dyDescent="0.25">
      <c r="A403" s="21" t="s">
        <v>996</v>
      </c>
      <c r="B403" s="19"/>
      <c r="C403" s="19"/>
      <c r="D403" s="19"/>
      <c r="E403" s="19">
        <v>1230.93</v>
      </c>
      <c r="F403" s="19"/>
      <c r="G403" s="19"/>
      <c r="H403" s="19"/>
      <c r="I403" s="19"/>
      <c r="J403" s="19"/>
      <c r="K403" s="19"/>
      <c r="L403" s="19"/>
      <c r="M403" s="19">
        <v>1230.93</v>
      </c>
    </row>
    <row r="404" spans="1:13" s="20" customFormat="1" x14ac:dyDescent="0.25">
      <c r="A404" s="21" t="s">
        <v>1309</v>
      </c>
      <c r="B404" s="19"/>
      <c r="C404" s="19"/>
      <c r="D404" s="19"/>
      <c r="E404" s="19"/>
      <c r="F404" s="19">
        <v>8772.5</v>
      </c>
      <c r="G404" s="19"/>
      <c r="H404" s="19"/>
      <c r="I404" s="19"/>
      <c r="J404" s="19"/>
      <c r="K404" s="19"/>
      <c r="L404" s="19"/>
      <c r="M404" s="19">
        <v>8772.5</v>
      </c>
    </row>
    <row r="405" spans="1:13" s="20" customFormat="1" x14ac:dyDescent="0.25">
      <c r="A405" s="21" t="s">
        <v>859</v>
      </c>
      <c r="B405" s="19"/>
      <c r="C405" s="19"/>
      <c r="D405" s="19"/>
      <c r="E405" s="19"/>
      <c r="F405" s="19"/>
      <c r="G405" s="19"/>
      <c r="H405" s="19">
        <v>902</v>
      </c>
      <c r="I405" s="19"/>
      <c r="J405" s="19"/>
      <c r="K405" s="19"/>
      <c r="L405" s="19"/>
      <c r="M405" s="19">
        <v>902</v>
      </c>
    </row>
    <row r="406" spans="1:13" s="20" customFormat="1" x14ac:dyDescent="0.25">
      <c r="A406" s="21" t="s">
        <v>73</v>
      </c>
      <c r="B406" s="19"/>
      <c r="C406" s="19"/>
      <c r="D406" s="19"/>
      <c r="E406" s="19">
        <v>2055.2600000000002</v>
      </c>
      <c r="F406" s="19"/>
      <c r="G406" s="19"/>
      <c r="H406" s="19"/>
      <c r="I406" s="19"/>
      <c r="J406" s="19"/>
      <c r="K406" s="19"/>
      <c r="L406" s="19"/>
      <c r="M406" s="19">
        <v>2055.2600000000002</v>
      </c>
    </row>
    <row r="407" spans="1:13" s="20" customFormat="1" ht="25.5" x14ac:dyDescent="0.25">
      <c r="A407" s="21" t="s">
        <v>973</v>
      </c>
      <c r="B407" s="19"/>
      <c r="C407" s="19"/>
      <c r="D407" s="19"/>
      <c r="E407" s="19">
        <v>1732.72</v>
      </c>
      <c r="F407" s="19"/>
      <c r="G407" s="19"/>
      <c r="H407" s="19"/>
      <c r="I407" s="19"/>
      <c r="J407" s="19"/>
      <c r="K407" s="19"/>
      <c r="L407" s="19"/>
      <c r="M407" s="19">
        <v>1732.72</v>
      </c>
    </row>
    <row r="408" spans="1:13" s="20" customFormat="1" x14ac:dyDescent="0.25">
      <c r="A408" s="21" t="s">
        <v>1286</v>
      </c>
      <c r="B408" s="19"/>
      <c r="C408" s="19"/>
      <c r="D408" s="19">
        <v>484</v>
      </c>
      <c r="E408" s="19"/>
      <c r="F408" s="19"/>
      <c r="G408" s="19"/>
      <c r="H408" s="19"/>
      <c r="I408" s="19"/>
      <c r="J408" s="19"/>
      <c r="K408" s="19"/>
      <c r="L408" s="19"/>
      <c r="M408" s="19">
        <v>484</v>
      </c>
    </row>
    <row r="409" spans="1:13" s="20" customFormat="1" x14ac:dyDescent="0.25">
      <c r="A409" s="21" t="s">
        <v>466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>
        <v>2000</v>
      </c>
      <c r="M409" s="19">
        <v>2000</v>
      </c>
    </row>
    <row r="410" spans="1:13" s="20" customFormat="1" x14ac:dyDescent="0.25">
      <c r="A410" s="21" t="s">
        <v>99</v>
      </c>
      <c r="B410" s="19"/>
      <c r="C410" s="19"/>
      <c r="D410" s="19"/>
      <c r="E410" s="19">
        <v>3604.67</v>
      </c>
      <c r="F410" s="19"/>
      <c r="G410" s="19"/>
      <c r="H410" s="19"/>
      <c r="I410" s="19"/>
      <c r="J410" s="19"/>
      <c r="K410" s="19"/>
      <c r="L410" s="19"/>
      <c r="M410" s="19">
        <v>3604.67</v>
      </c>
    </row>
    <row r="411" spans="1:13" s="20" customFormat="1" x14ac:dyDescent="0.25">
      <c r="A411" s="21" t="s">
        <v>773</v>
      </c>
      <c r="B411" s="19">
        <v>89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>
        <v>89</v>
      </c>
    </row>
    <row r="412" spans="1:13" s="20" customFormat="1" x14ac:dyDescent="0.25">
      <c r="A412" s="21" t="s">
        <v>2860</v>
      </c>
      <c r="B412" s="19"/>
      <c r="C412" s="19">
        <v>8621.25</v>
      </c>
      <c r="D412" s="19"/>
      <c r="E412" s="19"/>
      <c r="F412" s="19"/>
      <c r="G412" s="19"/>
      <c r="H412" s="19"/>
      <c r="I412" s="19"/>
      <c r="J412" s="19"/>
      <c r="K412" s="19"/>
      <c r="L412" s="19"/>
      <c r="M412" s="19">
        <v>8621.25</v>
      </c>
    </row>
    <row r="413" spans="1:13" s="20" customFormat="1" x14ac:dyDescent="0.25">
      <c r="A413" s="21" t="s">
        <v>803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2843.5</v>
      </c>
      <c r="M413" s="19">
        <v>2843.5</v>
      </c>
    </row>
    <row r="414" spans="1:13" s="20" customFormat="1" x14ac:dyDescent="0.25">
      <c r="A414" s="21" t="s">
        <v>2582</v>
      </c>
      <c r="B414" s="19"/>
      <c r="C414" s="19"/>
      <c r="D414" s="19"/>
      <c r="E414" s="19"/>
      <c r="F414" s="19"/>
      <c r="G414" s="19"/>
      <c r="H414" s="19"/>
      <c r="I414" s="19"/>
      <c r="J414" s="19">
        <v>5311.9</v>
      </c>
      <c r="K414" s="19"/>
      <c r="L414" s="19"/>
      <c r="M414" s="19">
        <v>5311.9</v>
      </c>
    </row>
    <row r="415" spans="1:13" s="20" customFormat="1" x14ac:dyDescent="0.25">
      <c r="A415" s="21" t="s">
        <v>95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>
        <v>2500</v>
      </c>
      <c r="M415" s="19">
        <v>2500</v>
      </c>
    </row>
    <row r="416" spans="1:13" s="20" customFormat="1" x14ac:dyDescent="0.25">
      <c r="A416" s="21" t="s">
        <v>119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3000</v>
      </c>
      <c r="M416" s="19">
        <v>3000</v>
      </c>
    </row>
    <row r="417" spans="1:13" s="20" customFormat="1" x14ac:dyDescent="0.25">
      <c r="A417" s="21" t="s">
        <v>481</v>
      </c>
      <c r="B417" s="19"/>
      <c r="C417" s="19"/>
      <c r="D417" s="19"/>
      <c r="E417" s="19"/>
      <c r="F417" s="19"/>
      <c r="G417" s="19">
        <v>340.38</v>
      </c>
      <c r="H417" s="19"/>
      <c r="I417" s="19"/>
      <c r="J417" s="19"/>
      <c r="K417" s="19"/>
      <c r="L417" s="19"/>
      <c r="M417" s="19">
        <v>340.38</v>
      </c>
    </row>
    <row r="418" spans="1:13" s="20" customFormat="1" x14ac:dyDescent="0.25">
      <c r="A418" s="21" t="s">
        <v>206</v>
      </c>
      <c r="B418" s="19"/>
      <c r="C418" s="19"/>
      <c r="D418" s="19"/>
      <c r="E418" s="19"/>
      <c r="F418" s="19"/>
      <c r="G418" s="19"/>
      <c r="H418" s="19">
        <v>1000</v>
      </c>
      <c r="I418" s="19"/>
      <c r="J418" s="19"/>
      <c r="K418" s="19"/>
      <c r="L418" s="19">
        <v>500</v>
      </c>
      <c r="M418" s="19">
        <v>1500</v>
      </c>
    </row>
    <row r="419" spans="1:13" s="20" customFormat="1" x14ac:dyDescent="0.25">
      <c r="A419" s="21" t="s">
        <v>1012</v>
      </c>
      <c r="B419" s="19"/>
      <c r="C419" s="19"/>
      <c r="D419" s="19">
        <v>495</v>
      </c>
      <c r="E419" s="19"/>
      <c r="F419" s="19"/>
      <c r="G419" s="19"/>
      <c r="H419" s="19"/>
      <c r="I419" s="19"/>
      <c r="J419" s="19"/>
      <c r="K419" s="19"/>
      <c r="L419" s="19"/>
      <c r="M419" s="19">
        <v>495</v>
      </c>
    </row>
    <row r="420" spans="1:13" s="20" customFormat="1" x14ac:dyDescent="0.25">
      <c r="A420" s="21" t="s">
        <v>595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580.79999999999995</v>
      </c>
      <c r="M420" s="19">
        <v>580.79999999999995</v>
      </c>
    </row>
    <row r="421" spans="1:13" s="20" customFormat="1" x14ac:dyDescent="0.25">
      <c r="A421" s="21" t="s">
        <v>500</v>
      </c>
      <c r="B421" s="19"/>
      <c r="C421" s="19"/>
      <c r="D421" s="19"/>
      <c r="E421" s="19">
        <v>13939.2</v>
      </c>
      <c r="F421" s="19"/>
      <c r="G421" s="19"/>
      <c r="H421" s="19"/>
      <c r="I421" s="19"/>
      <c r="J421" s="19"/>
      <c r="K421" s="19"/>
      <c r="L421" s="19"/>
      <c r="M421" s="19">
        <v>13939.2</v>
      </c>
    </row>
    <row r="422" spans="1:13" s="20" customFormat="1" x14ac:dyDescent="0.25">
      <c r="A422" s="21" t="s">
        <v>2563</v>
      </c>
      <c r="B422" s="19"/>
      <c r="C422" s="19"/>
      <c r="D422" s="19"/>
      <c r="E422" s="19">
        <v>1185.5999999999999</v>
      </c>
      <c r="F422" s="19"/>
      <c r="G422" s="19"/>
      <c r="H422" s="19"/>
      <c r="I422" s="19"/>
      <c r="J422" s="19"/>
      <c r="K422" s="19"/>
      <c r="L422" s="19"/>
      <c r="M422" s="19">
        <v>1185.5999999999999</v>
      </c>
    </row>
    <row r="423" spans="1:13" s="20" customFormat="1" x14ac:dyDescent="0.25">
      <c r="A423" s="21" t="s">
        <v>2554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>
        <v>248.05</v>
      </c>
      <c r="M423" s="19">
        <v>248.05</v>
      </c>
    </row>
    <row r="424" spans="1:13" s="20" customFormat="1" x14ac:dyDescent="0.25">
      <c r="A424" s="21" t="s">
        <v>1006</v>
      </c>
      <c r="B424" s="19"/>
      <c r="C424" s="19"/>
      <c r="D424" s="19"/>
      <c r="E424" s="19"/>
      <c r="F424" s="19"/>
      <c r="G424" s="19">
        <v>1324.95</v>
      </c>
      <c r="H424" s="19"/>
      <c r="I424" s="19"/>
      <c r="J424" s="19"/>
      <c r="K424" s="19"/>
      <c r="L424" s="19"/>
      <c r="M424" s="19">
        <v>1324.95</v>
      </c>
    </row>
    <row r="425" spans="1:13" s="20" customFormat="1" x14ac:dyDescent="0.25">
      <c r="A425" s="21" t="s">
        <v>821</v>
      </c>
      <c r="B425" s="19"/>
      <c r="C425" s="19"/>
      <c r="D425" s="19"/>
      <c r="E425" s="19">
        <v>1568</v>
      </c>
      <c r="F425" s="19"/>
      <c r="G425" s="19"/>
      <c r="H425" s="19">
        <v>532.4</v>
      </c>
      <c r="I425" s="19"/>
      <c r="J425" s="19"/>
      <c r="K425" s="19"/>
      <c r="L425" s="19"/>
      <c r="M425" s="19">
        <v>2100.4</v>
      </c>
    </row>
    <row r="426" spans="1:13" s="20" customFormat="1" x14ac:dyDescent="0.25">
      <c r="A426" s="21" t="s">
        <v>844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0.01</v>
      </c>
      <c r="M426" s="19">
        <v>0.01</v>
      </c>
    </row>
    <row r="427" spans="1:13" s="20" customFormat="1" x14ac:dyDescent="0.25">
      <c r="A427" s="21" t="s">
        <v>2543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3623.95</v>
      </c>
      <c r="M427" s="19">
        <v>3623.95</v>
      </c>
    </row>
    <row r="428" spans="1:13" s="20" customFormat="1" x14ac:dyDescent="0.25">
      <c r="A428" s="21" t="s">
        <v>849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>
        <v>349</v>
      </c>
      <c r="L428" s="19"/>
      <c r="M428" s="19">
        <v>349</v>
      </c>
    </row>
    <row r="429" spans="1:13" s="20" customFormat="1" x14ac:dyDescent="0.25">
      <c r="A429" s="21" t="s">
        <v>468</v>
      </c>
      <c r="B429" s="19"/>
      <c r="C429" s="19"/>
      <c r="D429" s="19"/>
      <c r="E429" s="19"/>
      <c r="F429" s="19">
        <v>818.4</v>
      </c>
      <c r="G429" s="19"/>
      <c r="H429" s="19"/>
      <c r="I429" s="19"/>
      <c r="J429" s="19"/>
      <c r="K429" s="19"/>
      <c r="L429" s="19"/>
      <c r="M429" s="19">
        <v>818.4</v>
      </c>
    </row>
    <row r="430" spans="1:13" s="20" customFormat="1" x14ac:dyDescent="0.25">
      <c r="A430" s="21" t="s">
        <v>217</v>
      </c>
      <c r="B430" s="19">
        <v>4844.84</v>
      </c>
      <c r="C430" s="19"/>
      <c r="D430" s="19"/>
      <c r="E430" s="19"/>
      <c r="F430" s="19"/>
      <c r="G430" s="19">
        <v>200</v>
      </c>
      <c r="H430" s="19"/>
      <c r="I430" s="19"/>
      <c r="J430" s="19"/>
      <c r="K430" s="19">
        <v>505.78</v>
      </c>
      <c r="L430" s="19">
        <v>2801.4700000000003</v>
      </c>
      <c r="M430" s="19">
        <v>8352.09</v>
      </c>
    </row>
    <row r="431" spans="1:13" s="20" customFormat="1" x14ac:dyDescent="0.25">
      <c r="A431" s="21" t="s">
        <v>584</v>
      </c>
      <c r="B431" s="19"/>
      <c r="C431" s="19"/>
      <c r="D431" s="19"/>
      <c r="E431" s="19"/>
      <c r="F431" s="19"/>
      <c r="G431" s="19"/>
      <c r="H431" s="19">
        <v>7260</v>
      </c>
      <c r="I431" s="19"/>
      <c r="J431" s="19"/>
      <c r="K431" s="19"/>
      <c r="L431" s="19"/>
      <c r="M431" s="19">
        <v>7260</v>
      </c>
    </row>
    <row r="432" spans="1:13" s="20" customFormat="1" x14ac:dyDescent="0.25">
      <c r="A432" s="21" t="s">
        <v>1152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>
        <v>1197.9000000000001</v>
      </c>
      <c r="L432" s="19"/>
      <c r="M432" s="19">
        <v>1197.9000000000001</v>
      </c>
    </row>
    <row r="433" spans="1:13" s="20" customFormat="1" x14ac:dyDescent="0.25">
      <c r="A433" s="21" t="s">
        <v>885</v>
      </c>
      <c r="B433" s="19">
        <v>6479.55</v>
      </c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>
        <v>6479.55</v>
      </c>
    </row>
    <row r="434" spans="1:13" s="20" customFormat="1" x14ac:dyDescent="0.25">
      <c r="A434" s="21" t="s">
        <v>475</v>
      </c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>
        <v>3000</v>
      </c>
      <c r="M434" s="19">
        <v>3000</v>
      </c>
    </row>
    <row r="435" spans="1:13" s="20" customFormat="1" ht="25.5" x14ac:dyDescent="0.25">
      <c r="A435" s="21" t="s">
        <v>854</v>
      </c>
      <c r="B435" s="19"/>
      <c r="C435" s="19"/>
      <c r="D435" s="19"/>
      <c r="E435" s="19"/>
      <c r="F435" s="19"/>
      <c r="G435" s="19"/>
      <c r="H435" s="19">
        <v>1503.37</v>
      </c>
      <c r="I435" s="19"/>
      <c r="J435" s="19"/>
      <c r="K435" s="19"/>
      <c r="L435" s="19"/>
      <c r="M435" s="19">
        <v>1503.37</v>
      </c>
    </row>
    <row r="436" spans="1:13" s="20" customFormat="1" x14ac:dyDescent="0.25">
      <c r="A436" s="21" t="s">
        <v>2295</v>
      </c>
      <c r="B436" s="19"/>
      <c r="C436" s="19">
        <v>191.99</v>
      </c>
      <c r="D436" s="19"/>
      <c r="E436" s="19"/>
      <c r="F436" s="19"/>
      <c r="G436" s="19"/>
      <c r="H436" s="19"/>
      <c r="I436" s="19"/>
      <c r="J436" s="19"/>
      <c r="K436" s="19"/>
      <c r="L436" s="19"/>
      <c r="M436" s="19">
        <v>191.99</v>
      </c>
    </row>
    <row r="437" spans="1:13" s="20" customFormat="1" x14ac:dyDescent="0.25">
      <c r="A437" s="21" t="s">
        <v>881</v>
      </c>
      <c r="B437" s="19"/>
      <c r="C437" s="19"/>
      <c r="D437" s="19"/>
      <c r="E437" s="19"/>
      <c r="F437" s="19">
        <v>5419.84</v>
      </c>
      <c r="G437" s="19"/>
      <c r="H437" s="19">
        <v>7199.5</v>
      </c>
      <c r="I437" s="19"/>
      <c r="J437" s="19"/>
      <c r="K437" s="19"/>
      <c r="L437" s="19"/>
      <c r="M437" s="19">
        <v>12619.34</v>
      </c>
    </row>
    <row r="438" spans="1:13" s="20" customFormat="1" x14ac:dyDescent="0.25">
      <c r="A438" s="21" t="s">
        <v>245</v>
      </c>
      <c r="B438" s="19"/>
      <c r="C438" s="19"/>
      <c r="D438" s="19"/>
      <c r="E438" s="19"/>
      <c r="F438" s="19"/>
      <c r="G438" s="19">
        <v>300</v>
      </c>
      <c r="H438" s="19"/>
      <c r="I438" s="19"/>
      <c r="J438" s="19"/>
      <c r="K438" s="19"/>
      <c r="L438" s="19"/>
      <c r="M438" s="19">
        <v>300</v>
      </c>
    </row>
    <row r="439" spans="1:13" s="20" customFormat="1" x14ac:dyDescent="0.25">
      <c r="A439" s="21" t="s">
        <v>201</v>
      </c>
      <c r="B439" s="19"/>
      <c r="C439" s="19"/>
      <c r="D439" s="19"/>
      <c r="E439" s="19"/>
      <c r="F439" s="19"/>
      <c r="G439" s="19">
        <v>758.72</v>
      </c>
      <c r="H439" s="19"/>
      <c r="I439" s="19"/>
      <c r="J439" s="19"/>
      <c r="K439" s="19"/>
      <c r="L439" s="19"/>
      <c r="M439" s="19">
        <v>758.72</v>
      </c>
    </row>
    <row r="440" spans="1:13" s="20" customFormat="1" x14ac:dyDescent="0.25">
      <c r="A440" s="21" t="s">
        <v>455</v>
      </c>
      <c r="B440" s="19">
        <v>125154.67</v>
      </c>
      <c r="C440" s="19">
        <v>146340.32000000004</v>
      </c>
      <c r="D440" s="19">
        <v>179008.69000000006</v>
      </c>
      <c r="E440" s="19">
        <v>163281.46000000002</v>
      </c>
      <c r="F440" s="19">
        <v>218686.84999999989</v>
      </c>
      <c r="G440" s="19">
        <v>301759.24999999994</v>
      </c>
      <c r="H440" s="19">
        <v>125509.51</v>
      </c>
      <c r="I440" s="19">
        <v>100146.39</v>
      </c>
      <c r="J440" s="19">
        <v>49082.19000000001</v>
      </c>
      <c r="K440" s="19">
        <v>179383.79</v>
      </c>
      <c r="L440" s="19">
        <v>340963.85</v>
      </c>
      <c r="M440" s="19">
        <v>1929316.97</v>
      </c>
    </row>
    <row r="441" spans="1:13" s="20" customFormat="1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s="20" customFormat="1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s="20" customFormat="1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s="20" customFormat="1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s="20" customFormat="1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s="20" customFormat="1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s="20" customFormat="1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s="20" customFormat="1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s="20" customFormat="1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s="20" customFormat="1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s="20" customFormat="1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s="20" customFormat="1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s="20" customFormat="1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s="20" customFormat="1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s="20" customFormat="1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s="20" customFormat="1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s="20" customFormat="1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s="20" customFormat="1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s="20" customFormat="1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s="20" customFormat="1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s="20" customFormat="1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s="20" customFormat="1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s="20" customFormat="1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s="20" customFormat="1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s="20" customFormat="1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s="20" customFormat="1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s="20" customFormat="1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s="20" customFormat="1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s="20" customFormat="1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s="20" customFormat="1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s="20" customFormat="1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s="20" customFormat="1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s="20" customFormat="1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s="20" customFormat="1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s="20" customFormat="1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s="20" customFormat="1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s="20" customFormat="1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s="20" customFormat="1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s="20" customFormat="1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s="20" customFormat="1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s="20" customFormat="1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s="20" customFormat="1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s="20" customFormat="1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s="20" customFormat="1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s="20" customFormat="1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s="20" customFormat="1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s="20" customFormat="1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s="20" customFormat="1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s="20" customFormat="1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s="20" customFormat="1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s="20" customFormat="1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s="20" customFormat="1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s="20" customFormat="1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s="20" customFormat="1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s="20" customFormat="1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s="20" customFormat="1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s="20" customFormat="1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s="20" customFormat="1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s="20" customFormat="1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s="20" customFormat="1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s="20" customFormat="1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s="20" customFormat="1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s="20" customFormat="1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s="20" customFormat="1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s="20" customFormat="1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s="20" customFormat="1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s="20" customFormat="1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s="20" customFormat="1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s="20" customFormat="1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s="20" customFormat="1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s="20" customFormat="1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s="20" customFormat="1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s="20" customFormat="1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s="20" customFormat="1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s="20" customFormat="1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s="20" customFormat="1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s="20" customFormat="1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s="20" customFormat="1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s="20" customFormat="1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s="20" customFormat="1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s="20" customFormat="1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s="20" customFormat="1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s="20" customFormat="1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s="20" customFormat="1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s="20" customFormat="1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s="20" customFormat="1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s="20" customFormat="1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s="20" customFormat="1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s="20" customFormat="1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s="20" customFormat="1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s="20" customFormat="1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s="20" customFormat="1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s="20" customFormat="1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s="20" customFormat="1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20" customFormat="1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20" customFormat="1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20" customFormat="1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s="20" customFormat="1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s="20" customFormat="1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s="20" customFormat="1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s="20" customFormat="1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s="20" customFormat="1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s="20" customFormat="1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s="20" customFormat="1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s="20" customFormat="1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s="20" customFormat="1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s="20" customFormat="1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s="20" customFormat="1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s="20" customFormat="1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s="20" customFormat="1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s="20" customFormat="1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s="20" customFormat="1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s="20" customFormat="1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s="20" customFormat="1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s="20" customFormat="1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s="20" customFormat="1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s="20" customFormat="1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s="20" customFormat="1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s="20" customFormat="1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s="20" customFormat="1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s="20" customFormat="1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s="20" customFormat="1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s="20" customFormat="1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s="20" customFormat="1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s="20" customFormat="1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s="20" customFormat="1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s="20" customFormat="1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s="20" customFormat="1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s="20" customFormat="1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s="20" customFormat="1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s="20" customFormat="1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s="20" customFormat="1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s="20" customFormat="1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s="20" customFormat="1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s="20" customFormat="1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s="20" customFormat="1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s="20" customFormat="1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s="20" customFormat="1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s="20" customFormat="1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s="20" customFormat="1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s="20" customFormat="1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s="20" customFormat="1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20" customFormat="1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20" customFormat="1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20" customFormat="1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20" customFormat="1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20" customFormat="1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20" customFormat="1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20" customFormat="1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20" customFormat="1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20" customFormat="1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20" customFormat="1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20" customFormat="1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20" customFormat="1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20" customFormat="1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20" customFormat="1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20" customFormat="1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20" customFormat="1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20" customFormat="1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20" customFormat="1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20" customFormat="1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20" customFormat="1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20" customFormat="1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20" customFormat="1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20" customFormat="1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20" customFormat="1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20" customFormat="1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20" customFormat="1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20" customFormat="1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20" customFormat="1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20" customFormat="1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20" customFormat="1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20" customFormat="1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20" customFormat="1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20" customFormat="1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20" customFormat="1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20" customFormat="1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20" customFormat="1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3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3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8" fitToHeight="0" orientation="landscape" r:id="rId2"/>
  <headerFooter>
    <oddHeader>&amp;C&amp;"Arial Narrow,Negrita"&amp;14&amp;URELACION DE CONTRATOS MENORES AYUNTAMIENTO DE VALLADOLID POR AREAS - PRIMER TRIMESTRE 2022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5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3501</v>
      </c>
      <c r="B1" s="41" t="s">
        <v>267</v>
      </c>
      <c r="C1" s="41" t="s">
        <v>624</v>
      </c>
      <c r="D1" s="41" t="s">
        <v>625</v>
      </c>
      <c r="E1" s="41" t="s">
        <v>626</v>
      </c>
      <c r="F1" s="41" t="s">
        <v>604</v>
      </c>
      <c r="G1" s="41" t="s">
        <v>627</v>
      </c>
      <c r="H1" s="41" t="s">
        <v>628</v>
      </c>
      <c r="I1" s="41" t="s">
        <v>629</v>
      </c>
      <c r="J1" s="41" t="s">
        <v>275</v>
      </c>
      <c r="K1" s="41" t="s">
        <v>630</v>
      </c>
      <c r="L1" s="41" t="s">
        <v>602</v>
      </c>
      <c r="M1" s="41" t="s">
        <v>455</v>
      </c>
    </row>
    <row r="2" spans="1:13" x14ac:dyDescent="0.25">
      <c r="A2" s="21" t="s">
        <v>589</v>
      </c>
      <c r="B2" s="19"/>
      <c r="C2" s="19"/>
      <c r="D2" s="19"/>
      <c r="E2" s="19"/>
      <c r="F2" s="19"/>
      <c r="G2" s="19"/>
      <c r="H2" s="19"/>
      <c r="I2" s="19"/>
      <c r="J2" s="19"/>
      <c r="K2" s="19">
        <v>11.86</v>
      </c>
      <c r="L2" s="19"/>
      <c r="M2" s="23">
        <f>SUM(Tabla2[[#This Row],[01. Alcaldía]:[11. Salud pública y seguridad ciudadana]])</f>
        <v>11.86</v>
      </c>
    </row>
    <row r="3" spans="1:13" x14ac:dyDescent="0.25">
      <c r="A3" s="21" t="s">
        <v>634</v>
      </c>
      <c r="B3" s="19"/>
      <c r="C3" s="19"/>
      <c r="D3" s="19">
        <v>400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400</v>
      </c>
    </row>
    <row r="4" spans="1:13" x14ac:dyDescent="0.25">
      <c r="A4" s="21" t="s">
        <v>236</v>
      </c>
      <c r="B4" s="19">
        <v>2065.63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2065.63</v>
      </c>
    </row>
    <row r="5" spans="1:13" x14ac:dyDescent="0.25">
      <c r="A5" s="21" t="s">
        <v>1589</v>
      </c>
      <c r="B5" s="19"/>
      <c r="C5" s="19"/>
      <c r="D5" s="19"/>
      <c r="E5" s="19"/>
      <c r="F5" s="19"/>
      <c r="G5" s="19"/>
      <c r="H5" s="19"/>
      <c r="I5" s="19"/>
      <c r="J5" s="19"/>
      <c r="K5" s="19">
        <v>6000</v>
      </c>
      <c r="L5" s="19"/>
      <c r="M5" s="23">
        <f>SUM(Tabla2[[#This Row],[01. Alcaldía]:[11. Salud pública y seguridad ciudadana]])</f>
        <v>6000</v>
      </c>
    </row>
    <row r="6" spans="1:13" x14ac:dyDescent="0.25">
      <c r="A6" s="21" t="s">
        <v>1877</v>
      </c>
      <c r="B6" s="19"/>
      <c r="C6" s="19"/>
      <c r="D6" s="19"/>
      <c r="E6" s="19"/>
      <c r="F6" s="19"/>
      <c r="G6" s="19"/>
      <c r="H6" s="19"/>
      <c r="I6" s="19"/>
      <c r="J6" s="19"/>
      <c r="K6" s="19">
        <v>14400</v>
      </c>
      <c r="L6" s="19"/>
      <c r="M6" s="23">
        <f>SUM(Tabla2[[#This Row],[01. Alcaldía]:[11. Salud pública y seguridad ciudadana]])</f>
        <v>14400</v>
      </c>
    </row>
    <row r="7" spans="1:13" x14ac:dyDescent="0.25">
      <c r="A7" s="21" t="s">
        <v>493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740</v>
      </c>
      <c r="M7" s="23">
        <f>SUM(Tabla2[[#This Row],[01. Alcaldía]:[11. Salud pública y seguridad ciudadana]])</f>
        <v>740</v>
      </c>
    </row>
    <row r="8" spans="1:13" x14ac:dyDescent="0.25">
      <c r="A8" s="21" t="s">
        <v>54</v>
      </c>
      <c r="B8" s="19">
        <v>9275.67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3">
        <f>SUM(Tabla2[[#This Row],[01. Alcaldía]:[11. Salud pública y seguridad ciudadana]])</f>
        <v>9275.67</v>
      </c>
    </row>
    <row r="9" spans="1:13" x14ac:dyDescent="0.25">
      <c r="A9" s="21" t="s">
        <v>53</v>
      </c>
      <c r="B9" s="19">
        <v>10950.84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3">
        <f>SUM(Tabla2[[#This Row],[01. Alcaldía]:[11. Salud pública y seguridad ciudadana]])</f>
        <v>10950.84</v>
      </c>
    </row>
    <row r="10" spans="1:13" x14ac:dyDescent="0.25">
      <c r="A10" s="21" t="s">
        <v>82</v>
      </c>
      <c r="B10" s="19"/>
      <c r="C10" s="19"/>
      <c r="D10" s="19"/>
      <c r="E10" s="19"/>
      <c r="F10" s="19">
        <v>599.61999999999989</v>
      </c>
      <c r="G10" s="19"/>
      <c r="H10" s="19"/>
      <c r="I10" s="19"/>
      <c r="J10" s="19"/>
      <c r="K10" s="19"/>
      <c r="L10" s="19"/>
      <c r="M10" s="23">
        <f>SUM(Tabla2[[#This Row],[01. Alcaldía]:[11. Salud pública y seguridad ciudadana]])</f>
        <v>599.61999999999989</v>
      </c>
    </row>
    <row r="11" spans="1:13" x14ac:dyDescent="0.25">
      <c r="A11" s="21" t="s">
        <v>1198</v>
      </c>
      <c r="B11" s="19"/>
      <c r="C11" s="19"/>
      <c r="D11" s="19"/>
      <c r="E11" s="19"/>
      <c r="F11" s="19"/>
      <c r="G11" s="19"/>
      <c r="H11" s="19">
        <v>2884.76</v>
      </c>
      <c r="I11" s="19"/>
      <c r="J11" s="19"/>
      <c r="K11" s="19"/>
      <c r="L11" s="19"/>
      <c r="M11" s="23">
        <f>SUM(Tabla2[[#This Row],[01. Alcaldía]:[11. Salud pública y seguridad ciudadana]])</f>
        <v>2884.76</v>
      </c>
    </row>
    <row r="12" spans="1:13" x14ac:dyDescent="0.25">
      <c r="A12" s="21" t="s">
        <v>1199</v>
      </c>
      <c r="B12" s="19"/>
      <c r="C12" s="19"/>
      <c r="D12" s="19"/>
      <c r="E12" s="19"/>
      <c r="F12" s="19"/>
      <c r="G12" s="19">
        <v>726</v>
      </c>
      <c r="H12" s="19"/>
      <c r="I12" s="19"/>
      <c r="J12" s="19"/>
      <c r="K12" s="19"/>
      <c r="L12" s="19"/>
      <c r="M12" s="23">
        <f>SUM(Tabla2[[#This Row],[01. Alcaldía]:[11. Salud pública y seguridad ciudadana]])</f>
        <v>726</v>
      </c>
    </row>
    <row r="13" spans="1:13" x14ac:dyDescent="0.25">
      <c r="A13" s="21" t="s">
        <v>57</v>
      </c>
      <c r="B13" s="19"/>
      <c r="C13" s="19"/>
      <c r="D13" s="19">
        <v>880</v>
      </c>
      <c r="E13" s="19"/>
      <c r="F13" s="19"/>
      <c r="G13" s="19"/>
      <c r="H13" s="19"/>
      <c r="I13" s="19"/>
      <c r="J13" s="19"/>
      <c r="K13" s="19"/>
      <c r="L13" s="19"/>
      <c r="M13" s="23">
        <f>SUM(Tabla2[[#This Row],[01. Alcaldía]:[11. Salud pública y seguridad ciudadana]])</f>
        <v>880</v>
      </c>
    </row>
    <row r="14" spans="1:13" x14ac:dyDescent="0.25">
      <c r="A14" s="21" t="s">
        <v>1642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2000</v>
      </c>
      <c r="M14" s="23">
        <f>SUM(Tabla2[[#This Row],[01. Alcaldía]:[11. Salud pública y seguridad ciudadana]])</f>
        <v>2000</v>
      </c>
    </row>
    <row r="15" spans="1:13" x14ac:dyDescent="0.25">
      <c r="A15" s="21" t="s">
        <v>1660</v>
      </c>
      <c r="B15" s="19"/>
      <c r="C15" s="19"/>
      <c r="D15" s="19"/>
      <c r="E15" s="19"/>
      <c r="F15" s="19">
        <v>15609</v>
      </c>
      <c r="G15" s="19"/>
      <c r="H15" s="19"/>
      <c r="I15" s="19"/>
      <c r="J15" s="19"/>
      <c r="K15" s="19"/>
      <c r="L15" s="19"/>
      <c r="M15" s="23">
        <f>SUM(Tabla2[[#This Row],[01. Alcaldía]:[11. Salud pública y seguridad ciudadana]])</f>
        <v>15609</v>
      </c>
    </row>
    <row r="16" spans="1:13" x14ac:dyDescent="0.25">
      <c r="A16" s="21" t="s">
        <v>71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7247.9</v>
      </c>
      <c r="M16" s="23">
        <f>SUM(Tabla2[[#This Row],[01. Alcaldía]:[11. Salud pública y seguridad ciudadana]])</f>
        <v>7247.9</v>
      </c>
    </row>
    <row r="17" spans="1:13" x14ac:dyDescent="0.25">
      <c r="A17" s="21" t="s">
        <v>651</v>
      </c>
      <c r="B17" s="19"/>
      <c r="C17" s="19">
        <v>15367</v>
      </c>
      <c r="D17" s="19"/>
      <c r="E17" s="19"/>
      <c r="F17" s="19"/>
      <c r="G17" s="19"/>
      <c r="H17" s="19"/>
      <c r="I17" s="19"/>
      <c r="J17" s="19"/>
      <c r="K17" s="19"/>
      <c r="L17" s="19"/>
      <c r="M17" s="23">
        <f>SUM(Tabla2[[#This Row],[01. Alcaldía]:[11. Salud pública y seguridad ciudadana]])</f>
        <v>15367</v>
      </c>
    </row>
    <row r="18" spans="1:13" x14ac:dyDescent="0.25">
      <c r="A18" s="21" t="s">
        <v>1052</v>
      </c>
      <c r="B18" s="19"/>
      <c r="C18" s="19"/>
      <c r="D18" s="19">
        <v>598.95000000000005</v>
      </c>
      <c r="E18" s="19"/>
      <c r="F18" s="19"/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598.95000000000005</v>
      </c>
    </row>
    <row r="19" spans="1:13" x14ac:dyDescent="0.25">
      <c r="A19" s="21" t="s">
        <v>191</v>
      </c>
      <c r="B19" s="19"/>
      <c r="C19" s="19"/>
      <c r="D19" s="19"/>
      <c r="E19" s="19"/>
      <c r="F19" s="19"/>
      <c r="G19" s="19">
        <v>9629.23</v>
      </c>
      <c r="H19" s="19"/>
      <c r="I19" s="19"/>
      <c r="J19" s="19"/>
      <c r="K19" s="19"/>
      <c r="L19" s="19"/>
      <c r="M19" s="23">
        <f>SUM(Tabla2[[#This Row],[01. Alcaldía]:[11. Salud pública y seguridad ciudadana]])</f>
        <v>9629.23</v>
      </c>
    </row>
    <row r="20" spans="1:13" x14ac:dyDescent="0.25">
      <c r="A20" s="21" t="s">
        <v>59</v>
      </c>
      <c r="B20" s="19"/>
      <c r="C20" s="19"/>
      <c r="D20" s="19"/>
      <c r="E20" s="19"/>
      <c r="F20" s="19"/>
      <c r="G20" s="19">
        <v>5600</v>
      </c>
      <c r="H20" s="19"/>
      <c r="I20" s="19"/>
      <c r="J20" s="19"/>
      <c r="K20" s="19"/>
      <c r="L20" s="19"/>
      <c r="M20" s="23">
        <f>SUM(Tabla2[[#This Row],[01. Alcaldía]:[11. Salud pública y seguridad ciudadana]])</f>
        <v>5600</v>
      </c>
    </row>
    <row r="21" spans="1:13" x14ac:dyDescent="0.25">
      <c r="A21" s="21" t="s">
        <v>1705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18149</v>
      </c>
      <c r="M21" s="23">
        <f>SUM(Tabla2[[#This Row],[01. Alcaldía]:[11. Salud pública y seguridad ciudadana]])</f>
        <v>18149</v>
      </c>
    </row>
    <row r="22" spans="1:13" x14ac:dyDescent="0.25">
      <c r="A22" s="21" t="s">
        <v>957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6267.8</v>
      </c>
      <c r="M22" s="23">
        <f>SUM(Tabla2[[#This Row],[01. Alcaldía]:[11. Salud pública y seguridad ciudadana]])</f>
        <v>6267.8</v>
      </c>
    </row>
    <row r="23" spans="1:13" x14ac:dyDescent="0.25">
      <c r="A23" s="21" t="s">
        <v>1723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7018</v>
      </c>
      <c r="M23" s="23">
        <f>SUM(Tabla2[[#This Row],[01. Alcaldía]:[11. Salud pública y seguridad ciudadana]])</f>
        <v>7018</v>
      </c>
    </row>
    <row r="24" spans="1:13" x14ac:dyDescent="0.25">
      <c r="A24" s="21" t="s">
        <v>1732</v>
      </c>
      <c r="B24" s="19"/>
      <c r="C24" s="19"/>
      <c r="D24" s="19"/>
      <c r="E24" s="19"/>
      <c r="F24" s="19"/>
      <c r="G24" s="19">
        <v>700</v>
      </c>
      <c r="H24" s="19"/>
      <c r="I24" s="19"/>
      <c r="J24" s="19"/>
      <c r="K24" s="19"/>
      <c r="L24" s="19"/>
      <c r="M24" s="23">
        <f>SUM(Tabla2[[#This Row],[01. Alcaldía]:[11. Salud pública y seguridad ciudadana]])</f>
        <v>700</v>
      </c>
    </row>
    <row r="25" spans="1:13" x14ac:dyDescent="0.25">
      <c r="A25" s="21" t="s">
        <v>66</v>
      </c>
      <c r="B25" s="19"/>
      <c r="C25" s="19"/>
      <c r="D25" s="19"/>
      <c r="E25" s="19"/>
      <c r="F25" s="19"/>
      <c r="G25" s="19"/>
      <c r="H25" s="19">
        <v>2333.36</v>
      </c>
      <c r="I25" s="19"/>
      <c r="J25" s="19"/>
      <c r="K25" s="19"/>
      <c r="L25" s="19">
        <v>3518.64</v>
      </c>
      <c r="M25" s="23">
        <f>SUM(Tabla2[[#This Row],[01. Alcaldía]:[11. Salud pública y seguridad ciudadana]])</f>
        <v>5852</v>
      </c>
    </row>
    <row r="26" spans="1:13" x14ac:dyDescent="0.25">
      <c r="A26" s="21" t="s">
        <v>34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7670.51</v>
      </c>
      <c r="L26" s="19"/>
      <c r="M26" s="23">
        <f>SUM(Tabla2[[#This Row],[01. Alcaldía]:[11. Salud pública y seguridad ciudadana]])</f>
        <v>7670.51</v>
      </c>
    </row>
    <row r="27" spans="1:13" x14ac:dyDescent="0.25">
      <c r="A27" s="21" t="s">
        <v>1757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135</v>
      </c>
      <c r="M27" s="23">
        <f>SUM(Tabla2[[#This Row],[01. Alcaldía]:[11. Salud pública y seguridad ciudadana]])</f>
        <v>135</v>
      </c>
    </row>
    <row r="28" spans="1:13" x14ac:dyDescent="0.25">
      <c r="A28" s="21" t="s">
        <v>1005</v>
      </c>
      <c r="B28" s="19"/>
      <c r="C28" s="19">
        <v>1159</v>
      </c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1159</v>
      </c>
    </row>
    <row r="29" spans="1:13" x14ac:dyDescent="0.25">
      <c r="A29" s="21" t="s">
        <v>1304</v>
      </c>
      <c r="B29" s="19"/>
      <c r="C29" s="19"/>
      <c r="D29" s="19">
        <v>400</v>
      </c>
      <c r="E29" s="19"/>
      <c r="F29" s="19"/>
      <c r="G29" s="19"/>
      <c r="H29" s="19"/>
      <c r="I29" s="19"/>
      <c r="J29" s="19"/>
      <c r="K29" s="19"/>
      <c r="L29" s="19"/>
      <c r="M29" s="23">
        <f>SUM(Tabla2[[#This Row],[01. Alcaldía]:[11. Salud pública y seguridad ciudadana]])</f>
        <v>400</v>
      </c>
    </row>
    <row r="30" spans="1:13" x14ac:dyDescent="0.25">
      <c r="A30" s="21" t="s">
        <v>1015</v>
      </c>
      <c r="B30" s="19"/>
      <c r="C30" s="19"/>
      <c r="D30" s="19">
        <v>895</v>
      </c>
      <c r="E30" s="19"/>
      <c r="F30" s="19"/>
      <c r="G30" s="19"/>
      <c r="H30" s="19"/>
      <c r="I30" s="19"/>
      <c r="J30" s="19"/>
      <c r="K30" s="19"/>
      <c r="L30" s="19"/>
      <c r="M30" s="23">
        <f>SUM(Tabla2[[#This Row],[01. Alcaldía]:[11. Salud pública y seguridad ciudadana]])</f>
        <v>895</v>
      </c>
    </row>
    <row r="31" spans="1:13" x14ac:dyDescent="0.25">
      <c r="A31" s="21" t="s">
        <v>1766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490</v>
      </c>
      <c r="M31" s="23">
        <f>SUM(Tabla2[[#This Row],[01. Alcaldía]:[11. Salud pública y seguridad ciudadana]])</f>
        <v>490</v>
      </c>
    </row>
    <row r="32" spans="1:13" x14ac:dyDescent="0.25">
      <c r="A32" s="21" t="s">
        <v>1769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3602</v>
      </c>
      <c r="L32" s="19"/>
      <c r="M32" s="23">
        <f>SUM(Tabla2[[#This Row],[01. Alcaldía]:[11. Salud pública y seguridad ciudadana]])</f>
        <v>3602</v>
      </c>
    </row>
    <row r="33" spans="1:13" ht="25.5" x14ac:dyDescent="0.25">
      <c r="A33" s="21" t="s">
        <v>1058</v>
      </c>
      <c r="B33" s="19"/>
      <c r="C33" s="19"/>
      <c r="D33" s="19"/>
      <c r="E33" s="19"/>
      <c r="F33" s="19"/>
      <c r="G33" s="19">
        <v>2000</v>
      </c>
      <c r="H33" s="19"/>
      <c r="I33" s="19"/>
      <c r="J33" s="19"/>
      <c r="K33" s="19"/>
      <c r="L33" s="19"/>
      <c r="M33" s="23">
        <f>SUM(Tabla2[[#This Row],[01. Alcaldía]:[11. Salud pública y seguridad ciudadana]])</f>
        <v>2000</v>
      </c>
    </row>
    <row r="34" spans="1:13" x14ac:dyDescent="0.25">
      <c r="A34" s="21" t="s">
        <v>1021</v>
      </c>
      <c r="B34" s="19"/>
      <c r="C34" s="19"/>
      <c r="D34" s="19"/>
      <c r="E34" s="19"/>
      <c r="F34" s="19"/>
      <c r="G34" s="19">
        <v>380</v>
      </c>
      <c r="H34" s="19"/>
      <c r="I34" s="19"/>
      <c r="J34" s="19"/>
      <c r="K34" s="19"/>
      <c r="L34" s="19"/>
      <c r="M34" s="23">
        <f>SUM(Tabla2[[#This Row],[01. Alcaldía]:[11. Salud pública y seguridad ciudadana]])</f>
        <v>380</v>
      </c>
    </row>
    <row r="35" spans="1:13" x14ac:dyDescent="0.25">
      <c r="A35" s="21" t="s">
        <v>175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600</v>
      </c>
      <c r="M35" s="23">
        <f>SUM(Tabla2[[#This Row],[01. Alcaldía]:[11. Salud pública y seguridad ciudadana]])</f>
        <v>600</v>
      </c>
    </row>
    <row r="36" spans="1:13" x14ac:dyDescent="0.25">
      <c r="A36" s="21" t="s">
        <v>901</v>
      </c>
      <c r="B36" s="19"/>
      <c r="C36" s="19"/>
      <c r="D36" s="19"/>
      <c r="E36" s="19"/>
      <c r="F36" s="19"/>
      <c r="G36" s="19"/>
      <c r="H36" s="19"/>
      <c r="I36" s="19"/>
      <c r="J36" s="19">
        <v>2508.98</v>
      </c>
      <c r="K36" s="19"/>
      <c r="L36" s="19"/>
      <c r="M36" s="23">
        <f>SUM(Tabla2[[#This Row],[01. Alcaldía]:[11. Salud pública y seguridad ciudadana]])</f>
        <v>2508.98</v>
      </c>
    </row>
    <row r="37" spans="1:13" x14ac:dyDescent="0.25">
      <c r="A37" s="21" t="s">
        <v>260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2500</v>
      </c>
      <c r="M37" s="23">
        <f>SUM(Tabla2[[#This Row],[01. Alcaldía]:[11. Salud pública y seguridad ciudadana]])</f>
        <v>2500</v>
      </c>
    </row>
    <row r="38" spans="1:13" x14ac:dyDescent="0.25">
      <c r="A38" s="21" t="s">
        <v>261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>
        <v>5767</v>
      </c>
      <c r="M38" s="23">
        <f>SUM(Tabla2[[#This Row],[01. Alcaldía]:[11. Salud pública y seguridad ciudadana]])</f>
        <v>5767</v>
      </c>
    </row>
    <row r="39" spans="1:13" x14ac:dyDescent="0.25">
      <c r="A39" s="21" t="s">
        <v>258</v>
      </c>
      <c r="B39" s="19"/>
      <c r="C39" s="19"/>
      <c r="D39" s="19">
        <v>423.5</v>
      </c>
      <c r="E39" s="19"/>
      <c r="F39" s="19"/>
      <c r="G39" s="19">
        <v>750</v>
      </c>
      <c r="H39" s="19"/>
      <c r="I39" s="19"/>
      <c r="J39" s="19"/>
      <c r="K39" s="19"/>
      <c r="L39" s="19"/>
      <c r="M39" s="23">
        <f>SUM(Tabla2[[#This Row],[01. Alcaldía]:[11. Salud pública y seguridad ciudadana]])</f>
        <v>1173.5</v>
      </c>
    </row>
    <row r="40" spans="1:13" x14ac:dyDescent="0.25">
      <c r="A40" s="21" t="s">
        <v>591</v>
      </c>
      <c r="B40" s="19"/>
      <c r="C40" s="19"/>
      <c r="D40" s="19"/>
      <c r="E40" s="19"/>
      <c r="F40" s="19"/>
      <c r="G40" s="19"/>
      <c r="H40" s="19">
        <v>1000</v>
      </c>
      <c r="I40" s="19"/>
      <c r="J40" s="19"/>
      <c r="K40" s="19"/>
      <c r="L40" s="19"/>
      <c r="M40" s="23">
        <f>SUM(Tabla2[[#This Row],[01. Alcaldía]:[11. Salud pública y seguridad ciudadana]])</f>
        <v>1000</v>
      </c>
    </row>
    <row r="41" spans="1:13" x14ac:dyDescent="0.25">
      <c r="A41" s="21" t="s">
        <v>675</v>
      </c>
      <c r="B41" s="19"/>
      <c r="C41" s="19"/>
      <c r="D41" s="19"/>
      <c r="E41" s="19"/>
      <c r="F41" s="19"/>
      <c r="G41" s="19"/>
      <c r="H41" s="19"/>
      <c r="I41" s="19"/>
      <c r="J41" s="19"/>
      <c r="K41" s="19">
        <v>5445</v>
      </c>
      <c r="L41" s="19"/>
      <c r="M41" s="23">
        <f>SUM(Tabla2[[#This Row],[01. Alcaldía]:[11. Salud pública y seguridad ciudadana]])</f>
        <v>5445</v>
      </c>
    </row>
    <row r="42" spans="1:13" x14ac:dyDescent="0.25">
      <c r="A42" s="21" t="s">
        <v>231</v>
      </c>
      <c r="B42" s="19"/>
      <c r="C42" s="19"/>
      <c r="D42" s="19"/>
      <c r="E42" s="19"/>
      <c r="F42" s="19"/>
      <c r="G42" s="19"/>
      <c r="H42" s="19">
        <v>1500</v>
      </c>
      <c r="I42" s="19"/>
      <c r="J42" s="19"/>
      <c r="K42" s="19"/>
      <c r="L42" s="19"/>
      <c r="M42" s="23">
        <f>SUM(Tabla2[[#This Row],[01. Alcaldía]:[11. Salud pública y seguridad ciudadana]])</f>
        <v>1500</v>
      </c>
    </row>
    <row r="43" spans="1:13" x14ac:dyDescent="0.25">
      <c r="A43" s="21" t="s">
        <v>464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7260</v>
      </c>
      <c r="L43" s="19"/>
      <c r="M43" s="23">
        <f>SUM(Tabla2[[#This Row],[01. Alcaldía]:[11. Salud pública y seguridad ciudadana]])</f>
        <v>7260</v>
      </c>
    </row>
    <row r="44" spans="1:13" x14ac:dyDescent="0.25">
      <c r="A44" s="21" t="s">
        <v>900</v>
      </c>
      <c r="B44" s="19"/>
      <c r="C44" s="19"/>
      <c r="D44" s="19"/>
      <c r="E44" s="19"/>
      <c r="F44" s="19"/>
      <c r="G44" s="19">
        <v>2500</v>
      </c>
      <c r="H44" s="19"/>
      <c r="I44" s="19"/>
      <c r="J44" s="19"/>
      <c r="K44" s="19"/>
      <c r="L44" s="19"/>
      <c r="M44" s="23">
        <f>SUM(Tabla2[[#This Row],[01. Alcaldía]:[11. Salud pública y seguridad ciudadana]])</f>
        <v>2500</v>
      </c>
    </row>
    <row r="45" spans="1:13" x14ac:dyDescent="0.25">
      <c r="A45" s="21" t="s">
        <v>1080</v>
      </c>
      <c r="B45" s="19"/>
      <c r="C45" s="19"/>
      <c r="D45" s="19"/>
      <c r="E45" s="19"/>
      <c r="F45" s="19">
        <v>2325.62</v>
      </c>
      <c r="G45" s="19"/>
      <c r="H45" s="19"/>
      <c r="I45" s="19"/>
      <c r="J45" s="19"/>
      <c r="K45" s="19"/>
      <c r="L45" s="19"/>
      <c r="M45" s="23">
        <f>SUM(Tabla2[[#This Row],[01. Alcaldía]:[11. Salud pública y seguridad ciudadana]])</f>
        <v>2325.62</v>
      </c>
    </row>
    <row r="46" spans="1:13" x14ac:dyDescent="0.25">
      <c r="A46" s="21" t="s">
        <v>72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1500</v>
      </c>
      <c r="L46" s="19"/>
      <c r="M46" s="23">
        <f>SUM(Tabla2[[#This Row],[01. Alcaldía]:[11. Salud pública y seguridad ciudadana]])</f>
        <v>1500</v>
      </c>
    </row>
    <row r="47" spans="1:13" x14ac:dyDescent="0.25">
      <c r="A47" s="21" t="s">
        <v>1986</v>
      </c>
      <c r="B47" s="19"/>
      <c r="C47" s="19"/>
      <c r="D47" s="19"/>
      <c r="E47" s="19"/>
      <c r="F47" s="19">
        <v>1815</v>
      </c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1815</v>
      </c>
    </row>
    <row r="48" spans="1:13" x14ac:dyDescent="0.25">
      <c r="A48" s="21" t="s">
        <v>684</v>
      </c>
      <c r="B48" s="19"/>
      <c r="C48" s="19"/>
      <c r="D48" s="19">
        <v>108.9</v>
      </c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108.9</v>
      </c>
    </row>
    <row r="49" spans="1:13" x14ac:dyDescent="0.25">
      <c r="A49" s="21" t="s">
        <v>223</v>
      </c>
      <c r="B49" s="19"/>
      <c r="C49" s="19"/>
      <c r="D49" s="19"/>
      <c r="E49" s="19"/>
      <c r="F49" s="19"/>
      <c r="G49" s="19"/>
      <c r="H49" s="19">
        <v>4000</v>
      </c>
      <c r="I49" s="19"/>
      <c r="J49" s="19"/>
      <c r="K49" s="19">
        <v>372.45</v>
      </c>
      <c r="L49" s="19">
        <v>391.44</v>
      </c>
      <c r="M49" s="23">
        <f>SUM(Tabla2[[#This Row],[01. Alcaldía]:[11. Salud pública y seguridad ciudadana]])</f>
        <v>4763.8899999999994</v>
      </c>
    </row>
    <row r="50" spans="1:13" x14ac:dyDescent="0.25">
      <c r="A50" s="21" t="s">
        <v>64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4886</v>
      </c>
      <c r="M50" s="23">
        <f>SUM(Tabla2[[#This Row],[01. Alcaldía]:[11. Salud pública y seguridad ciudadana]])</f>
        <v>4886</v>
      </c>
    </row>
    <row r="51" spans="1:13" ht="25.5" x14ac:dyDescent="0.25">
      <c r="A51" s="21" t="s">
        <v>1313</v>
      </c>
      <c r="B51" s="19"/>
      <c r="C51" s="19"/>
      <c r="D51" s="19">
        <v>107</v>
      </c>
      <c r="E51" s="19"/>
      <c r="F51" s="19"/>
      <c r="G51" s="19"/>
      <c r="H51" s="19"/>
      <c r="I51" s="19"/>
      <c r="J51" s="19"/>
      <c r="K51" s="19"/>
      <c r="L51" s="19"/>
      <c r="M51" s="23">
        <f>SUM(Tabla2[[#This Row],[01. Alcaldía]:[11. Salud pública y seguridad ciudadana]])</f>
        <v>107</v>
      </c>
    </row>
    <row r="52" spans="1:13" x14ac:dyDescent="0.25">
      <c r="A52" s="21" t="s">
        <v>502</v>
      </c>
      <c r="B52" s="19"/>
      <c r="C52" s="19"/>
      <c r="D52" s="19"/>
      <c r="E52" s="19"/>
      <c r="F52" s="19">
        <v>11835.01</v>
      </c>
      <c r="G52" s="19"/>
      <c r="H52" s="19"/>
      <c r="I52" s="19"/>
      <c r="J52" s="19"/>
      <c r="K52" s="19"/>
      <c r="L52" s="19"/>
      <c r="M52" s="23">
        <f>SUM(Tabla2[[#This Row],[01. Alcaldía]:[11. Salud pública y seguridad ciudadana]])</f>
        <v>11835.01</v>
      </c>
    </row>
    <row r="53" spans="1:13" x14ac:dyDescent="0.25">
      <c r="A53" s="21" t="s">
        <v>473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529.53</v>
      </c>
      <c r="M53" s="23">
        <f>SUM(Tabla2[[#This Row],[01. Alcaldía]:[11. Salud pública y seguridad ciudadana]])</f>
        <v>529.53</v>
      </c>
    </row>
    <row r="54" spans="1:13" x14ac:dyDescent="0.25">
      <c r="A54" s="21" t="s">
        <v>256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2582.14</v>
      </c>
      <c r="M54" s="23">
        <f>SUM(Tabla2[[#This Row],[01. Alcaldía]:[11. Salud pública y seguridad ciudadana]])</f>
        <v>2582.14</v>
      </c>
    </row>
    <row r="55" spans="1:13" x14ac:dyDescent="0.25">
      <c r="A55" s="21" t="s">
        <v>685</v>
      </c>
      <c r="B55" s="19"/>
      <c r="C55" s="19"/>
      <c r="D55" s="19">
        <v>968</v>
      </c>
      <c r="E55" s="19"/>
      <c r="F55" s="19"/>
      <c r="G55" s="19">
        <v>1650</v>
      </c>
      <c r="H55" s="19"/>
      <c r="I55" s="19"/>
      <c r="J55" s="19"/>
      <c r="K55" s="19"/>
      <c r="L55" s="19"/>
      <c r="M55" s="23">
        <f>SUM(Tabla2[[#This Row],[01. Alcaldía]:[11. Salud pública y seguridad ciudadana]])</f>
        <v>2618</v>
      </c>
    </row>
    <row r="56" spans="1:13" x14ac:dyDescent="0.25">
      <c r="A56" s="21" t="s">
        <v>75</v>
      </c>
      <c r="B56" s="19"/>
      <c r="C56" s="19"/>
      <c r="D56" s="19"/>
      <c r="E56" s="19"/>
      <c r="F56" s="19"/>
      <c r="G56" s="19"/>
      <c r="H56" s="19"/>
      <c r="I56" s="19"/>
      <c r="J56" s="19"/>
      <c r="K56" s="19">
        <v>8000</v>
      </c>
      <c r="L56" s="19"/>
      <c r="M56" s="23">
        <f>SUM(Tabla2[[#This Row],[01. Alcaldía]:[11. Salud pública y seguridad ciudadana]])</f>
        <v>8000</v>
      </c>
    </row>
    <row r="57" spans="1:13" x14ac:dyDescent="0.25">
      <c r="A57" s="21" t="s">
        <v>47</v>
      </c>
      <c r="B57" s="19">
        <v>4224.9800000000005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3">
        <f>SUM(Tabla2[[#This Row],[01. Alcaldía]:[11. Salud pública y seguridad ciudadana]])</f>
        <v>4224.9800000000005</v>
      </c>
    </row>
    <row r="58" spans="1:13" x14ac:dyDescent="0.25">
      <c r="A58" s="21" t="s">
        <v>2113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516.78</v>
      </c>
      <c r="M58" s="23">
        <f>SUM(Tabla2[[#This Row],[01. Alcaldía]:[11. Salud pública y seguridad ciudadana]])</f>
        <v>516.78</v>
      </c>
    </row>
    <row r="59" spans="1:13" x14ac:dyDescent="0.25">
      <c r="A59" s="21" t="s">
        <v>691</v>
      </c>
      <c r="B59" s="19"/>
      <c r="C59" s="19">
        <v>1848.88</v>
      </c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SUM(Tabla2[[#This Row],[01. Alcaldía]:[11. Salud pública y seguridad ciudadana]])</f>
        <v>1848.88</v>
      </c>
    </row>
    <row r="60" spans="1:13" x14ac:dyDescent="0.25">
      <c r="A60" s="21" t="s">
        <v>498</v>
      </c>
      <c r="B60" s="19"/>
      <c r="C60" s="19"/>
      <c r="D60" s="19"/>
      <c r="E60" s="19"/>
      <c r="F60" s="19"/>
      <c r="G60" s="19"/>
      <c r="H60" s="19"/>
      <c r="I60" s="19"/>
      <c r="J60" s="19"/>
      <c r="K60" s="19">
        <v>711.31</v>
      </c>
      <c r="L60" s="19"/>
      <c r="M60" s="23">
        <f>SUM(Tabla2[[#This Row],[01. Alcaldía]:[11. Salud pública y seguridad ciudadana]])</f>
        <v>711.31</v>
      </c>
    </row>
    <row r="61" spans="1:13" x14ac:dyDescent="0.25">
      <c r="A61" s="21" t="s">
        <v>253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104.5</v>
      </c>
      <c r="M61" s="23">
        <f>SUM(Tabla2[[#This Row],[01. Alcaldía]:[11. Salud pública y seguridad ciudadana]])</f>
        <v>104.5</v>
      </c>
    </row>
    <row r="62" spans="1:13" x14ac:dyDescent="0.25">
      <c r="A62" s="21" t="s">
        <v>2154</v>
      </c>
      <c r="B62" s="19"/>
      <c r="C62" s="19"/>
      <c r="D62" s="19"/>
      <c r="E62" s="19"/>
      <c r="F62" s="19"/>
      <c r="G62" s="19"/>
      <c r="H62" s="19"/>
      <c r="I62" s="19"/>
      <c r="J62" s="19"/>
      <c r="K62" s="19">
        <v>600</v>
      </c>
      <c r="L62" s="19"/>
      <c r="M62" s="23">
        <f>SUM(Tabla2[[#This Row],[01. Alcaldía]:[11. Salud pública y seguridad ciudadana]])</f>
        <v>600</v>
      </c>
    </row>
    <row r="63" spans="1:13" x14ac:dyDescent="0.25">
      <c r="A63" s="21" t="s">
        <v>2156</v>
      </c>
      <c r="B63" s="19"/>
      <c r="C63" s="19"/>
      <c r="D63" s="19"/>
      <c r="E63" s="19"/>
      <c r="F63" s="19"/>
      <c r="G63" s="19">
        <v>3652.02</v>
      </c>
      <c r="H63" s="19"/>
      <c r="I63" s="19"/>
      <c r="J63" s="19"/>
      <c r="K63" s="19"/>
      <c r="L63" s="19"/>
      <c r="M63" s="23">
        <f>SUM(Tabla2[[#This Row],[01. Alcaldía]:[11. Salud pública y seguridad ciudadana]])</f>
        <v>3652.02</v>
      </c>
    </row>
    <row r="64" spans="1:13" x14ac:dyDescent="0.25">
      <c r="A64" s="21" t="s">
        <v>41</v>
      </c>
      <c r="B64" s="19"/>
      <c r="C64" s="19"/>
      <c r="D64" s="19"/>
      <c r="E64" s="19"/>
      <c r="F64" s="19"/>
      <c r="G64" s="19"/>
      <c r="H64" s="19"/>
      <c r="I64" s="19"/>
      <c r="J64" s="19">
        <v>580.79999999999995</v>
      </c>
      <c r="K64" s="19"/>
      <c r="L64" s="19">
        <v>2346.67</v>
      </c>
      <c r="M64" s="23">
        <f>SUM(Tabla2[[#This Row],[01. Alcaldía]:[11. Salud pública y seguridad ciudadana]])</f>
        <v>2927.4700000000003</v>
      </c>
    </row>
    <row r="65" spans="1:13" x14ac:dyDescent="0.25">
      <c r="A65" s="21" t="s">
        <v>978</v>
      </c>
      <c r="B65" s="19"/>
      <c r="C65" s="19"/>
      <c r="D65" s="19"/>
      <c r="E65" s="19"/>
      <c r="F65" s="19"/>
      <c r="G65" s="19"/>
      <c r="H65" s="19">
        <v>1200</v>
      </c>
      <c r="I65" s="19"/>
      <c r="J65" s="19"/>
      <c r="K65" s="19"/>
      <c r="L65" s="19"/>
      <c r="M65" s="23">
        <f>SUM(Tabla2[[#This Row],[01. Alcaldía]:[11. Salud pública y seguridad ciudadana]])</f>
        <v>1200</v>
      </c>
    </row>
    <row r="66" spans="1:13" x14ac:dyDescent="0.25">
      <c r="A66" s="21" t="s">
        <v>1323</v>
      </c>
      <c r="B66" s="19"/>
      <c r="C66" s="19"/>
      <c r="D66" s="19">
        <v>440</v>
      </c>
      <c r="E66" s="19"/>
      <c r="F66" s="19"/>
      <c r="G66" s="19"/>
      <c r="H66" s="19"/>
      <c r="I66" s="19"/>
      <c r="J66" s="19"/>
      <c r="K66" s="19"/>
      <c r="L66" s="19"/>
      <c r="M66" s="23">
        <f>SUM(Tabla2[[#This Row],[01. Alcaldía]:[11. Salud pública y seguridad ciudadana]])</f>
        <v>440</v>
      </c>
    </row>
    <row r="67" spans="1:13" x14ac:dyDescent="0.25">
      <c r="A67" s="21" t="s">
        <v>2192</v>
      </c>
      <c r="B67" s="19">
        <v>5679.93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3">
        <f>SUM(Tabla2[[#This Row],[01. Alcaldía]:[11. Salud pública y seguridad ciudadana]])</f>
        <v>5679.93</v>
      </c>
    </row>
    <row r="68" spans="1:13" x14ac:dyDescent="0.25">
      <c r="A68" s="21" t="s">
        <v>1325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242</v>
      </c>
      <c r="L68" s="19"/>
      <c r="M68" s="23">
        <f>SUM(Tabla2[[#This Row],[01. Alcaldía]:[11. Salud pública y seguridad ciudadana]])</f>
        <v>242</v>
      </c>
    </row>
    <row r="69" spans="1:13" x14ac:dyDescent="0.25">
      <c r="A69" s="21" t="s">
        <v>43</v>
      </c>
      <c r="B69" s="19"/>
      <c r="C69" s="19"/>
      <c r="D69" s="19"/>
      <c r="E69" s="19"/>
      <c r="F69" s="19">
        <v>27225</v>
      </c>
      <c r="G69" s="19"/>
      <c r="H69" s="19"/>
      <c r="I69" s="19"/>
      <c r="J69" s="19"/>
      <c r="K69" s="19"/>
      <c r="L69" s="19"/>
      <c r="M69" s="23">
        <f>SUM(Tabla2[[#This Row],[01. Alcaldía]:[11. Salud pública y seguridad ciudadana]])</f>
        <v>27225</v>
      </c>
    </row>
    <row r="70" spans="1:13" x14ac:dyDescent="0.25">
      <c r="A70" s="21" t="s">
        <v>2205</v>
      </c>
      <c r="B70" s="19"/>
      <c r="C70" s="19"/>
      <c r="D70" s="19">
        <v>400</v>
      </c>
      <c r="E70" s="19"/>
      <c r="F70" s="19"/>
      <c r="G70" s="19"/>
      <c r="H70" s="19"/>
      <c r="I70" s="19"/>
      <c r="J70" s="19"/>
      <c r="K70" s="19"/>
      <c r="L70" s="19"/>
      <c r="M70" s="23">
        <f>SUM(Tabla2[[#This Row],[01. Alcaldía]:[11. Salud pública y seguridad ciudadana]])</f>
        <v>400</v>
      </c>
    </row>
    <row r="71" spans="1:13" x14ac:dyDescent="0.25">
      <c r="A71" s="21" t="s">
        <v>702</v>
      </c>
      <c r="B71" s="19"/>
      <c r="C71" s="19"/>
      <c r="D71" s="19"/>
      <c r="E71" s="19"/>
      <c r="F71" s="19"/>
      <c r="G71" s="19">
        <v>7260</v>
      </c>
      <c r="H71" s="19"/>
      <c r="I71" s="19"/>
      <c r="J71" s="19"/>
      <c r="K71" s="19"/>
      <c r="L71" s="19"/>
      <c r="M71" s="23">
        <f>SUM(Tabla2[[#This Row],[01. Alcaldía]:[11. Salud pública y seguridad ciudadana]])</f>
        <v>7260</v>
      </c>
    </row>
    <row r="72" spans="1:13" x14ac:dyDescent="0.25">
      <c r="A72" s="21" t="s">
        <v>1225</v>
      </c>
      <c r="B72" s="19"/>
      <c r="C72" s="19"/>
      <c r="D72" s="19"/>
      <c r="E72" s="19"/>
      <c r="F72" s="19">
        <v>8470</v>
      </c>
      <c r="G72" s="19"/>
      <c r="H72" s="19"/>
      <c r="I72" s="19"/>
      <c r="J72" s="19"/>
      <c r="K72" s="19"/>
      <c r="L72" s="19"/>
      <c r="M72" s="23">
        <f>SUM(Tabla2[[#This Row],[01. Alcaldía]:[11. Salud pública y seguridad ciudadana]])</f>
        <v>8470</v>
      </c>
    </row>
    <row r="73" spans="1:13" x14ac:dyDescent="0.25">
      <c r="A73" s="21" t="s">
        <v>50</v>
      </c>
      <c r="B73" s="19"/>
      <c r="C73" s="19"/>
      <c r="D73" s="19">
        <v>227.48</v>
      </c>
      <c r="E73" s="19"/>
      <c r="F73" s="19"/>
      <c r="G73" s="19"/>
      <c r="H73" s="19"/>
      <c r="I73" s="19"/>
      <c r="J73" s="19"/>
      <c r="K73" s="19"/>
      <c r="L73" s="19"/>
      <c r="M73" s="23">
        <f>SUM(Tabla2[[#This Row],[01. Alcaldía]:[11. Salud pública y seguridad ciudadana]])</f>
        <v>227.48</v>
      </c>
    </row>
    <row r="74" spans="1:13" x14ac:dyDescent="0.25">
      <c r="A74" s="21" t="s">
        <v>208</v>
      </c>
      <c r="B74" s="19"/>
      <c r="C74" s="19"/>
      <c r="D74" s="19"/>
      <c r="E74" s="19"/>
      <c r="F74" s="19">
        <v>437.91</v>
      </c>
      <c r="G74" s="19">
        <v>1150.01</v>
      </c>
      <c r="H74" s="19"/>
      <c r="I74" s="19"/>
      <c r="J74" s="19"/>
      <c r="K74" s="19"/>
      <c r="L74" s="19"/>
      <c r="M74" s="23">
        <f>SUM(Tabla2[[#This Row],[01. Alcaldía]:[11. Salud pública y seguridad ciudadana]])</f>
        <v>1587.92</v>
      </c>
    </row>
    <row r="75" spans="1:13" x14ac:dyDescent="0.25">
      <c r="A75" s="21" t="s">
        <v>188</v>
      </c>
      <c r="B75" s="19"/>
      <c r="C75" s="19"/>
      <c r="D75" s="19">
        <v>17811.2</v>
      </c>
      <c r="E75" s="19"/>
      <c r="F75" s="19"/>
      <c r="G75" s="19"/>
      <c r="H75" s="19"/>
      <c r="I75" s="19"/>
      <c r="J75" s="19"/>
      <c r="K75" s="19"/>
      <c r="L75" s="19"/>
      <c r="M75" s="23">
        <f>SUM(Tabla2[[#This Row],[01. Alcaldía]:[11. Salud pública y seguridad ciudadana]])</f>
        <v>17811.2</v>
      </c>
    </row>
    <row r="76" spans="1:13" x14ac:dyDescent="0.25">
      <c r="A76" s="21" t="s">
        <v>189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0.5</v>
      </c>
      <c r="M76" s="23">
        <f>SUM(Tabla2[[#This Row],[01. Alcaldía]:[11. Salud pública y seguridad ciudadana]])</f>
        <v>0.5</v>
      </c>
    </row>
    <row r="77" spans="1:13" x14ac:dyDescent="0.25">
      <c r="A77" s="21" t="s">
        <v>709</v>
      </c>
      <c r="B77" s="19"/>
      <c r="C77" s="19"/>
      <c r="D77" s="19">
        <v>330</v>
      </c>
      <c r="E77" s="19"/>
      <c r="F77" s="19"/>
      <c r="G77" s="19"/>
      <c r="H77" s="19"/>
      <c r="I77" s="19"/>
      <c r="J77" s="19"/>
      <c r="K77" s="19">
        <v>1800</v>
      </c>
      <c r="L77" s="19">
        <v>1874.4</v>
      </c>
      <c r="M77" s="23">
        <f>SUM(Tabla2[[#This Row],[01. Alcaldía]:[11. Salud pública y seguridad ciudadana]])</f>
        <v>4004.4</v>
      </c>
    </row>
    <row r="78" spans="1:13" x14ac:dyDescent="0.25">
      <c r="A78" s="21" t="s">
        <v>2251</v>
      </c>
      <c r="B78" s="19"/>
      <c r="C78" s="19"/>
      <c r="D78" s="19"/>
      <c r="E78" s="19">
        <v>9317</v>
      </c>
      <c r="F78" s="19"/>
      <c r="G78" s="19"/>
      <c r="H78" s="19"/>
      <c r="I78" s="19"/>
      <c r="J78" s="19"/>
      <c r="K78" s="19"/>
      <c r="L78" s="19"/>
      <c r="M78" s="23">
        <f>SUM(Tabla2[[#This Row],[01. Alcaldía]:[11. Salud pública y seguridad ciudadana]])</f>
        <v>9317</v>
      </c>
    </row>
    <row r="79" spans="1:13" x14ac:dyDescent="0.25">
      <c r="A79" s="21" t="s">
        <v>153</v>
      </c>
      <c r="B79" s="19"/>
      <c r="C79" s="19">
        <v>2075.73</v>
      </c>
      <c r="D79" s="19"/>
      <c r="E79" s="19"/>
      <c r="F79" s="19"/>
      <c r="G79" s="19"/>
      <c r="H79" s="19"/>
      <c r="I79" s="19"/>
      <c r="J79" s="19">
        <v>1307.8</v>
      </c>
      <c r="K79" s="19"/>
      <c r="L79" s="19"/>
      <c r="M79" s="23">
        <f>SUM(Tabla2[[#This Row],[01. Alcaldía]:[11. Salud pública y seguridad ciudadana]])</f>
        <v>3383.5299999999997</v>
      </c>
    </row>
    <row r="80" spans="1:13" x14ac:dyDescent="0.25">
      <c r="A80" s="21" t="s">
        <v>55</v>
      </c>
      <c r="B80" s="19"/>
      <c r="C80" s="19"/>
      <c r="D80" s="19"/>
      <c r="E80" s="19"/>
      <c r="F80" s="19">
        <v>4840</v>
      </c>
      <c r="G80" s="19"/>
      <c r="H80" s="19"/>
      <c r="I80" s="19"/>
      <c r="J80" s="19"/>
      <c r="K80" s="19"/>
      <c r="L80" s="19"/>
      <c r="M80" s="23">
        <f>SUM(Tabla2[[#This Row],[01. Alcaldía]:[11. Salud pública y seguridad ciudadana]])</f>
        <v>4840</v>
      </c>
    </row>
    <row r="81" spans="1:13" x14ac:dyDescent="0.25">
      <c r="A81" s="21" t="s">
        <v>1223</v>
      </c>
      <c r="B81" s="19"/>
      <c r="C81" s="19"/>
      <c r="D81" s="19">
        <v>1078.1099999999999</v>
      </c>
      <c r="E81" s="19"/>
      <c r="F81" s="19"/>
      <c r="G81" s="19"/>
      <c r="H81" s="19">
        <v>3000</v>
      </c>
      <c r="I81" s="19"/>
      <c r="J81" s="19"/>
      <c r="K81" s="19"/>
      <c r="L81" s="19">
        <v>3050</v>
      </c>
      <c r="M81" s="23">
        <f>SUM(Tabla2[[#This Row],[01. Alcaldía]:[11. Salud pública y seguridad ciudadana]])</f>
        <v>7128.11</v>
      </c>
    </row>
    <row r="82" spans="1:13" x14ac:dyDescent="0.25">
      <c r="A82" s="21" t="s">
        <v>37</v>
      </c>
      <c r="B82" s="19"/>
      <c r="C82" s="19"/>
      <c r="D82" s="19">
        <v>0</v>
      </c>
      <c r="E82" s="19"/>
      <c r="F82" s="19"/>
      <c r="G82" s="19"/>
      <c r="H82" s="19"/>
      <c r="I82" s="19"/>
      <c r="J82" s="19"/>
      <c r="K82" s="19"/>
      <c r="L82" s="19"/>
      <c r="M82" s="23">
        <f>SUM(Tabla2[[#This Row],[01. Alcaldía]:[11. Salud pública y seguridad ciudadana]])</f>
        <v>0</v>
      </c>
    </row>
    <row r="83" spans="1:13" x14ac:dyDescent="0.25">
      <c r="A83" s="21" t="s">
        <v>193</v>
      </c>
      <c r="B83" s="19"/>
      <c r="C83" s="19"/>
      <c r="D83" s="19"/>
      <c r="E83" s="19"/>
      <c r="F83" s="19"/>
      <c r="G83" s="19"/>
      <c r="H83" s="19">
        <v>821</v>
      </c>
      <c r="I83" s="19"/>
      <c r="J83" s="19"/>
      <c r="K83" s="19"/>
      <c r="L83" s="19"/>
      <c r="M83" s="23">
        <f>SUM(Tabla2[[#This Row],[01. Alcaldía]:[11. Salud pública y seguridad ciudadana]])</f>
        <v>821</v>
      </c>
    </row>
    <row r="84" spans="1:13" x14ac:dyDescent="0.25">
      <c r="A84" s="21" t="s">
        <v>472</v>
      </c>
      <c r="B84" s="19"/>
      <c r="C84" s="19"/>
      <c r="D84" s="19"/>
      <c r="E84" s="19"/>
      <c r="F84" s="19"/>
      <c r="G84" s="19"/>
      <c r="H84" s="19">
        <v>3000.8</v>
      </c>
      <c r="I84" s="19"/>
      <c r="J84" s="19">
        <v>871.2</v>
      </c>
      <c r="K84" s="19"/>
      <c r="L84" s="19">
        <v>502.15</v>
      </c>
      <c r="M84" s="23">
        <f>SUM(Tabla2[[#This Row],[01. Alcaldía]:[11. Salud pública y seguridad ciudadana]])</f>
        <v>4374.1499999999996</v>
      </c>
    </row>
    <row r="85" spans="1:13" x14ac:dyDescent="0.25">
      <c r="A85" s="21" t="s">
        <v>590</v>
      </c>
      <c r="B85" s="19"/>
      <c r="C85" s="19"/>
      <c r="D85" s="19"/>
      <c r="E85" s="19"/>
      <c r="F85" s="19"/>
      <c r="G85" s="19"/>
      <c r="H85" s="19">
        <v>471.9</v>
      </c>
      <c r="I85" s="19"/>
      <c r="J85" s="19"/>
      <c r="K85" s="19"/>
      <c r="L85" s="19"/>
      <c r="M85" s="23">
        <f>SUM(Tabla2[[#This Row],[01. Alcaldía]:[11. Salud pública y seguridad ciudadana]])</f>
        <v>471.9</v>
      </c>
    </row>
    <row r="86" spans="1:13" x14ac:dyDescent="0.25">
      <c r="A86" s="21" t="s">
        <v>989</v>
      </c>
      <c r="B86" s="19"/>
      <c r="C86" s="19"/>
      <c r="D86" s="19"/>
      <c r="E86" s="19"/>
      <c r="F86" s="19"/>
      <c r="G86" s="19">
        <v>2930</v>
      </c>
      <c r="H86" s="19"/>
      <c r="I86" s="19"/>
      <c r="J86" s="19"/>
      <c r="K86" s="19"/>
      <c r="L86" s="19"/>
      <c r="M86" s="23">
        <f>SUM(Tabla2[[#This Row],[01. Alcaldía]:[11. Salud pública y seguridad ciudadana]])</f>
        <v>2930</v>
      </c>
    </row>
    <row r="87" spans="1:13" x14ac:dyDescent="0.25">
      <c r="A87" s="21" t="s">
        <v>2336</v>
      </c>
      <c r="B87" s="19"/>
      <c r="C87" s="19"/>
      <c r="D87" s="19"/>
      <c r="E87" s="19"/>
      <c r="F87" s="19"/>
      <c r="G87" s="19">
        <v>220</v>
      </c>
      <c r="H87" s="19"/>
      <c r="I87" s="19"/>
      <c r="J87" s="19"/>
      <c r="K87" s="19"/>
      <c r="L87" s="19"/>
      <c r="M87" s="23">
        <f>SUM(Tabla2[[#This Row],[01. Alcaldía]:[11. Salud pública y seguridad ciudadana]])</f>
        <v>220</v>
      </c>
    </row>
    <row r="88" spans="1:13" x14ac:dyDescent="0.25">
      <c r="A88" s="21" t="s">
        <v>257</v>
      </c>
      <c r="B88" s="19"/>
      <c r="C88" s="19"/>
      <c r="D88" s="19"/>
      <c r="E88" s="19"/>
      <c r="F88" s="19"/>
      <c r="G88" s="19"/>
      <c r="H88" s="19">
        <v>7260</v>
      </c>
      <c r="I88" s="19"/>
      <c r="J88" s="19"/>
      <c r="K88" s="19"/>
      <c r="L88" s="19"/>
      <c r="M88" s="23">
        <f>SUM(Tabla2[[#This Row],[01. Alcaldía]:[11. Salud pública y seguridad ciudadana]])</f>
        <v>7260</v>
      </c>
    </row>
    <row r="89" spans="1:13" x14ac:dyDescent="0.25">
      <c r="A89" s="21" t="s">
        <v>505</v>
      </c>
      <c r="B89" s="19"/>
      <c r="C89" s="19"/>
      <c r="D89" s="19"/>
      <c r="E89" s="19"/>
      <c r="F89" s="19"/>
      <c r="G89" s="19">
        <v>4060.02</v>
      </c>
      <c r="H89" s="19"/>
      <c r="I89" s="19"/>
      <c r="J89" s="19"/>
      <c r="K89" s="19"/>
      <c r="L89" s="19"/>
      <c r="M89" s="23">
        <f>SUM(Tabla2[[#This Row],[01. Alcaldía]:[11. Salud pública y seguridad ciudadana]])</f>
        <v>4060.02</v>
      </c>
    </row>
    <row r="90" spans="1:13" x14ac:dyDescent="0.25">
      <c r="A90" s="21" t="s">
        <v>192</v>
      </c>
      <c r="B90" s="19"/>
      <c r="C90" s="19"/>
      <c r="D90" s="19"/>
      <c r="E90" s="19"/>
      <c r="F90" s="19"/>
      <c r="G90" s="19"/>
      <c r="H90" s="19">
        <v>5835.12</v>
      </c>
      <c r="I90" s="19"/>
      <c r="J90" s="19"/>
      <c r="K90" s="19"/>
      <c r="L90" s="19"/>
      <c r="M90" s="23">
        <f>SUM(Tabla2[[#This Row],[01. Alcaldía]:[11. Salud pública y seguridad ciudadana]])</f>
        <v>5835.12</v>
      </c>
    </row>
    <row r="91" spans="1:13" x14ac:dyDescent="0.25">
      <c r="A91" s="21" t="s">
        <v>727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3060</v>
      </c>
      <c r="M91" s="23">
        <f>SUM(Tabla2[[#This Row],[01. Alcaldía]:[11. Salud pública y seguridad ciudadana]])</f>
        <v>3060</v>
      </c>
    </row>
    <row r="92" spans="1:13" x14ac:dyDescent="0.25">
      <c r="A92" s="21" t="s">
        <v>1330</v>
      </c>
      <c r="B92" s="19"/>
      <c r="C92" s="19"/>
      <c r="D92" s="19">
        <v>440</v>
      </c>
      <c r="E92" s="19"/>
      <c r="F92" s="19"/>
      <c r="G92" s="19"/>
      <c r="H92" s="19"/>
      <c r="I92" s="19"/>
      <c r="J92" s="19"/>
      <c r="K92" s="19"/>
      <c r="L92" s="19"/>
      <c r="M92" s="23">
        <f>SUM(Tabla2[[#This Row],[01. Alcaldía]:[11. Salud pública y seguridad ciudadana]])</f>
        <v>440</v>
      </c>
    </row>
    <row r="93" spans="1:13" x14ac:dyDescent="0.25">
      <c r="A93" s="21" t="s">
        <v>512</v>
      </c>
      <c r="B93" s="19"/>
      <c r="C93" s="19"/>
      <c r="D93" s="19"/>
      <c r="E93" s="19"/>
      <c r="F93" s="19"/>
      <c r="G93" s="19"/>
      <c r="H93" s="19"/>
      <c r="I93" s="19">
        <v>16940</v>
      </c>
      <c r="J93" s="19"/>
      <c r="K93" s="19"/>
      <c r="L93" s="19">
        <v>6358.55</v>
      </c>
      <c r="M93" s="23">
        <f>SUM(Tabla2[[#This Row],[01. Alcaldía]:[11. Salud pública y seguridad ciudadana]])</f>
        <v>23298.55</v>
      </c>
    </row>
    <row r="94" spans="1:13" x14ac:dyDescent="0.25">
      <c r="A94" s="21" t="s">
        <v>1018</v>
      </c>
      <c r="B94" s="19"/>
      <c r="C94" s="19"/>
      <c r="D94" s="19"/>
      <c r="E94" s="19"/>
      <c r="F94" s="19"/>
      <c r="G94" s="19">
        <v>1016.4</v>
      </c>
      <c r="H94" s="19"/>
      <c r="I94" s="19"/>
      <c r="J94" s="19"/>
      <c r="K94" s="19"/>
      <c r="L94" s="19"/>
      <c r="M94" s="23">
        <f>SUM(Tabla2[[#This Row],[01. Alcaldía]:[11. Salud pública y seguridad ciudadana]])</f>
        <v>1016.4</v>
      </c>
    </row>
    <row r="95" spans="1:13" x14ac:dyDescent="0.25">
      <c r="A95" s="21" t="s">
        <v>101</v>
      </c>
      <c r="B95" s="19"/>
      <c r="C95" s="19"/>
      <c r="D95" s="19"/>
      <c r="E95" s="19"/>
      <c r="F95" s="19">
        <v>2934.25</v>
      </c>
      <c r="G95" s="19"/>
      <c r="H95" s="19"/>
      <c r="I95" s="19"/>
      <c r="J95" s="19">
        <v>1405.9</v>
      </c>
      <c r="K95" s="19"/>
      <c r="L95" s="19"/>
      <c r="M95" s="23">
        <f>SUM(Tabla2[[#This Row],[01. Alcaldía]:[11. Salud pública y seguridad ciudadana]])</f>
        <v>4340.1499999999996</v>
      </c>
    </row>
    <row r="96" spans="1:13" x14ac:dyDescent="0.25">
      <c r="A96" s="21" t="s">
        <v>52</v>
      </c>
      <c r="B96" s="19">
        <v>18730.05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3">
        <f>SUM(Tabla2[[#This Row],[01. Alcaldía]:[11. Salud pública y seguridad ciudadana]])</f>
        <v>18730.05</v>
      </c>
    </row>
    <row r="97" spans="1:13" x14ac:dyDescent="0.25">
      <c r="A97" s="21" t="s">
        <v>1229</v>
      </c>
      <c r="B97" s="19"/>
      <c r="C97" s="19"/>
      <c r="D97" s="19"/>
      <c r="E97" s="19"/>
      <c r="F97" s="19"/>
      <c r="G97" s="19"/>
      <c r="H97" s="19">
        <v>2000</v>
      </c>
      <c r="I97" s="19"/>
      <c r="J97" s="19"/>
      <c r="K97" s="19"/>
      <c r="L97" s="19"/>
      <c r="M97" s="23">
        <f>SUM(Tabla2[[#This Row],[01. Alcaldía]:[11. Salud pública y seguridad ciudadana]])</f>
        <v>2000</v>
      </c>
    </row>
    <row r="98" spans="1:13" x14ac:dyDescent="0.25">
      <c r="A98" s="21" t="s">
        <v>69</v>
      </c>
      <c r="B98" s="19"/>
      <c r="C98" s="19"/>
      <c r="D98" s="19">
        <v>984.5</v>
      </c>
      <c r="E98" s="19"/>
      <c r="F98" s="19"/>
      <c r="G98" s="19">
        <v>2673</v>
      </c>
      <c r="H98" s="19"/>
      <c r="I98" s="19"/>
      <c r="J98" s="19"/>
      <c r="K98" s="19"/>
      <c r="L98" s="19"/>
      <c r="M98" s="23">
        <f>SUM(Tabla2[[#This Row],[01. Alcaldía]:[11. Salud pública y seguridad ciudadana]])</f>
        <v>3657.5</v>
      </c>
    </row>
    <row r="99" spans="1:13" x14ac:dyDescent="0.25">
      <c r="A99" s="21" t="s">
        <v>1108</v>
      </c>
      <c r="B99" s="19"/>
      <c r="C99" s="19"/>
      <c r="D99" s="19"/>
      <c r="E99" s="19"/>
      <c r="F99" s="19"/>
      <c r="G99" s="19">
        <v>3872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3872</v>
      </c>
    </row>
    <row r="100" spans="1:13" x14ac:dyDescent="0.25">
      <c r="A100" s="21" t="s">
        <v>925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2500</v>
      </c>
      <c r="M100" s="23">
        <f>SUM(Tabla2[[#This Row],[01. Alcaldía]:[11. Salud pública y seguridad ciudadana]])</f>
        <v>2500</v>
      </c>
    </row>
    <row r="101" spans="1:13" x14ac:dyDescent="0.25">
      <c r="A101" s="21" t="s">
        <v>2484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931.5</v>
      </c>
      <c r="L101" s="19"/>
      <c r="M101" s="23">
        <f>SUM(Tabla2[[#This Row],[01. Alcaldía]:[11. Salud pública y seguridad ciudadana]])</f>
        <v>931.5</v>
      </c>
    </row>
    <row r="102" spans="1:13" x14ac:dyDescent="0.25">
      <c r="A102" s="21" t="s">
        <v>2848</v>
      </c>
      <c r="B102" s="19"/>
      <c r="C102" s="19">
        <v>13019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13019</v>
      </c>
    </row>
    <row r="103" spans="1:13" x14ac:dyDescent="0.25">
      <c r="A103" s="21" t="s">
        <v>736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50</v>
      </c>
      <c r="M103" s="23">
        <f>SUM(Tabla2[[#This Row],[01. Alcaldía]:[11. Salud pública y seguridad ciudadana]])</f>
        <v>50</v>
      </c>
    </row>
    <row r="104" spans="1:13" x14ac:dyDescent="0.25">
      <c r="A104" s="21" t="s">
        <v>219</v>
      </c>
      <c r="B104" s="19"/>
      <c r="C104" s="19"/>
      <c r="D104" s="19"/>
      <c r="E104" s="19"/>
      <c r="F104" s="19"/>
      <c r="G104" s="19"/>
      <c r="H104" s="19"/>
      <c r="I104" s="19">
        <v>1210</v>
      </c>
      <c r="J104" s="19"/>
      <c r="K104" s="19"/>
      <c r="L104" s="19"/>
      <c r="M104" s="23">
        <f>SUM(Tabla2[[#This Row],[01. Alcaldía]:[11. Salud pública y seguridad ciudadana]])</f>
        <v>1210</v>
      </c>
    </row>
    <row r="105" spans="1:13" x14ac:dyDescent="0.25">
      <c r="A105" s="21" t="s">
        <v>1332</v>
      </c>
      <c r="B105" s="19"/>
      <c r="C105" s="19"/>
      <c r="D105" s="19">
        <v>1197.9000000000001</v>
      </c>
      <c r="E105" s="19"/>
      <c r="F105" s="19"/>
      <c r="G105" s="19"/>
      <c r="H105" s="19"/>
      <c r="I105" s="19"/>
      <c r="J105" s="19"/>
      <c r="K105" s="19"/>
      <c r="L105" s="19"/>
      <c r="M105" s="23">
        <f>SUM(Tabla2[[#This Row],[01. Alcaldía]:[11. Salud pública y seguridad ciudadana]])</f>
        <v>1197.9000000000001</v>
      </c>
    </row>
    <row r="106" spans="1:13" x14ac:dyDescent="0.25">
      <c r="A106" s="21" t="s">
        <v>2531</v>
      </c>
      <c r="B106" s="19"/>
      <c r="C106" s="19"/>
      <c r="D106" s="19"/>
      <c r="E106" s="19"/>
      <c r="F106" s="19"/>
      <c r="G106" s="19"/>
      <c r="H106" s="19">
        <v>6344.33</v>
      </c>
      <c r="I106" s="19"/>
      <c r="J106" s="19"/>
      <c r="K106" s="19"/>
      <c r="L106" s="19"/>
      <c r="M106" s="23">
        <f>SUM(Tabla2[[#This Row],[01. Alcaldía]:[11. Salud pública y seguridad ciudadana]])</f>
        <v>6344.33</v>
      </c>
    </row>
    <row r="107" spans="1:13" x14ac:dyDescent="0.25">
      <c r="A107" s="21" t="s">
        <v>1033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459.8</v>
      </c>
      <c r="L107" s="19"/>
      <c r="M107" s="23">
        <f>SUM(Tabla2[[#This Row],[01. Alcaldía]:[11. Salud pública y seguridad ciudadana]])</f>
        <v>459.8</v>
      </c>
    </row>
    <row r="108" spans="1:13" x14ac:dyDescent="0.25">
      <c r="A108" s="21" t="s">
        <v>3067</v>
      </c>
      <c r="B108" s="19"/>
      <c r="C108" s="19"/>
      <c r="D108" s="19"/>
      <c r="E108" s="19"/>
      <c r="F108" s="19"/>
      <c r="G108" s="19"/>
      <c r="H108" s="19">
        <v>1420.78</v>
      </c>
      <c r="I108" s="19"/>
      <c r="J108" s="19"/>
      <c r="K108" s="19"/>
      <c r="L108" s="19">
        <v>2100</v>
      </c>
      <c r="M108" s="23">
        <f>SUM(Tabla2[[#This Row],[01. Alcaldía]:[11. Salud pública y seguridad ciudadana]])</f>
        <v>3520.7799999999997</v>
      </c>
    </row>
    <row r="109" spans="1:13" x14ac:dyDescent="0.25">
      <c r="A109" s="21" t="s">
        <v>3069</v>
      </c>
      <c r="B109" s="19"/>
      <c r="C109" s="19"/>
      <c r="D109" s="19"/>
      <c r="E109" s="19"/>
      <c r="F109" s="19"/>
      <c r="G109" s="19"/>
      <c r="H109" s="19">
        <v>813.12</v>
      </c>
      <c r="I109" s="19"/>
      <c r="J109" s="19"/>
      <c r="K109" s="19"/>
      <c r="L109" s="19">
        <v>2100</v>
      </c>
      <c r="M109" s="23">
        <f>SUM(Tabla2[[#This Row],[01. Alcaldía]:[11. Salud pública y seguridad ciudadana]])</f>
        <v>2913.12</v>
      </c>
    </row>
    <row r="110" spans="1:13" ht="25.5" x14ac:dyDescent="0.25">
      <c r="A110" s="21" t="s">
        <v>1333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300</v>
      </c>
      <c r="L110" s="19"/>
      <c r="M110" s="23">
        <f>SUM(Tabla2[[#This Row],[01. Alcaldía]:[11. Salud pública y seguridad ciudadana]])</f>
        <v>300</v>
      </c>
    </row>
    <row r="111" spans="1:13" x14ac:dyDescent="0.25">
      <c r="A111" s="21" t="s">
        <v>1319</v>
      </c>
      <c r="B111" s="19"/>
      <c r="C111" s="19"/>
      <c r="D111" s="19"/>
      <c r="E111" s="19"/>
      <c r="F111" s="19">
        <v>11495</v>
      </c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11495</v>
      </c>
    </row>
    <row r="112" spans="1:13" x14ac:dyDescent="0.25">
      <c r="A112" s="21" t="s">
        <v>740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1161.5999999999999</v>
      </c>
      <c r="M112" s="23">
        <f>SUM(Tabla2[[#This Row],[01. Alcaldía]:[11. Salud pública y seguridad ciudadana]])</f>
        <v>1161.5999999999999</v>
      </c>
    </row>
    <row r="113" spans="1:13" x14ac:dyDescent="0.25">
      <c r="A113" s="21" t="s">
        <v>951</v>
      </c>
      <c r="B113" s="19"/>
      <c r="C113" s="19"/>
      <c r="D113" s="19"/>
      <c r="E113" s="19"/>
      <c r="F113" s="19">
        <v>7199.5</v>
      </c>
      <c r="G113" s="19">
        <v>9545</v>
      </c>
      <c r="H113" s="19"/>
      <c r="I113" s="19"/>
      <c r="J113" s="19">
        <v>6100.42</v>
      </c>
      <c r="K113" s="19"/>
      <c r="L113" s="19"/>
      <c r="M113" s="23">
        <f>SUM(Tabla2[[#This Row],[01. Alcaldía]:[11. Salud pública y seguridad ciudadana]])</f>
        <v>22844.92</v>
      </c>
    </row>
    <row r="114" spans="1:13" x14ac:dyDescent="0.25">
      <c r="A114" s="21" t="s">
        <v>462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720</v>
      </c>
      <c r="L114" s="19"/>
      <c r="M114" s="23">
        <f>SUM(Tabla2[[#This Row],[01. Alcaldía]:[11. Salud pública y seguridad ciudadana]])</f>
        <v>720</v>
      </c>
    </row>
    <row r="115" spans="1:13" x14ac:dyDescent="0.25">
      <c r="A115" s="21" t="s">
        <v>264</v>
      </c>
      <c r="B115" s="19"/>
      <c r="C115" s="19"/>
      <c r="D115" s="19"/>
      <c r="E115" s="19">
        <v>709.5</v>
      </c>
      <c r="F115" s="19"/>
      <c r="G115" s="19"/>
      <c r="H115" s="19"/>
      <c r="I115" s="19"/>
      <c r="J115" s="19"/>
      <c r="K115" s="19">
        <v>190</v>
      </c>
      <c r="L115" s="19"/>
      <c r="M115" s="23">
        <f>SUM(Tabla2[[#This Row],[01. Alcaldía]:[11. Salud pública y seguridad ciudadana]])</f>
        <v>899.5</v>
      </c>
    </row>
    <row r="116" spans="1:13" x14ac:dyDescent="0.25">
      <c r="A116" s="21" t="s">
        <v>459</v>
      </c>
      <c r="B116" s="19"/>
      <c r="C116" s="19"/>
      <c r="D116" s="19"/>
      <c r="E116" s="19"/>
      <c r="F116" s="19"/>
      <c r="G116" s="19"/>
      <c r="H116" s="19"/>
      <c r="I116" s="19"/>
      <c r="J116" s="19">
        <v>3599.75</v>
      </c>
      <c r="K116" s="19"/>
      <c r="L116" s="19"/>
      <c r="M116" s="23">
        <f>SUM(Tabla2[[#This Row],[01. Alcaldía]:[11. Salud pública y seguridad ciudadana]])</f>
        <v>3599.75</v>
      </c>
    </row>
    <row r="117" spans="1:13" x14ac:dyDescent="0.25">
      <c r="A117" s="21" t="s">
        <v>827</v>
      </c>
      <c r="B117" s="19"/>
      <c r="C117" s="19"/>
      <c r="D117" s="19">
        <v>484</v>
      </c>
      <c r="E117" s="19"/>
      <c r="F117" s="19"/>
      <c r="G117" s="19"/>
      <c r="H117" s="19"/>
      <c r="I117" s="19"/>
      <c r="J117" s="19"/>
      <c r="K117" s="19"/>
      <c r="L117" s="19"/>
      <c r="M117" s="23">
        <f>SUM(Tabla2[[#This Row],[01. Alcaldía]:[11. Salud pública y seguridad ciudadana]])</f>
        <v>484</v>
      </c>
    </row>
    <row r="118" spans="1:13" x14ac:dyDescent="0.25">
      <c r="A118" s="21" t="s">
        <v>35</v>
      </c>
      <c r="B118" s="19"/>
      <c r="C118" s="19"/>
      <c r="D118" s="19"/>
      <c r="E118" s="19"/>
      <c r="F118" s="19"/>
      <c r="G118" s="19">
        <v>1500</v>
      </c>
      <c r="H118" s="19"/>
      <c r="I118" s="19"/>
      <c r="J118" s="19"/>
      <c r="K118" s="19"/>
      <c r="L118" s="19"/>
      <c r="M118" s="23">
        <f>SUM(Tabla2[[#This Row],[01. Alcaldía]:[11. Salud pública y seguridad ciudadana]])</f>
        <v>1500</v>
      </c>
    </row>
    <row r="119" spans="1:13" x14ac:dyDescent="0.25">
      <c r="A119" s="21" t="s">
        <v>985</v>
      </c>
      <c r="B119" s="19"/>
      <c r="C119" s="19"/>
      <c r="D119" s="19"/>
      <c r="E119" s="19"/>
      <c r="F119" s="19"/>
      <c r="G119" s="19"/>
      <c r="H119" s="19"/>
      <c r="I119" s="19"/>
      <c r="J119" s="19">
        <v>1355.81</v>
      </c>
      <c r="K119" s="19"/>
      <c r="L119" s="19"/>
      <c r="M119" s="23">
        <f>SUM(Tabla2[[#This Row],[01. Alcaldía]:[11. Salud pública y seguridad ciudadana]])</f>
        <v>1355.81</v>
      </c>
    </row>
    <row r="120" spans="1:13" x14ac:dyDescent="0.25">
      <c r="A120" s="21" t="s">
        <v>3241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385</v>
      </c>
      <c r="M120" s="23">
        <f>SUM(Tabla2[[#This Row],[01. Alcaldía]:[11. Salud pública y seguridad ciudadana]])</f>
        <v>385</v>
      </c>
    </row>
    <row r="121" spans="1:13" x14ac:dyDescent="0.25">
      <c r="A121" s="21" t="s">
        <v>33</v>
      </c>
      <c r="B121" s="19"/>
      <c r="C121" s="19"/>
      <c r="D121" s="19"/>
      <c r="E121" s="19"/>
      <c r="F121" s="19"/>
      <c r="G121" s="19"/>
      <c r="H121" s="19">
        <v>6413</v>
      </c>
      <c r="I121" s="19"/>
      <c r="J121" s="19"/>
      <c r="K121" s="19"/>
      <c r="L121" s="19"/>
      <c r="M121" s="23">
        <f>SUM(Tabla2[[#This Row],[01. Alcaldía]:[11. Salud pública y seguridad ciudadana]])</f>
        <v>6413</v>
      </c>
    </row>
    <row r="122" spans="1:13" x14ac:dyDescent="0.25">
      <c r="A122" s="21" t="s">
        <v>581</v>
      </c>
      <c r="B122" s="19"/>
      <c r="C122" s="19"/>
      <c r="D122" s="19"/>
      <c r="E122" s="19"/>
      <c r="F122" s="19"/>
      <c r="G122" s="19"/>
      <c r="H122" s="19">
        <v>7260</v>
      </c>
      <c r="I122" s="19"/>
      <c r="J122" s="19"/>
      <c r="K122" s="19"/>
      <c r="L122" s="19"/>
      <c r="M122" s="23">
        <f>SUM(Tabla2[[#This Row],[01. Alcaldía]:[11. Salud pública y seguridad ciudadana]])</f>
        <v>7260</v>
      </c>
    </row>
    <row r="123" spans="1:13" x14ac:dyDescent="0.25">
      <c r="A123" s="21" t="s">
        <v>820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484</v>
      </c>
      <c r="M123" s="23">
        <f>SUM(Tabla2[[#This Row],[01. Alcaldía]:[11. Salud pública y seguridad ciudadana]])</f>
        <v>484</v>
      </c>
    </row>
    <row r="124" spans="1:13" x14ac:dyDescent="0.25">
      <c r="A124" s="21" t="s">
        <v>999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>
        <v>628.6</v>
      </c>
      <c r="L124" s="19"/>
      <c r="M124" s="23">
        <f>SUM(Tabla2[[#This Row],[01. Alcaldía]:[11. Salud pública y seguridad ciudadana]])</f>
        <v>628.6</v>
      </c>
    </row>
    <row r="125" spans="1:13" x14ac:dyDescent="0.25">
      <c r="A125" s="21" t="s">
        <v>1179</v>
      </c>
      <c r="B125" s="19"/>
      <c r="C125" s="19"/>
      <c r="D125" s="19"/>
      <c r="E125" s="19"/>
      <c r="F125" s="19"/>
      <c r="G125" s="19"/>
      <c r="H125" s="19">
        <v>1605.67</v>
      </c>
      <c r="I125" s="19"/>
      <c r="J125" s="19"/>
      <c r="K125" s="19"/>
      <c r="L125" s="19"/>
      <c r="M125" s="23">
        <f>SUM(Tabla2[[#This Row],[01. Alcaldía]:[11. Salud pública y seguridad ciudadana]])</f>
        <v>1605.67</v>
      </c>
    </row>
    <row r="126" spans="1:13" x14ac:dyDescent="0.25">
      <c r="A126" s="21" t="s">
        <v>1016</v>
      </c>
      <c r="B126" s="19"/>
      <c r="C126" s="19"/>
      <c r="D126" s="19">
        <v>1695</v>
      </c>
      <c r="E126" s="19"/>
      <c r="F126" s="19"/>
      <c r="G126" s="19"/>
      <c r="H126" s="19"/>
      <c r="I126" s="19"/>
      <c r="J126" s="19"/>
      <c r="K126" s="19"/>
      <c r="L126" s="19"/>
      <c r="M126" s="23">
        <f>SUM(Tabla2[[#This Row],[01. Alcaldía]:[11. Salud pública y seguridad ciudadana]])</f>
        <v>1695</v>
      </c>
    </row>
    <row r="127" spans="1:13" x14ac:dyDescent="0.25">
      <c r="A127" s="21" t="s">
        <v>84</v>
      </c>
      <c r="B127" s="19">
        <v>1584</v>
      </c>
      <c r="C127" s="19"/>
      <c r="D127" s="19"/>
      <c r="E127" s="19">
        <v>550</v>
      </c>
      <c r="F127" s="19"/>
      <c r="G127" s="19"/>
      <c r="H127" s="19">
        <v>561.44000000000005</v>
      </c>
      <c r="I127" s="19"/>
      <c r="J127" s="19"/>
      <c r="K127" s="19">
        <v>157.08000000000001</v>
      </c>
      <c r="L127" s="19"/>
      <c r="M127" s="23">
        <f>SUM(Tabla2[[#This Row],[01. Alcaldía]:[11. Salud pública y seguridad ciudadana]])</f>
        <v>2852.52</v>
      </c>
    </row>
    <row r="128" spans="1:13" x14ac:dyDescent="0.25">
      <c r="A128" s="21" t="s">
        <v>1236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10465.43</v>
      </c>
      <c r="M128" s="23">
        <f>SUM(Tabla2[[#This Row],[01. Alcaldía]:[11. Salud pública y seguridad ciudadana]])</f>
        <v>10465.43</v>
      </c>
    </row>
    <row r="129" spans="1:13" x14ac:dyDescent="0.25">
      <c r="A129" s="21" t="s">
        <v>51</v>
      </c>
      <c r="B129" s="19"/>
      <c r="C129" s="19"/>
      <c r="D129" s="19"/>
      <c r="E129" s="19"/>
      <c r="F129" s="19"/>
      <c r="G129" s="19">
        <v>17711.93</v>
      </c>
      <c r="H129" s="19"/>
      <c r="I129" s="19"/>
      <c r="J129" s="19"/>
      <c r="K129" s="19"/>
      <c r="L129" s="19"/>
      <c r="M129" s="23">
        <f>SUM(Tabla2[[#This Row],[01. Alcaldía]:[11. Salud pública y seguridad ciudadana]])</f>
        <v>17711.93</v>
      </c>
    </row>
    <row r="130" spans="1:13" x14ac:dyDescent="0.25">
      <c r="A130" s="21" t="s">
        <v>968</v>
      </c>
      <c r="B130" s="19"/>
      <c r="C130" s="19"/>
      <c r="D130" s="19"/>
      <c r="E130" s="19"/>
      <c r="F130" s="19"/>
      <c r="G130" s="19">
        <v>863.94</v>
      </c>
      <c r="H130" s="19"/>
      <c r="I130" s="19"/>
      <c r="J130" s="19"/>
      <c r="K130" s="19"/>
      <c r="L130" s="19"/>
      <c r="M130" s="23">
        <f>SUM(Tabla2[[#This Row],[01. Alcaldía]:[11. Salud pública y seguridad ciudadana]])</f>
        <v>863.94</v>
      </c>
    </row>
    <row r="131" spans="1:13" x14ac:dyDescent="0.25">
      <c r="A131" s="21" t="s">
        <v>2977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3194.4</v>
      </c>
      <c r="M131" s="23">
        <f>SUM(Tabla2[[#This Row],[01. Alcaldía]:[11. Salud pública y seguridad ciudadana]])</f>
        <v>3194.4</v>
      </c>
    </row>
    <row r="132" spans="1:13" x14ac:dyDescent="0.25">
      <c r="A132" s="21" t="s">
        <v>867</v>
      </c>
      <c r="B132" s="19"/>
      <c r="C132" s="19">
        <v>2211.84</v>
      </c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SUM(Tabla2[[#This Row],[01. Alcaldía]:[11. Salud pública y seguridad ciudadana]])</f>
        <v>2211.84</v>
      </c>
    </row>
    <row r="133" spans="1:13" x14ac:dyDescent="0.25">
      <c r="A133" s="21" t="s">
        <v>752</v>
      </c>
      <c r="B133" s="19"/>
      <c r="C133" s="19"/>
      <c r="D133" s="19"/>
      <c r="E133" s="19"/>
      <c r="F133" s="19"/>
      <c r="G133" s="19"/>
      <c r="H133" s="19">
        <v>600</v>
      </c>
      <c r="I133" s="19"/>
      <c r="J133" s="19"/>
      <c r="K133" s="19"/>
      <c r="L133" s="19">
        <v>663.56</v>
      </c>
      <c r="M133" s="23">
        <f>SUM(Tabla2[[#This Row],[01. Alcaldía]:[11. Salud pública y seguridad ciudadana]])</f>
        <v>1263.56</v>
      </c>
    </row>
    <row r="134" spans="1:13" x14ac:dyDescent="0.25">
      <c r="A134" s="21" t="s">
        <v>3018</v>
      </c>
      <c r="B134" s="19"/>
      <c r="C134" s="19"/>
      <c r="D134" s="19"/>
      <c r="E134" s="19"/>
      <c r="F134" s="19"/>
      <c r="G134" s="19"/>
      <c r="H134" s="19">
        <v>2565.1999999999998</v>
      </c>
      <c r="I134" s="19"/>
      <c r="J134" s="19"/>
      <c r="K134" s="19"/>
      <c r="L134" s="19"/>
      <c r="M134" s="23">
        <f>SUM(Tabla2[[#This Row],[01. Alcaldía]:[11. Salud pública y seguridad ciudadana]])</f>
        <v>2565.1999999999998</v>
      </c>
    </row>
    <row r="135" spans="1:13" x14ac:dyDescent="0.25">
      <c r="A135" s="21" t="s">
        <v>887</v>
      </c>
      <c r="B135" s="19"/>
      <c r="C135" s="19"/>
      <c r="D135" s="19"/>
      <c r="E135" s="19"/>
      <c r="F135" s="19">
        <v>7260</v>
      </c>
      <c r="G135" s="19"/>
      <c r="H135" s="19"/>
      <c r="I135" s="19"/>
      <c r="J135" s="19"/>
      <c r="K135" s="19"/>
      <c r="L135" s="19"/>
      <c r="M135" s="23">
        <f>SUM(Tabla2[[#This Row],[01. Alcaldía]:[11. Salud pública y seguridad ciudadana]])</f>
        <v>7260</v>
      </c>
    </row>
    <row r="136" spans="1:13" x14ac:dyDescent="0.25">
      <c r="A136" s="21" t="s">
        <v>953</v>
      </c>
      <c r="B136" s="19">
        <v>3008.54</v>
      </c>
      <c r="C136" s="19"/>
      <c r="D136" s="19"/>
      <c r="E136" s="19"/>
      <c r="F136" s="19"/>
      <c r="G136" s="19"/>
      <c r="H136" s="19"/>
      <c r="I136" s="19"/>
      <c r="J136" s="19">
        <v>2363.86</v>
      </c>
      <c r="K136" s="19"/>
      <c r="L136" s="19"/>
      <c r="M136" s="23">
        <f>SUM(Tabla2[[#This Row],[01. Alcaldía]:[11. Salud pública y seguridad ciudadana]])</f>
        <v>5372.4</v>
      </c>
    </row>
    <row r="137" spans="1:13" x14ac:dyDescent="0.25">
      <c r="A137" s="21" t="s">
        <v>1184</v>
      </c>
      <c r="B137" s="19"/>
      <c r="C137" s="19"/>
      <c r="D137" s="19"/>
      <c r="E137" s="19"/>
      <c r="F137" s="19">
        <v>5390.4</v>
      </c>
      <c r="G137" s="19"/>
      <c r="H137" s="19"/>
      <c r="I137" s="19"/>
      <c r="J137" s="19"/>
      <c r="K137" s="19"/>
      <c r="L137" s="19"/>
      <c r="M137" s="23">
        <f>SUM(Tabla2[[#This Row],[01. Alcaldía]:[11. Salud pública y seguridad ciudadana]])</f>
        <v>5390.4</v>
      </c>
    </row>
    <row r="138" spans="1:13" x14ac:dyDescent="0.25">
      <c r="A138" s="21" t="s">
        <v>1238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433.43</v>
      </c>
      <c r="L138" s="19"/>
      <c r="M138" s="23">
        <f>SUM(Tabla2[[#This Row],[01. Alcaldía]:[11. Salud pública y seguridad ciudadana]])</f>
        <v>433.43</v>
      </c>
    </row>
    <row r="139" spans="1:13" x14ac:dyDescent="0.25">
      <c r="A139" s="21" t="s">
        <v>103</v>
      </c>
      <c r="B139" s="19"/>
      <c r="C139" s="19">
        <v>16933.95</v>
      </c>
      <c r="D139" s="19">
        <v>6025.8</v>
      </c>
      <c r="E139" s="19"/>
      <c r="F139" s="19"/>
      <c r="G139" s="19"/>
      <c r="H139" s="19"/>
      <c r="I139" s="19">
        <v>6231.5</v>
      </c>
      <c r="J139" s="19"/>
      <c r="K139" s="19"/>
      <c r="L139" s="19"/>
      <c r="M139" s="23">
        <f>SUM(Tabla2[[#This Row],[01. Alcaldía]:[11. Salud pública y seguridad ciudadana]])</f>
        <v>29191.25</v>
      </c>
    </row>
    <row r="140" spans="1:13" x14ac:dyDescent="0.25">
      <c r="A140" s="21" t="s">
        <v>102</v>
      </c>
      <c r="B140" s="19"/>
      <c r="C140" s="19"/>
      <c r="D140" s="19"/>
      <c r="E140" s="19"/>
      <c r="F140" s="19">
        <v>1074.9100000000001</v>
      </c>
      <c r="G140" s="19">
        <v>2289.98</v>
      </c>
      <c r="H140" s="19"/>
      <c r="I140" s="19"/>
      <c r="J140" s="19"/>
      <c r="K140" s="19">
        <v>238.75</v>
      </c>
      <c r="L140" s="19"/>
      <c r="M140" s="23">
        <f>SUM(Tabla2[[#This Row],[01. Alcaldía]:[11. Salud pública y seguridad ciudadana]])</f>
        <v>3603.6400000000003</v>
      </c>
    </row>
    <row r="141" spans="1:13" x14ac:dyDescent="0.25">
      <c r="A141" s="21" t="s">
        <v>894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>
        <v>7442.9</v>
      </c>
      <c r="M141" s="23">
        <f>SUM(Tabla2[[#This Row],[01. Alcaldía]:[11. Salud pública y seguridad ciudadana]])</f>
        <v>7442.9</v>
      </c>
    </row>
    <row r="142" spans="1:13" x14ac:dyDescent="0.25">
      <c r="A142" s="21" t="s">
        <v>3267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>
        <v>306.5</v>
      </c>
      <c r="L142" s="19"/>
      <c r="M142" s="23">
        <f>SUM(Tabla2[[#This Row],[01. Alcaldía]:[11. Salud pública y seguridad ciudadana]])</f>
        <v>306.5</v>
      </c>
    </row>
    <row r="143" spans="1:13" x14ac:dyDescent="0.25">
      <c r="A143" s="21" t="s">
        <v>862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1512.5</v>
      </c>
      <c r="M143" s="23">
        <f>SUM(Tabla2[[#This Row],[01. Alcaldía]:[11. Salud pública y seguridad ciudadana]])</f>
        <v>1512.5</v>
      </c>
    </row>
    <row r="144" spans="1:13" x14ac:dyDescent="0.25">
      <c r="A144" s="21" t="s">
        <v>492</v>
      </c>
      <c r="B144" s="19"/>
      <c r="C144" s="19"/>
      <c r="D144" s="19"/>
      <c r="E144" s="19"/>
      <c r="F144" s="19"/>
      <c r="G144" s="19"/>
      <c r="H144" s="19">
        <v>2722.5</v>
      </c>
      <c r="I144" s="19"/>
      <c r="J144" s="19"/>
      <c r="K144" s="19"/>
      <c r="L144" s="19"/>
      <c r="M144" s="23">
        <f>SUM(Tabla2[[#This Row],[01. Alcaldía]:[11. Salud pública y seguridad ciudadana]])</f>
        <v>2722.5</v>
      </c>
    </row>
    <row r="145" spans="1:13" x14ac:dyDescent="0.25">
      <c r="A145" s="21" t="s">
        <v>56</v>
      </c>
      <c r="B145" s="19"/>
      <c r="C145" s="19"/>
      <c r="D145" s="19"/>
      <c r="E145" s="19"/>
      <c r="F145" s="19"/>
      <c r="G145" s="19">
        <v>1062.43</v>
      </c>
      <c r="H145" s="19">
        <v>689.7</v>
      </c>
      <c r="I145" s="19"/>
      <c r="J145" s="19"/>
      <c r="K145" s="19"/>
      <c r="L145" s="19">
        <v>96.8</v>
      </c>
      <c r="M145" s="23">
        <f>SUM(Tabla2[[#This Row],[01. Alcaldía]:[11. Salud pública y seguridad ciudadana]])</f>
        <v>1848.93</v>
      </c>
    </row>
    <row r="146" spans="1:13" x14ac:dyDescent="0.25">
      <c r="A146" s="21" t="s">
        <v>984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>
        <v>1965.4099999999999</v>
      </c>
      <c r="M146" s="23">
        <f>SUM(Tabla2[[#This Row],[01. Alcaldía]:[11. Salud pública y seguridad ciudadana]])</f>
        <v>1965.4099999999999</v>
      </c>
    </row>
    <row r="147" spans="1:13" x14ac:dyDescent="0.25">
      <c r="A147" s="21" t="s">
        <v>44</v>
      </c>
      <c r="B147" s="19"/>
      <c r="C147" s="19"/>
      <c r="D147" s="19"/>
      <c r="E147" s="19"/>
      <c r="F147" s="19"/>
      <c r="G147" s="19">
        <v>11869.49</v>
      </c>
      <c r="H147" s="19">
        <v>5185.8099999999995</v>
      </c>
      <c r="I147" s="19">
        <v>1288.1300000000001</v>
      </c>
      <c r="J147" s="19">
        <v>516.95000000000005</v>
      </c>
      <c r="K147" s="19">
        <v>6847.49</v>
      </c>
      <c r="L147" s="19">
        <v>7779.41</v>
      </c>
      <c r="M147" s="23">
        <f>SUM(Tabla2[[#This Row],[01. Alcaldía]:[11. Salud pública y seguridad ciudadana]])</f>
        <v>33487.279999999999</v>
      </c>
    </row>
    <row r="148" spans="1:13" x14ac:dyDescent="0.25">
      <c r="A148" s="21" t="s">
        <v>807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1210</v>
      </c>
      <c r="L148" s="19"/>
      <c r="M148" s="23">
        <f>SUM(Tabla2[[#This Row],[01. Alcaldía]:[11. Salud pública y seguridad ciudadana]])</f>
        <v>1210</v>
      </c>
    </row>
    <row r="149" spans="1:13" x14ac:dyDescent="0.25">
      <c r="A149" s="21" t="s">
        <v>87</v>
      </c>
      <c r="B149" s="19"/>
      <c r="C149" s="19"/>
      <c r="D149" s="19"/>
      <c r="E149" s="19"/>
      <c r="F149" s="19"/>
      <c r="G149" s="19">
        <v>4800</v>
      </c>
      <c r="H149" s="19"/>
      <c r="I149" s="19"/>
      <c r="J149" s="19"/>
      <c r="K149" s="19"/>
      <c r="L149" s="19"/>
      <c r="M149" s="23">
        <f>SUM(Tabla2[[#This Row],[01. Alcaldía]:[11. Salud pública y seguridad ciudadana]])</f>
        <v>4800</v>
      </c>
    </row>
    <row r="150" spans="1:13" x14ac:dyDescent="0.25">
      <c r="A150" s="21" t="s">
        <v>952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13668.89</v>
      </c>
      <c r="M150" s="23">
        <f>SUM(Tabla2[[#This Row],[01. Alcaldía]:[11. Salud pública y seguridad ciudadana]])</f>
        <v>13668.89</v>
      </c>
    </row>
    <row r="151" spans="1:13" x14ac:dyDescent="0.25">
      <c r="A151" s="21" t="s">
        <v>3250</v>
      </c>
      <c r="B151" s="19"/>
      <c r="C151" s="19"/>
      <c r="D151" s="19"/>
      <c r="E151" s="19"/>
      <c r="F151" s="19"/>
      <c r="G151" s="19">
        <v>350</v>
      </c>
      <c r="H151" s="19"/>
      <c r="I151" s="19"/>
      <c r="J151" s="19"/>
      <c r="K151" s="19"/>
      <c r="L151" s="19"/>
      <c r="M151" s="23">
        <f>SUM(Tabla2[[#This Row],[01. Alcaldía]:[11. Salud pública y seguridad ciudadana]])</f>
        <v>350</v>
      </c>
    </row>
    <row r="152" spans="1:13" x14ac:dyDescent="0.25">
      <c r="A152" s="21" t="s">
        <v>1129</v>
      </c>
      <c r="B152" s="19"/>
      <c r="C152" s="19"/>
      <c r="D152" s="19">
        <v>968</v>
      </c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968</v>
      </c>
    </row>
    <row r="153" spans="1:13" x14ac:dyDescent="0.25">
      <c r="A153" s="21" t="s">
        <v>3161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>
        <v>822.8</v>
      </c>
      <c r="L153" s="19"/>
      <c r="M153" s="23">
        <f>SUM(Tabla2[[#This Row],[01. Alcaldía]:[11. Salud pública y seguridad ciudadana]])</f>
        <v>822.8</v>
      </c>
    </row>
    <row r="154" spans="1:13" x14ac:dyDescent="0.25">
      <c r="A154" s="21" t="s">
        <v>1000</v>
      </c>
      <c r="B154" s="19"/>
      <c r="C154" s="19"/>
      <c r="D154" s="19">
        <v>440</v>
      </c>
      <c r="E154" s="19"/>
      <c r="F154" s="19"/>
      <c r="G154" s="19"/>
      <c r="H154" s="19"/>
      <c r="I154" s="19"/>
      <c r="J154" s="19"/>
      <c r="K154" s="19"/>
      <c r="L154" s="19"/>
      <c r="M154" s="23">
        <f>SUM(Tabla2[[#This Row],[01. Alcaldía]:[11. Salud pública y seguridad ciudadana]])</f>
        <v>440</v>
      </c>
    </row>
    <row r="155" spans="1:13" x14ac:dyDescent="0.25">
      <c r="A155" s="21" t="s">
        <v>3115</v>
      </c>
      <c r="B155" s="19"/>
      <c r="C155" s="19"/>
      <c r="D155" s="19">
        <v>598.95000000000005</v>
      </c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598.95000000000005</v>
      </c>
    </row>
    <row r="156" spans="1:13" x14ac:dyDescent="0.25">
      <c r="A156" s="21" t="s">
        <v>828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567.01</v>
      </c>
      <c r="M156" s="23">
        <f>SUM(Tabla2[[#This Row],[01. Alcaldía]:[11. Salud pública y seguridad ciudadana]])</f>
        <v>567.01</v>
      </c>
    </row>
    <row r="157" spans="1:13" x14ac:dyDescent="0.25">
      <c r="A157" s="21" t="s">
        <v>848</v>
      </c>
      <c r="B157" s="19"/>
      <c r="C157" s="19"/>
      <c r="D157" s="19">
        <v>6655</v>
      </c>
      <c r="E157" s="19"/>
      <c r="F157" s="19"/>
      <c r="G157" s="19"/>
      <c r="H157" s="19"/>
      <c r="I157" s="19"/>
      <c r="J157" s="19"/>
      <c r="K157" s="19"/>
      <c r="L157" s="19"/>
      <c r="M157" s="23">
        <f>SUM(Tabla2[[#This Row],[01. Alcaldía]:[11. Salud pública y seguridad ciudadana]])</f>
        <v>6655</v>
      </c>
    </row>
    <row r="158" spans="1:13" x14ac:dyDescent="0.25">
      <c r="A158" s="21" t="s">
        <v>1344</v>
      </c>
      <c r="B158" s="19"/>
      <c r="C158" s="19"/>
      <c r="D158" s="19"/>
      <c r="E158" s="19"/>
      <c r="F158" s="19">
        <v>11205.81</v>
      </c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11205.81</v>
      </c>
    </row>
    <row r="159" spans="1:13" x14ac:dyDescent="0.25">
      <c r="A159" s="21" t="s">
        <v>81</v>
      </c>
      <c r="B159" s="19">
        <v>3960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3960</v>
      </c>
    </row>
    <row r="160" spans="1:13" x14ac:dyDescent="0.25">
      <c r="A160" s="21" t="s">
        <v>1130</v>
      </c>
      <c r="B160" s="19"/>
      <c r="C160" s="19"/>
      <c r="D160" s="19"/>
      <c r="E160" s="19"/>
      <c r="F160" s="19"/>
      <c r="G160" s="19"/>
      <c r="H160" s="19"/>
      <c r="I160" s="19"/>
      <c r="J160" s="19">
        <v>8973.36</v>
      </c>
      <c r="K160" s="19"/>
      <c r="L160" s="19"/>
      <c r="M160" s="23">
        <f>SUM(Tabla2[[#This Row],[01. Alcaldía]:[11. Salud pública y seguridad ciudadana]])</f>
        <v>8973.36</v>
      </c>
    </row>
    <row r="161" spans="1:13" x14ac:dyDescent="0.25">
      <c r="A161" s="21" t="s">
        <v>503</v>
      </c>
      <c r="B161" s="19"/>
      <c r="C161" s="19"/>
      <c r="D161" s="19">
        <v>4763.97</v>
      </c>
      <c r="E161" s="19"/>
      <c r="F161" s="19"/>
      <c r="G161" s="19"/>
      <c r="H161" s="19"/>
      <c r="I161" s="19"/>
      <c r="J161" s="19"/>
      <c r="K161" s="19"/>
      <c r="L161" s="19"/>
      <c r="M161" s="23">
        <f>SUM(Tabla2[[#This Row],[01. Alcaldía]:[11. Salud pública y seguridad ciudadana]])</f>
        <v>4763.97</v>
      </c>
    </row>
    <row r="162" spans="1:13" x14ac:dyDescent="0.25">
      <c r="A162" s="21" t="s">
        <v>932</v>
      </c>
      <c r="B162" s="19"/>
      <c r="C162" s="19"/>
      <c r="D162" s="19">
        <v>1305.3700000000001</v>
      </c>
      <c r="E162" s="19"/>
      <c r="F162" s="19"/>
      <c r="G162" s="19"/>
      <c r="H162" s="19"/>
      <c r="I162" s="19"/>
      <c r="J162" s="19"/>
      <c r="K162" s="19"/>
      <c r="L162" s="19"/>
      <c r="M162" s="23">
        <f>SUM(Tabla2[[#This Row],[01. Alcaldía]:[11. Salud pública y seguridad ciudadana]])</f>
        <v>1305.3700000000001</v>
      </c>
    </row>
    <row r="163" spans="1:13" x14ac:dyDescent="0.25">
      <c r="A163" s="21" t="s">
        <v>3024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>
        <v>2500</v>
      </c>
      <c r="M163" s="23">
        <f>SUM(Tabla2[[#This Row],[01. Alcaldía]:[11. Salud pública y seguridad ciudadana]])</f>
        <v>2500</v>
      </c>
    </row>
    <row r="164" spans="1:13" x14ac:dyDescent="0.25">
      <c r="A164" s="21" t="s">
        <v>1165</v>
      </c>
      <c r="B164" s="19"/>
      <c r="C164" s="19"/>
      <c r="D164" s="19">
        <v>5000</v>
      </c>
      <c r="E164" s="19"/>
      <c r="F164" s="19"/>
      <c r="G164" s="19"/>
      <c r="H164" s="19"/>
      <c r="I164" s="19"/>
      <c r="J164" s="19"/>
      <c r="K164" s="19"/>
      <c r="L164" s="19"/>
      <c r="M164" s="23">
        <f>SUM(Tabla2[[#This Row],[01. Alcaldía]:[11. Salud pública y seguridad ciudadana]])</f>
        <v>5000</v>
      </c>
    </row>
    <row r="165" spans="1:13" x14ac:dyDescent="0.25">
      <c r="A165" s="21" t="s">
        <v>2823</v>
      </c>
      <c r="B165" s="19"/>
      <c r="C165" s="19"/>
      <c r="D165" s="19"/>
      <c r="E165" s="19"/>
      <c r="F165" s="19"/>
      <c r="G165" s="19">
        <v>16185.5</v>
      </c>
      <c r="H165" s="19"/>
      <c r="I165" s="19"/>
      <c r="J165" s="19"/>
      <c r="K165" s="19"/>
      <c r="L165" s="19"/>
      <c r="M165" s="23">
        <f>SUM(Tabla2[[#This Row],[01. Alcaldía]:[11. Salud pública y seguridad ciudadana]])</f>
        <v>16185.5</v>
      </c>
    </row>
    <row r="166" spans="1:13" x14ac:dyDescent="0.25">
      <c r="A166" s="21" t="s">
        <v>3255</v>
      </c>
      <c r="B166" s="19"/>
      <c r="C166" s="19"/>
      <c r="D166" s="19"/>
      <c r="E166" s="19"/>
      <c r="F166" s="19"/>
      <c r="G166" s="19">
        <v>333.96</v>
      </c>
      <c r="H166" s="19"/>
      <c r="I166" s="19"/>
      <c r="J166" s="19"/>
      <c r="K166" s="19"/>
      <c r="L166" s="19"/>
      <c r="M166" s="23">
        <f>SUM(Tabla2[[#This Row],[01. Alcaldía]:[11. Salud pública y seguridad ciudadana]])</f>
        <v>333.96</v>
      </c>
    </row>
    <row r="167" spans="1:13" x14ac:dyDescent="0.25">
      <c r="A167" s="21" t="s">
        <v>823</v>
      </c>
      <c r="B167" s="19"/>
      <c r="C167" s="19"/>
      <c r="D167" s="19">
        <v>440</v>
      </c>
      <c r="E167" s="19"/>
      <c r="F167" s="19"/>
      <c r="G167" s="19"/>
      <c r="H167" s="19"/>
      <c r="I167" s="19"/>
      <c r="J167" s="19"/>
      <c r="K167" s="19"/>
      <c r="L167" s="19"/>
      <c r="M167" s="23">
        <f>SUM(Tabla2[[#This Row],[01. Alcaldía]:[11. Salud pública y seguridad ciudadana]])</f>
        <v>440</v>
      </c>
    </row>
    <row r="168" spans="1:13" x14ac:dyDescent="0.25">
      <c r="A168" s="21" t="s">
        <v>3371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118.58</v>
      </c>
      <c r="L168" s="19"/>
      <c r="M168" s="23">
        <f>SUM(Tabla2[[#This Row],[01. Alcaldía]:[11. Salud pública y seguridad ciudadana]])</f>
        <v>118.58</v>
      </c>
    </row>
    <row r="169" spans="1:13" x14ac:dyDescent="0.25">
      <c r="A169" s="21" t="s">
        <v>178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815.65</v>
      </c>
      <c r="M169" s="23">
        <f>SUM(Tabla2[[#This Row],[01. Alcaldía]:[11. Salud pública y seguridad ciudadana]])</f>
        <v>815.65</v>
      </c>
    </row>
    <row r="170" spans="1:13" x14ac:dyDescent="0.25">
      <c r="A170" s="21" t="s">
        <v>3020</v>
      </c>
      <c r="B170" s="19"/>
      <c r="C170" s="19"/>
      <c r="D170" s="19"/>
      <c r="E170" s="19"/>
      <c r="F170" s="19"/>
      <c r="G170" s="19"/>
      <c r="H170" s="19">
        <v>2565.1999999999998</v>
      </c>
      <c r="I170" s="19"/>
      <c r="J170" s="19"/>
      <c r="K170" s="19"/>
      <c r="L170" s="19"/>
      <c r="M170" s="23">
        <f>SUM(Tabla2[[#This Row],[01. Alcaldía]:[11. Salud pública y seguridad ciudadana]])</f>
        <v>2565.1999999999998</v>
      </c>
    </row>
    <row r="171" spans="1:13" x14ac:dyDescent="0.25">
      <c r="A171" s="21" t="s">
        <v>928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12771</v>
      </c>
      <c r="M171" s="23">
        <f>SUM(Tabla2[[#This Row],[01. Alcaldía]:[11. Salud pública y seguridad ciudadana]])</f>
        <v>12771</v>
      </c>
    </row>
    <row r="172" spans="1:13" x14ac:dyDescent="0.25">
      <c r="A172" s="21" t="s">
        <v>3003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2500</v>
      </c>
      <c r="M172" s="23">
        <f>SUM(Tabla2[[#This Row],[01. Alcaldía]:[11. Salud pública y seguridad ciudadana]])</f>
        <v>2500</v>
      </c>
    </row>
    <row r="173" spans="1:13" x14ac:dyDescent="0.25">
      <c r="A173" s="21" t="s">
        <v>232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>
        <v>972.84</v>
      </c>
      <c r="M173" s="23">
        <f>SUM(Tabla2[[#This Row],[01. Alcaldía]:[11. Salud pública y seguridad ciudadana]])</f>
        <v>972.84</v>
      </c>
    </row>
    <row r="174" spans="1:13" x14ac:dyDescent="0.25">
      <c r="A174" s="21" t="s">
        <v>1255</v>
      </c>
      <c r="B174" s="19"/>
      <c r="C174" s="19"/>
      <c r="D174" s="19">
        <v>544.5</v>
      </c>
      <c r="E174" s="19"/>
      <c r="F174" s="19"/>
      <c r="G174" s="19"/>
      <c r="H174" s="19"/>
      <c r="I174" s="19"/>
      <c r="J174" s="19"/>
      <c r="K174" s="19"/>
      <c r="L174" s="19"/>
      <c r="M174" s="23">
        <f>SUM(Tabla2[[#This Row],[01. Alcaldía]:[11. Salud pública y seguridad ciudadana]])</f>
        <v>544.5</v>
      </c>
    </row>
    <row r="175" spans="1:13" x14ac:dyDescent="0.25">
      <c r="A175" s="21" t="s">
        <v>994</v>
      </c>
      <c r="B175" s="19"/>
      <c r="C175" s="19"/>
      <c r="D175" s="19"/>
      <c r="E175" s="19"/>
      <c r="F175" s="19"/>
      <c r="G175" s="19">
        <v>2600</v>
      </c>
      <c r="H175" s="19"/>
      <c r="I175" s="19"/>
      <c r="J175" s="19"/>
      <c r="K175" s="19"/>
      <c r="L175" s="19"/>
      <c r="M175" s="23">
        <f>SUM(Tabla2[[#This Row],[01. Alcaldía]:[11. Salud pública y seguridad ciudadana]])</f>
        <v>2600</v>
      </c>
    </row>
    <row r="176" spans="1:13" x14ac:dyDescent="0.25">
      <c r="A176" s="21" t="s">
        <v>1352</v>
      </c>
      <c r="B176" s="19"/>
      <c r="C176" s="19"/>
      <c r="D176" s="19"/>
      <c r="E176" s="19"/>
      <c r="F176" s="19"/>
      <c r="G176" s="19">
        <v>4200</v>
      </c>
      <c r="H176" s="19"/>
      <c r="I176" s="19"/>
      <c r="J176" s="19"/>
      <c r="K176" s="19"/>
      <c r="L176" s="19"/>
      <c r="M176" s="23">
        <f>SUM(Tabla2[[#This Row],[01. Alcaldía]:[11. Salud pública y seguridad ciudadana]])</f>
        <v>4200</v>
      </c>
    </row>
    <row r="177" spans="1:13" x14ac:dyDescent="0.25">
      <c r="A177" s="21" t="s">
        <v>67</v>
      </c>
      <c r="B177" s="19"/>
      <c r="C177" s="19"/>
      <c r="D177" s="19"/>
      <c r="E177" s="19"/>
      <c r="F177" s="19"/>
      <c r="G177" s="19">
        <v>13140.6</v>
      </c>
      <c r="H177" s="19"/>
      <c r="I177" s="19"/>
      <c r="J177" s="19"/>
      <c r="K177" s="19"/>
      <c r="L177" s="19"/>
      <c r="M177" s="23">
        <f>SUM(Tabla2[[#This Row],[01. Alcaldía]:[11. Salud pública y seguridad ciudadana]])</f>
        <v>13140.6</v>
      </c>
    </row>
    <row r="178" spans="1:13" x14ac:dyDescent="0.25">
      <c r="A178" s="21" t="s">
        <v>847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700</v>
      </c>
      <c r="M178" s="23">
        <f>SUM(Tabla2[[#This Row],[01. Alcaldía]:[11. Salud pública y seguridad ciudadana]])</f>
        <v>700</v>
      </c>
    </row>
    <row r="179" spans="1:13" x14ac:dyDescent="0.25">
      <c r="A179" s="21" t="s">
        <v>824</v>
      </c>
      <c r="B179" s="19"/>
      <c r="C179" s="19"/>
      <c r="D179" s="19">
        <v>1089</v>
      </c>
      <c r="E179" s="19"/>
      <c r="F179" s="19"/>
      <c r="G179" s="19"/>
      <c r="H179" s="19"/>
      <c r="I179" s="19"/>
      <c r="J179" s="19"/>
      <c r="K179" s="19"/>
      <c r="L179" s="19"/>
      <c r="M179" s="23">
        <f>SUM(Tabla2[[#This Row],[01. Alcaldía]:[11. Salud pública y seguridad ciudadana]])</f>
        <v>1089</v>
      </c>
    </row>
    <row r="180" spans="1:13" x14ac:dyDescent="0.25">
      <c r="A180" s="21" t="s">
        <v>2897</v>
      </c>
      <c r="B180" s="19">
        <v>5679.93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3">
        <f>SUM(Tabla2[[#This Row],[01. Alcaldía]:[11. Salud pública y seguridad ciudadana]])</f>
        <v>5679.93</v>
      </c>
    </row>
    <row r="181" spans="1:13" x14ac:dyDescent="0.25">
      <c r="A181" s="21" t="s">
        <v>896</v>
      </c>
      <c r="B181" s="19"/>
      <c r="C181" s="19"/>
      <c r="D181" s="19"/>
      <c r="E181" s="19"/>
      <c r="F181" s="19"/>
      <c r="G181" s="19">
        <v>181.5</v>
      </c>
      <c r="H181" s="19"/>
      <c r="I181" s="19"/>
      <c r="J181" s="19"/>
      <c r="K181" s="19"/>
      <c r="L181" s="19"/>
      <c r="M181" s="23">
        <f>SUM(Tabla2[[#This Row],[01. Alcaldía]:[11. Salud pública y seguridad ciudadana]])</f>
        <v>181.5</v>
      </c>
    </row>
    <row r="182" spans="1:13" x14ac:dyDescent="0.25">
      <c r="A182" s="21" t="s">
        <v>2894</v>
      </c>
      <c r="B182" s="19"/>
      <c r="C182" s="19"/>
      <c r="D182" s="19"/>
      <c r="E182" s="19"/>
      <c r="F182" s="19"/>
      <c r="G182" s="19">
        <v>7328</v>
      </c>
      <c r="H182" s="19"/>
      <c r="I182" s="19"/>
      <c r="J182" s="19"/>
      <c r="K182" s="19"/>
      <c r="L182" s="19"/>
      <c r="M182" s="23">
        <f>SUM(Tabla2[[#This Row],[01. Alcaldía]:[11. Salud pública y seguridad ciudadana]])</f>
        <v>7328</v>
      </c>
    </row>
    <row r="183" spans="1:13" x14ac:dyDescent="0.25">
      <c r="A183" s="21" t="s">
        <v>3276</v>
      </c>
      <c r="B183" s="19">
        <v>275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3">
        <f>SUM(Tabla2[[#This Row],[01. Alcaldía]:[11. Salud pública y seguridad ciudadana]])</f>
        <v>275</v>
      </c>
    </row>
    <row r="184" spans="1:13" x14ac:dyDescent="0.25">
      <c r="A184" s="21" t="s">
        <v>250</v>
      </c>
      <c r="B184" s="19"/>
      <c r="C184" s="19"/>
      <c r="D184" s="19"/>
      <c r="E184" s="19"/>
      <c r="F184" s="19">
        <v>290.39999999999998</v>
      </c>
      <c r="G184" s="19">
        <v>135.36000000000001</v>
      </c>
      <c r="H184" s="19"/>
      <c r="I184" s="19"/>
      <c r="J184" s="19"/>
      <c r="K184" s="19"/>
      <c r="L184" s="19"/>
      <c r="M184" s="23">
        <f>SUM(Tabla2[[#This Row],[01. Alcaldía]:[11. Salud pública y seguridad ciudadana]])</f>
        <v>425.76</v>
      </c>
    </row>
    <row r="185" spans="1:13" x14ac:dyDescent="0.25">
      <c r="A185" s="21" t="s">
        <v>936</v>
      </c>
      <c r="B185" s="19"/>
      <c r="C185" s="19"/>
      <c r="D185" s="19"/>
      <c r="E185" s="19"/>
      <c r="F185" s="19">
        <v>5390.55</v>
      </c>
      <c r="G185" s="19"/>
      <c r="H185" s="19"/>
      <c r="I185" s="19"/>
      <c r="J185" s="19"/>
      <c r="K185" s="19"/>
      <c r="L185" s="19"/>
      <c r="M185" s="23">
        <f>SUM(Tabla2[[#This Row],[01. Alcaldía]:[11. Salud pública y seguridad ciudadana]])</f>
        <v>5390.55</v>
      </c>
    </row>
    <row r="186" spans="1:13" x14ac:dyDescent="0.25">
      <c r="A186" s="21" t="s">
        <v>869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2420</v>
      </c>
      <c r="M186" s="23">
        <f>SUM(Tabla2[[#This Row],[01. Alcaldía]:[11. Salud pública y seguridad ciudadana]])</f>
        <v>2420</v>
      </c>
    </row>
    <row r="187" spans="1:13" x14ac:dyDescent="0.25">
      <c r="A187" s="21" t="s">
        <v>1356</v>
      </c>
      <c r="B187" s="19"/>
      <c r="C187" s="19"/>
      <c r="D187" s="19"/>
      <c r="E187" s="19"/>
      <c r="F187" s="19"/>
      <c r="G187" s="19"/>
      <c r="H187" s="19">
        <v>2220.35</v>
      </c>
      <c r="I187" s="19"/>
      <c r="J187" s="19"/>
      <c r="K187" s="19"/>
      <c r="L187" s="19"/>
      <c r="M187" s="23">
        <f>SUM(Tabla2[[#This Row],[01. Alcaldía]:[11. Salud pública y seguridad ciudadana]])</f>
        <v>2220.35</v>
      </c>
    </row>
    <row r="188" spans="1:13" x14ac:dyDescent="0.25">
      <c r="A188" s="21" t="s">
        <v>1004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3548.93</v>
      </c>
      <c r="L188" s="19"/>
      <c r="M188" s="23">
        <f>SUM(Tabla2[[#This Row],[01. Alcaldía]:[11. Salud pública y seguridad ciudadana]])</f>
        <v>3548.93</v>
      </c>
    </row>
    <row r="189" spans="1:13" x14ac:dyDescent="0.25">
      <c r="A189" s="21" t="s">
        <v>1296</v>
      </c>
      <c r="B189" s="19"/>
      <c r="C189" s="19"/>
      <c r="D189" s="19"/>
      <c r="E189" s="19"/>
      <c r="F189" s="19">
        <v>338.8</v>
      </c>
      <c r="G189" s="19"/>
      <c r="H189" s="19"/>
      <c r="I189" s="19"/>
      <c r="J189" s="19"/>
      <c r="K189" s="19"/>
      <c r="L189" s="19"/>
      <c r="M189" s="23">
        <f>SUM(Tabla2[[#This Row],[01. Alcaldía]:[11. Salud pública y seguridad ciudadana]])</f>
        <v>338.8</v>
      </c>
    </row>
    <row r="190" spans="1:13" x14ac:dyDescent="0.25">
      <c r="A190" s="21" t="s">
        <v>3257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321.73</v>
      </c>
      <c r="M190" s="23">
        <f>SUM(Tabla2[[#This Row],[01. Alcaldía]:[11. Salud pública y seguridad ciudadana]])</f>
        <v>321.73</v>
      </c>
    </row>
    <row r="191" spans="1:13" x14ac:dyDescent="0.25">
      <c r="A191" s="21" t="s">
        <v>1102</v>
      </c>
      <c r="B191" s="19"/>
      <c r="C191" s="19">
        <v>943.8</v>
      </c>
      <c r="D191" s="19"/>
      <c r="E191" s="19"/>
      <c r="F191" s="19"/>
      <c r="G191" s="19"/>
      <c r="H191" s="19"/>
      <c r="I191" s="19"/>
      <c r="J191" s="19"/>
      <c r="K191" s="19"/>
      <c r="L191" s="19"/>
      <c r="M191" s="23">
        <f>SUM(Tabla2[[#This Row],[01. Alcaldía]:[11. Salud pública y seguridad ciudadana]])</f>
        <v>943.8</v>
      </c>
    </row>
    <row r="192" spans="1:13" x14ac:dyDescent="0.25">
      <c r="A192" s="21" t="s">
        <v>31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3200</v>
      </c>
      <c r="L192" s="19"/>
      <c r="M192" s="23">
        <f>SUM(Tabla2[[#This Row],[01. Alcaldía]:[11. Salud pública y seguridad ciudadana]])</f>
        <v>3200</v>
      </c>
    </row>
    <row r="193" spans="1:13" x14ac:dyDescent="0.25">
      <c r="A193" s="21" t="s">
        <v>2814</v>
      </c>
      <c r="B193" s="19"/>
      <c r="C193" s="19"/>
      <c r="D193" s="19"/>
      <c r="E193" s="19">
        <v>16940</v>
      </c>
      <c r="F193" s="19"/>
      <c r="G193" s="19"/>
      <c r="H193" s="19"/>
      <c r="I193" s="19"/>
      <c r="J193" s="19"/>
      <c r="K193" s="19"/>
      <c r="L193" s="19"/>
      <c r="M193" s="23">
        <f>SUM(Tabla2[[#This Row],[01. Alcaldía]:[11. Salud pública y seguridad ciudadana]])</f>
        <v>16940</v>
      </c>
    </row>
    <row r="194" spans="1:13" x14ac:dyDescent="0.25">
      <c r="A194" s="21" t="s">
        <v>873</v>
      </c>
      <c r="B194" s="19"/>
      <c r="C194" s="19"/>
      <c r="D194" s="19"/>
      <c r="E194" s="19"/>
      <c r="F194" s="19"/>
      <c r="G194" s="19">
        <v>3746.16</v>
      </c>
      <c r="H194" s="19"/>
      <c r="I194" s="19"/>
      <c r="J194" s="19"/>
      <c r="K194" s="19"/>
      <c r="L194" s="19"/>
      <c r="M194" s="23">
        <f>SUM(Tabla2[[#This Row],[01. Alcaldía]:[11. Salud pública y seguridad ciudadana]])</f>
        <v>3746.16</v>
      </c>
    </row>
    <row r="195" spans="1:13" x14ac:dyDescent="0.25">
      <c r="A195" s="21" t="s">
        <v>1349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2299</v>
      </c>
      <c r="L195" s="19"/>
      <c r="M195" s="23">
        <f>SUM(Tabla2[[#This Row],[01. Alcaldía]:[11. Salud pública y seguridad ciudadana]])</f>
        <v>2299</v>
      </c>
    </row>
    <row r="196" spans="1:13" x14ac:dyDescent="0.25">
      <c r="A196" s="21" t="s">
        <v>1261</v>
      </c>
      <c r="B196" s="19"/>
      <c r="C196" s="19"/>
      <c r="D196" s="19">
        <v>544.5</v>
      </c>
      <c r="E196" s="19"/>
      <c r="F196" s="19"/>
      <c r="G196" s="19"/>
      <c r="H196" s="19"/>
      <c r="I196" s="19"/>
      <c r="J196" s="19"/>
      <c r="K196" s="19"/>
      <c r="L196" s="19"/>
      <c r="M196" s="23">
        <f>SUM(Tabla2[[#This Row],[01. Alcaldía]:[11. Salud pública y seguridad ciudadana]])</f>
        <v>544.5</v>
      </c>
    </row>
    <row r="197" spans="1:13" x14ac:dyDescent="0.25">
      <c r="A197" s="21" t="s">
        <v>1008</v>
      </c>
      <c r="B197" s="19"/>
      <c r="C197" s="19"/>
      <c r="D197" s="19">
        <v>1529</v>
      </c>
      <c r="E197" s="19"/>
      <c r="F197" s="19"/>
      <c r="G197" s="19"/>
      <c r="H197" s="19"/>
      <c r="I197" s="19"/>
      <c r="J197" s="19"/>
      <c r="K197" s="19"/>
      <c r="L197" s="19"/>
      <c r="M197" s="23">
        <f>SUM(Tabla2[[#This Row],[01. Alcaldía]:[11. Salud pública y seguridad ciudadana]])</f>
        <v>1529</v>
      </c>
    </row>
    <row r="198" spans="1:13" x14ac:dyDescent="0.25">
      <c r="A198" s="21" t="s">
        <v>1027</v>
      </c>
      <c r="B198" s="19"/>
      <c r="C198" s="19"/>
      <c r="D198" s="19"/>
      <c r="E198" s="19"/>
      <c r="F198" s="19"/>
      <c r="G198" s="19">
        <v>4180.8</v>
      </c>
      <c r="H198" s="19"/>
      <c r="I198" s="19"/>
      <c r="J198" s="19"/>
      <c r="K198" s="19"/>
      <c r="L198" s="19"/>
      <c r="M198" s="23">
        <f>SUM(Tabla2[[#This Row],[01. Alcaldía]:[11. Salud pública y seguridad ciudadana]])</f>
        <v>4180.8</v>
      </c>
    </row>
    <row r="199" spans="1:13" x14ac:dyDescent="0.25">
      <c r="A199" s="21" t="s">
        <v>1014</v>
      </c>
      <c r="B199" s="19"/>
      <c r="C199" s="19"/>
      <c r="D199" s="19">
        <v>544.5</v>
      </c>
      <c r="E199" s="19"/>
      <c r="F199" s="19"/>
      <c r="G199" s="19"/>
      <c r="H199" s="19"/>
      <c r="I199" s="19"/>
      <c r="J199" s="19"/>
      <c r="K199" s="19"/>
      <c r="L199" s="19"/>
      <c r="M199" s="23">
        <f>SUM(Tabla2[[#This Row],[01. Alcaldía]:[11. Salud pública y seguridad ciudadana]])</f>
        <v>544.5</v>
      </c>
    </row>
    <row r="200" spans="1:13" x14ac:dyDescent="0.25">
      <c r="A200" s="21" t="s">
        <v>60</v>
      </c>
      <c r="B200" s="19"/>
      <c r="C200" s="19"/>
      <c r="D200" s="19"/>
      <c r="E200" s="19"/>
      <c r="F200" s="19"/>
      <c r="G200" s="19">
        <v>3532.62</v>
      </c>
      <c r="H200" s="19"/>
      <c r="I200" s="19"/>
      <c r="J200" s="19"/>
      <c r="K200" s="19"/>
      <c r="L200" s="19">
        <v>4941.18</v>
      </c>
      <c r="M200" s="23">
        <f>SUM(Tabla2[[#This Row],[01. Alcaldía]:[11. Salud pública y seguridad ciudadana]])</f>
        <v>8473.7999999999993</v>
      </c>
    </row>
    <row r="201" spans="1:13" x14ac:dyDescent="0.25">
      <c r="A201" s="21" t="s">
        <v>507</v>
      </c>
      <c r="B201" s="19"/>
      <c r="C201" s="19"/>
      <c r="D201" s="19"/>
      <c r="E201" s="19"/>
      <c r="F201" s="19"/>
      <c r="G201" s="19">
        <v>453.75</v>
      </c>
      <c r="H201" s="19"/>
      <c r="I201" s="19"/>
      <c r="J201" s="19"/>
      <c r="K201" s="19"/>
      <c r="L201" s="19"/>
      <c r="M201" s="23">
        <f>SUM(Tabla2[[#This Row],[01. Alcaldía]:[11. Salud pública y seguridad ciudadana]])</f>
        <v>453.75</v>
      </c>
    </row>
    <row r="202" spans="1:13" x14ac:dyDescent="0.25">
      <c r="A202" s="21" t="s">
        <v>1269</v>
      </c>
      <c r="B202" s="19"/>
      <c r="C202" s="19"/>
      <c r="D202" s="19">
        <v>484</v>
      </c>
      <c r="E202" s="19"/>
      <c r="F202" s="19"/>
      <c r="G202" s="19"/>
      <c r="H202" s="19"/>
      <c r="I202" s="19"/>
      <c r="J202" s="19"/>
      <c r="K202" s="19"/>
      <c r="L202" s="19"/>
      <c r="M202" s="23">
        <f>SUM(Tabla2[[#This Row],[01. Alcaldía]:[11. Salud pública y seguridad ciudadana]])</f>
        <v>484</v>
      </c>
    </row>
    <row r="203" spans="1:13" x14ac:dyDescent="0.25">
      <c r="A203" s="21" t="s">
        <v>78</v>
      </c>
      <c r="B203" s="19"/>
      <c r="C203" s="19"/>
      <c r="D203" s="19"/>
      <c r="E203" s="19"/>
      <c r="F203" s="19">
        <v>2093.3000000000002</v>
      </c>
      <c r="G203" s="19"/>
      <c r="H203" s="19"/>
      <c r="I203" s="19"/>
      <c r="J203" s="19"/>
      <c r="K203" s="19"/>
      <c r="L203" s="19"/>
      <c r="M203" s="23">
        <f>SUM(Tabla2[[#This Row],[01. Alcaldía]:[11. Salud pública y seguridad ciudadana]])</f>
        <v>2093.3000000000002</v>
      </c>
    </row>
    <row r="204" spans="1:13" x14ac:dyDescent="0.25">
      <c r="A204" s="21" t="s">
        <v>2809</v>
      </c>
      <c r="B204" s="19"/>
      <c r="C204" s="19"/>
      <c r="D204" s="19"/>
      <c r="E204" s="19"/>
      <c r="F204" s="19">
        <v>18029</v>
      </c>
      <c r="G204" s="19"/>
      <c r="H204" s="19"/>
      <c r="I204" s="19"/>
      <c r="J204" s="19"/>
      <c r="K204" s="19"/>
      <c r="L204" s="19"/>
      <c r="M204" s="23">
        <f>SUM(Tabla2[[#This Row],[01. Alcaldía]:[11. Salud pública y seguridad ciudadana]])</f>
        <v>18029</v>
      </c>
    </row>
    <row r="205" spans="1:13" x14ac:dyDescent="0.25">
      <c r="A205" s="21" t="s">
        <v>950</v>
      </c>
      <c r="B205" s="19"/>
      <c r="C205" s="19"/>
      <c r="D205" s="19"/>
      <c r="E205" s="19"/>
      <c r="F205" s="19"/>
      <c r="G205" s="19">
        <v>397.5</v>
      </c>
      <c r="H205" s="19"/>
      <c r="I205" s="19"/>
      <c r="J205" s="19"/>
      <c r="K205" s="19"/>
      <c r="L205" s="19"/>
      <c r="M205" s="23">
        <f>SUM(Tabla2[[#This Row],[01. Alcaldía]:[11. Salud pública y seguridad ciudadana]])</f>
        <v>397.5</v>
      </c>
    </row>
    <row r="206" spans="1:13" x14ac:dyDescent="0.25">
      <c r="A206" s="21" t="s">
        <v>997</v>
      </c>
      <c r="B206" s="19"/>
      <c r="C206" s="19"/>
      <c r="D206" s="19"/>
      <c r="E206" s="19"/>
      <c r="F206" s="19"/>
      <c r="G206" s="19"/>
      <c r="H206" s="19">
        <v>3600.96</v>
      </c>
      <c r="I206" s="19"/>
      <c r="J206" s="19"/>
      <c r="K206" s="19"/>
      <c r="L206" s="19"/>
      <c r="M206" s="23">
        <f>SUM(Tabla2[[#This Row],[01. Alcaldía]:[11. Salud pública y seguridad ciudadana]])</f>
        <v>3600.96</v>
      </c>
    </row>
    <row r="207" spans="1:13" x14ac:dyDescent="0.25">
      <c r="A207" s="21" t="s">
        <v>3007</v>
      </c>
      <c r="B207" s="19"/>
      <c r="C207" s="19"/>
      <c r="D207" s="19"/>
      <c r="E207" s="19"/>
      <c r="F207" s="19"/>
      <c r="G207" s="19"/>
      <c r="H207" s="19"/>
      <c r="I207" s="19"/>
      <c r="J207" s="19">
        <v>2843.5</v>
      </c>
      <c r="K207" s="19"/>
      <c r="L207" s="19"/>
      <c r="M207" s="23">
        <f>SUM(Tabla2[[#This Row],[01. Alcaldía]:[11. Salud pública y seguridad ciudadana]])</f>
        <v>2843.5</v>
      </c>
    </row>
    <row r="208" spans="1:13" x14ac:dyDescent="0.25">
      <c r="A208" s="21" t="s">
        <v>1013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>
        <v>15000</v>
      </c>
      <c r="L208" s="19"/>
      <c r="M208" s="23">
        <f>SUM(Tabla2[[#This Row],[01. Alcaldía]:[11. Salud pública y seguridad ciudadana]])</f>
        <v>15000</v>
      </c>
    </row>
    <row r="209" spans="1:13" x14ac:dyDescent="0.25">
      <c r="A209" s="21" t="s">
        <v>1280</v>
      </c>
      <c r="B209" s="19">
        <v>121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3">
        <f>SUM(Tabla2[[#This Row],[01. Alcaldía]:[11. Salud pública y seguridad ciudadana]])</f>
        <v>121</v>
      </c>
    </row>
    <row r="210" spans="1:13" x14ac:dyDescent="0.25">
      <c r="A210" s="21" t="s">
        <v>255</v>
      </c>
      <c r="B210" s="19"/>
      <c r="C210" s="19"/>
      <c r="D210" s="19"/>
      <c r="E210" s="19"/>
      <c r="F210" s="19"/>
      <c r="G210" s="19">
        <v>372.29</v>
      </c>
      <c r="H210" s="19"/>
      <c r="I210" s="19"/>
      <c r="J210" s="19"/>
      <c r="K210" s="19"/>
      <c r="L210" s="19">
        <v>800</v>
      </c>
      <c r="M210" s="23">
        <f>SUM(Tabla2[[#This Row],[01. Alcaldía]:[11. Salud pública y seguridad ciudadana]])</f>
        <v>1172.29</v>
      </c>
    </row>
    <row r="211" spans="1:13" x14ac:dyDescent="0.25">
      <c r="A211" s="21" t="s">
        <v>1353</v>
      </c>
      <c r="B211" s="19"/>
      <c r="C211" s="19"/>
      <c r="D211" s="19">
        <v>800</v>
      </c>
      <c r="E211" s="19"/>
      <c r="F211" s="19"/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800</v>
      </c>
    </row>
    <row r="212" spans="1:13" x14ac:dyDescent="0.25">
      <c r="A212" s="21" t="s">
        <v>962</v>
      </c>
      <c r="B212" s="19"/>
      <c r="C212" s="19"/>
      <c r="D212" s="19">
        <v>800</v>
      </c>
      <c r="E212" s="19"/>
      <c r="F212" s="19"/>
      <c r="G212" s="19"/>
      <c r="H212" s="19"/>
      <c r="I212" s="19"/>
      <c r="J212" s="19"/>
      <c r="K212" s="19"/>
      <c r="L212" s="19"/>
      <c r="M212" s="23">
        <f>SUM(Tabla2[[#This Row],[01. Alcaldía]:[11. Salud pública y seguridad ciudadana]])</f>
        <v>800</v>
      </c>
    </row>
    <row r="213" spans="1:13" x14ac:dyDescent="0.25">
      <c r="A213" s="21" t="s">
        <v>1347</v>
      </c>
      <c r="B213" s="19">
        <v>5256.24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SUM(Tabla2[[#This Row],[01. Alcaldía]:[11. Salud pública y seguridad ciudadana]])</f>
        <v>5256.24</v>
      </c>
    </row>
    <row r="214" spans="1:13" x14ac:dyDescent="0.25">
      <c r="A214" s="21" t="s">
        <v>83</v>
      </c>
      <c r="B214" s="19"/>
      <c r="C214" s="19"/>
      <c r="D214" s="19"/>
      <c r="E214" s="19"/>
      <c r="F214" s="19">
        <v>53.52</v>
      </c>
      <c r="G214" s="19"/>
      <c r="H214" s="19"/>
      <c r="I214" s="19"/>
      <c r="J214" s="19"/>
      <c r="K214" s="19"/>
      <c r="L214" s="19"/>
      <c r="M214" s="23">
        <f>SUM(Tabla2[[#This Row],[01. Alcaldía]:[11. Salud pública y seguridad ciudadana]])</f>
        <v>53.52</v>
      </c>
    </row>
    <row r="215" spans="1:13" x14ac:dyDescent="0.25">
      <c r="A215" s="21" t="s">
        <v>2746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3729.28</v>
      </c>
      <c r="M215" s="23">
        <f>SUM(Tabla2[[#This Row],[01. Alcaldía]:[11. Salud pública y seguridad ciudadana]])</f>
        <v>3729.28</v>
      </c>
    </row>
    <row r="216" spans="1:13" x14ac:dyDescent="0.25">
      <c r="A216" s="21" t="s">
        <v>1026</v>
      </c>
      <c r="B216" s="19">
        <v>272.25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272.25</v>
      </c>
    </row>
    <row r="217" spans="1:13" x14ac:dyDescent="0.25">
      <c r="A217" s="21" t="s">
        <v>1145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1419</v>
      </c>
      <c r="L217" s="19"/>
      <c r="M217" s="23">
        <f>SUM(Tabla2[[#This Row],[01. Alcaldía]:[11. Salud pública y seguridad ciudadana]])</f>
        <v>1419</v>
      </c>
    </row>
    <row r="218" spans="1:13" x14ac:dyDescent="0.25">
      <c r="A218" s="21" t="s">
        <v>1350</v>
      </c>
      <c r="B218" s="19"/>
      <c r="C218" s="19"/>
      <c r="D218" s="19">
        <v>800</v>
      </c>
      <c r="E218" s="19"/>
      <c r="F218" s="19"/>
      <c r="G218" s="19"/>
      <c r="H218" s="19"/>
      <c r="I218" s="19"/>
      <c r="J218" s="19"/>
      <c r="K218" s="19"/>
      <c r="L218" s="19"/>
      <c r="M218" s="23">
        <f>SUM(Tabla2[[#This Row],[01. Alcaldía]:[11. Salud pública y seguridad ciudadana]])</f>
        <v>800</v>
      </c>
    </row>
    <row r="219" spans="1:13" x14ac:dyDescent="0.25">
      <c r="A219" s="21" t="s">
        <v>830</v>
      </c>
      <c r="B219" s="19"/>
      <c r="C219" s="19"/>
      <c r="D219" s="19"/>
      <c r="E219" s="19"/>
      <c r="F219" s="19"/>
      <c r="G219" s="19">
        <v>596.53</v>
      </c>
      <c r="H219" s="19"/>
      <c r="I219" s="19"/>
      <c r="J219" s="19"/>
      <c r="K219" s="19"/>
      <c r="L219" s="19"/>
      <c r="M219" s="23">
        <f>SUM(Tabla2[[#This Row],[01. Alcaldía]:[11. Salud pública y seguridad ciudadana]])</f>
        <v>596.53</v>
      </c>
    </row>
    <row r="220" spans="1:13" x14ac:dyDescent="0.25">
      <c r="A220" s="21" t="s">
        <v>65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1490</v>
      </c>
      <c r="M220" s="23">
        <f>SUM(Tabla2[[#This Row],[01. Alcaldía]:[11. Salud pública y seguridad ciudadana]])</f>
        <v>1490</v>
      </c>
    </row>
    <row r="221" spans="1:13" x14ac:dyDescent="0.25">
      <c r="A221" s="21" t="s">
        <v>2732</v>
      </c>
      <c r="B221" s="19"/>
      <c r="C221" s="19"/>
      <c r="D221" s="19"/>
      <c r="E221" s="19"/>
      <c r="F221" s="19"/>
      <c r="G221" s="19">
        <v>4000</v>
      </c>
      <c r="H221" s="19"/>
      <c r="I221" s="19"/>
      <c r="J221" s="19"/>
      <c r="K221" s="19"/>
      <c r="L221" s="19"/>
      <c r="M221" s="23">
        <f>SUM(Tabla2[[#This Row],[01. Alcaldía]:[11. Salud pública y seguridad ciudadana]])</f>
        <v>4000</v>
      </c>
    </row>
    <row r="222" spans="1:13" x14ac:dyDescent="0.25">
      <c r="A222" s="21" t="s">
        <v>1351</v>
      </c>
      <c r="B222" s="19"/>
      <c r="C222" s="19"/>
      <c r="D222" s="19"/>
      <c r="E222" s="19"/>
      <c r="F222" s="19"/>
      <c r="G222" s="19">
        <v>3400</v>
      </c>
      <c r="H222" s="19"/>
      <c r="I222" s="19"/>
      <c r="J222" s="19"/>
      <c r="K222" s="19"/>
      <c r="L222" s="19"/>
      <c r="M222" s="23">
        <f>SUM(Tabla2[[#This Row],[01. Alcaldía]:[11. Salud pública y seguridad ciudadana]])</f>
        <v>3400</v>
      </c>
    </row>
    <row r="223" spans="1:13" x14ac:dyDescent="0.25">
      <c r="A223" s="21" t="s">
        <v>131</v>
      </c>
      <c r="B223" s="19"/>
      <c r="C223" s="19"/>
      <c r="D223" s="19">
        <v>19307.98</v>
      </c>
      <c r="E223" s="19"/>
      <c r="F223" s="19"/>
      <c r="G223" s="19">
        <v>871.2</v>
      </c>
      <c r="H223" s="19"/>
      <c r="I223" s="19"/>
      <c r="J223" s="19"/>
      <c r="K223" s="19">
        <v>473.11</v>
      </c>
      <c r="L223" s="19"/>
      <c r="M223" s="23">
        <f>SUM(Tabla2[[#This Row],[01. Alcaldía]:[11. Salud pública y seguridad ciudadana]])</f>
        <v>20652.29</v>
      </c>
    </row>
    <row r="224" spans="1:13" x14ac:dyDescent="0.25">
      <c r="A224" s="21" t="s">
        <v>74</v>
      </c>
      <c r="B224" s="19"/>
      <c r="C224" s="19"/>
      <c r="D224" s="19"/>
      <c r="E224" s="19"/>
      <c r="F224" s="19"/>
      <c r="G224" s="19">
        <v>300</v>
      </c>
      <c r="H224" s="19"/>
      <c r="I224" s="19"/>
      <c r="J224" s="19"/>
      <c r="K224" s="19"/>
      <c r="L224" s="19"/>
      <c r="M224" s="23">
        <f>SUM(Tabla2[[#This Row],[01. Alcaldía]:[11. Salud pública y seguridad ciudadana]])</f>
        <v>300</v>
      </c>
    </row>
    <row r="225" spans="1:13" x14ac:dyDescent="0.25">
      <c r="A225" s="21" t="s">
        <v>2689</v>
      </c>
      <c r="B225" s="19"/>
      <c r="C225" s="19"/>
      <c r="D225" s="19"/>
      <c r="E225" s="19"/>
      <c r="F225" s="19">
        <v>6763.9</v>
      </c>
      <c r="G225" s="19"/>
      <c r="H225" s="19"/>
      <c r="I225" s="19"/>
      <c r="J225" s="19"/>
      <c r="K225" s="19"/>
      <c r="L225" s="19"/>
      <c r="M225" s="23">
        <f>SUM(Tabla2[[#This Row],[01. Alcaldía]:[11. Salud pública y seguridad ciudadana]])</f>
        <v>6763.9</v>
      </c>
    </row>
    <row r="226" spans="1:13" x14ac:dyDescent="0.25">
      <c r="A226" s="21" t="s">
        <v>1146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>
        <v>500</v>
      </c>
      <c r="M226" s="23">
        <f>SUM(Tabla2[[#This Row],[01. Alcaldía]:[11. Salud pública y seguridad ciudadana]])</f>
        <v>500</v>
      </c>
    </row>
    <row r="227" spans="1:13" x14ac:dyDescent="0.25">
      <c r="A227" s="21" t="s">
        <v>48</v>
      </c>
      <c r="B227" s="19"/>
      <c r="C227" s="19"/>
      <c r="D227" s="19"/>
      <c r="E227" s="19">
        <v>5684.58</v>
      </c>
      <c r="F227" s="19"/>
      <c r="G227" s="19">
        <v>151.25</v>
      </c>
      <c r="H227" s="19"/>
      <c r="I227" s="19"/>
      <c r="J227" s="19">
        <v>847</v>
      </c>
      <c r="K227" s="19"/>
      <c r="L227" s="19"/>
      <c r="M227" s="23">
        <f>SUM(Tabla2[[#This Row],[01. Alcaldía]:[11. Salud pública y seguridad ciudadana]])</f>
        <v>6682.83</v>
      </c>
    </row>
    <row r="228" spans="1:13" x14ac:dyDescent="0.25">
      <c r="A228" s="21" t="s">
        <v>758</v>
      </c>
      <c r="B228" s="19"/>
      <c r="C228" s="19"/>
      <c r="D228" s="19"/>
      <c r="E228" s="19"/>
      <c r="F228" s="19"/>
      <c r="G228" s="19">
        <v>4568.96</v>
      </c>
      <c r="H228" s="19"/>
      <c r="I228" s="19"/>
      <c r="J228" s="19"/>
      <c r="K228" s="19"/>
      <c r="L228" s="19"/>
      <c r="M228" s="23">
        <f>SUM(Tabla2[[#This Row],[01. Alcaldía]:[11. Salud pública y seguridad ciudadana]])</f>
        <v>4568.96</v>
      </c>
    </row>
    <row r="229" spans="1:13" x14ac:dyDescent="0.25">
      <c r="A229" s="21" t="s">
        <v>1002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>
        <v>1082.95</v>
      </c>
      <c r="L229" s="19"/>
      <c r="M229" s="23">
        <f>SUM(Tabla2[[#This Row],[01. Alcaldía]:[11. Salud pública y seguridad ciudadana]])</f>
        <v>1082.95</v>
      </c>
    </row>
    <row r="230" spans="1:13" x14ac:dyDescent="0.25">
      <c r="A230" s="21" t="s">
        <v>152</v>
      </c>
      <c r="B230" s="19"/>
      <c r="C230" s="19"/>
      <c r="D230" s="19"/>
      <c r="E230" s="19"/>
      <c r="F230" s="19"/>
      <c r="G230" s="19"/>
      <c r="H230" s="19"/>
      <c r="I230" s="19"/>
      <c r="J230" s="19">
        <v>4384.66</v>
      </c>
      <c r="K230" s="19"/>
      <c r="L230" s="19"/>
      <c r="M230" s="23">
        <f>SUM(Tabla2[[#This Row],[01. Alcaldía]:[11. Salud pública y seguridad ciudadana]])</f>
        <v>4384.66</v>
      </c>
    </row>
    <row r="231" spans="1:13" x14ac:dyDescent="0.25">
      <c r="A231" s="21" t="s">
        <v>594</v>
      </c>
      <c r="B231" s="19"/>
      <c r="C231" s="19"/>
      <c r="D231" s="19">
        <v>7260</v>
      </c>
      <c r="E231" s="19"/>
      <c r="F231" s="19"/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7260</v>
      </c>
    </row>
    <row r="232" spans="1:13" x14ac:dyDescent="0.25">
      <c r="A232" s="21" t="s">
        <v>93</v>
      </c>
      <c r="B232" s="19"/>
      <c r="C232" s="19"/>
      <c r="D232" s="19"/>
      <c r="E232" s="19"/>
      <c r="F232" s="19">
        <v>1452</v>
      </c>
      <c r="G232" s="19"/>
      <c r="H232" s="19"/>
      <c r="I232" s="19"/>
      <c r="J232" s="19"/>
      <c r="K232" s="19"/>
      <c r="L232" s="19">
        <v>2500</v>
      </c>
      <c r="M232" s="23">
        <f>SUM(Tabla2[[#This Row],[01. Alcaldía]:[11. Salud pública y seguridad ciudadana]])</f>
        <v>3952</v>
      </c>
    </row>
    <row r="233" spans="1:13" x14ac:dyDescent="0.25">
      <c r="A233" s="21" t="s">
        <v>1034</v>
      </c>
      <c r="B233" s="19"/>
      <c r="C233" s="19"/>
      <c r="D233" s="19"/>
      <c r="E233" s="19"/>
      <c r="F233" s="19"/>
      <c r="G233" s="19">
        <v>508.2</v>
      </c>
      <c r="H233" s="19"/>
      <c r="I233" s="19"/>
      <c r="J233" s="19"/>
      <c r="K233" s="19"/>
      <c r="L233" s="19"/>
      <c r="M233" s="23">
        <f>SUM(Tabla2[[#This Row],[01. Alcaldía]:[11. Salud pública y seguridad ciudadana]])</f>
        <v>508.2</v>
      </c>
    </row>
    <row r="234" spans="1:13" x14ac:dyDescent="0.25">
      <c r="A234" s="21" t="s">
        <v>990</v>
      </c>
      <c r="B234" s="19"/>
      <c r="C234" s="19">
        <v>1597.2</v>
      </c>
      <c r="D234" s="19"/>
      <c r="E234" s="19"/>
      <c r="F234" s="19"/>
      <c r="G234" s="19"/>
      <c r="H234" s="19"/>
      <c r="I234" s="19"/>
      <c r="J234" s="19"/>
      <c r="K234" s="19"/>
      <c r="L234" s="19"/>
      <c r="M234" s="23">
        <f>SUM(Tabla2[[#This Row],[01. Alcaldía]:[11. Salud pública y seguridad ciudadana]])</f>
        <v>1597.2</v>
      </c>
    </row>
    <row r="235" spans="1:13" x14ac:dyDescent="0.25">
      <c r="A235" s="21" t="s">
        <v>998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>
        <v>2087.6800000000003</v>
      </c>
      <c r="M235" s="23">
        <f>SUM(Tabla2[[#This Row],[01. Alcaldía]:[11. Salud pública y seguridad ciudadana]])</f>
        <v>2087.6800000000003</v>
      </c>
    </row>
    <row r="236" spans="1:13" x14ac:dyDescent="0.25">
      <c r="A236" s="21" t="s">
        <v>972</v>
      </c>
      <c r="B236" s="19"/>
      <c r="C236" s="19"/>
      <c r="D236" s="19"/>
      <c r="E236" s="19"/>
      <c r="F236" s="19">
        <v>626.29999999999995</v>
      </c>
      <c r="G236" s="19"/>
      <c r="H236" s="19"/>
      <c r="I236" s="19"/>
      <c r="J236" s="19"/>
      <c r="K236" s="19"/>
      <c r="L236" s="19"/>
      <c r="M236" s="23">
        <f>SUM(Tabla2[[#This Row],[01. Alcaldía]:[11. Salud pública y seguridad ciudadana]])</f>
        <v>626.29999999999995</v>
      </c>
    </row>
    <row r="237" spans="1:13" x14ac:dyDescent="0.25">
      <c r="A237" s="21" t="s">
        <v>469</v>
      </c>
      <c r="B237" s="19"/>
      <c r="C237" s="19"/>
      <c r="D237" s="19"/>
      <c r="E237" s="19">
        <v>1425</v>
      </c>
      <c r="F237" s="19"/>
      <c r="G237" s="19"/>
      <c r="H237" s="19"/>
      <c r="I237" s="19"/>
      <c r="J237" s="19"/>
      <c r="K237" s="19"/>
      <c r="L237" s="19"/>
      <c r="M237" s="23">
        <f>SUM(Tabla2[[#This Row],[01. Alcaldía]:[11. Salud pública y seguridad ciudadana]])</f>
        <v>1425</v>
      </c>
    </row>
    <row r="238" spans="1:13" x14ac:dyDescent="0.25">
      <c r="A238" s="21" t="s">
        <v>63</v>
      </c>
      <c r="B238" s="19"/>
      <c r="C238" s="19"/>
      <c r="D238" s="19"/>
      <c r="E238" s="19">
        <v>14140.44</v>
      </c>
      <c r="F238" s="19"/>
      <c r="G238" s="19"/>
      <c r="H238" s="19"/>
      <c r="I238" s="19"/>
      <c r="J238" s="19"/>
      <c r="K238" s="19"/>
      <c r="L238" s="19"/>
      <c r="M238" s="23">
        <f>SUM(Tabla2[[#This Row],[01. Alcaldía]:[11. Salud pública y seguridad ciudadana]])</f>
        <v>14140.44</v>
      </c>
    </row>
    <row r="239" spans="1:13" x14ac:dyDescent="0.25">
      <c r="A239" s="21" t="s">
        <v>90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3000</v>
      </c>
      <c r="M239" s="23">
        <f>SUM(Tabla2[[#This Row],[01. Alcaldía]:[11. Salud pública y seguridad ciudadana]])</f>
        <v>3000</v>
      </c>
    </row>
    <row r="240" spans="1:13" x14ac:dyDescent="0.25">
      <c r="A240" s="21" t="s">
        <v>2599</v>
      </c>
      <c r="B240" s="19"/>
      <c r="C240" s="19"/>
      <c r="D240" s="19">
        <v>1082.95</v>
      </c>
      <c r="E240" s="19"/>
      <c r="F240" s="19"/>
      <c r="G240" s="19"/>
      <c r="H240" s="19"/>
      <c r="I240" s="19"/>
      <c r="J240" s="19"/>
      <c r="K240" s="19"/>
      <c r="L240" s="19"/>
      <c r="M240" s="23">
        <f>SUM(Tabla2[[#This Row],[01. Alcaldía]:[11. Salud pública y seguridad ciudadana]])</f>
        <v>1082.95</v>
      </c>
    </row>
    <row r="241" spans="1:13" x14ac:dyDescent="0.25">
      <c r="A241" s="21" t="s">
        <v>506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3095.18</v>
      </c>
      <c r="M241" s="23">
        <f>SUM(Tabla2[[#This Row],[01. Alcaldía]:[11. Salud pública y seguridad ciudadana]])</f>
        <v>3095.18</v>
      </c>
    </row>
    <row r="242" spans="1:13" x14ac:dyDescent="0.25">
      <c r="A242" s="21" t="s">
        <v>49</v>
      </c>
      <c r="B242" s="19"/>
      <c r="C242" s="19"/>
      <c r="D242" s="19"/>
      <c r="E242" s="19"/>
      <c r="F242" s="19">
        <v>238.37</v>
      </c>
      <c r="G242" s="19"/>
      <c r="H242" s="19"/>
      <c r="I242" s="19"/>
      <c r="J242" s="19"/>
      <c r="K242" s="19">
        <v>7840.8</v>
      </c>
      <c r="L242" s="19">
        <v>4016.4</v>
      </c>
      <c r="M242" s="23">
        <f>SUM(Tabla2[[#This Row],[01. Alcaldía]:[11. Salud pública y seguridad ciudadana]])</f>
        <v>12095.57</v>
      </c>
    </row>
    <row r="243" spans="1:13" x14ac:dyDescent="0.25">
      <c r="A243" s="21" t="s">
        <v>851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1386</v>
      </c>
      <c r="M243" s="23">
        <f>SUM(Tabla2[[#This Row],[01. Alcaldía]:[11. Salud pública y seguridad ciudadana]])</f>
        <v>1386</v>
      </c>
    </row>
    <row r="244" spans="1:13" x14ac:dyDescent="0.25">
      <c r="A244" s="21" t="s">
        <v>996</v>
      </c>
      <c r="B244" s="19"/>
      <c r="C244" s="19"/>
      <c r="D244" s="19"/>
      <c r="E244" s="19">
        <v>1230.93</v>
      </c>
      <c r="F244" s="19"/>
      <c r="G244" s="19"/>
      <c r="H244" s="19"/>
      <c r="I244" s="19"/>
      <c r="J244" s="19"/>
      <c r="K244" s="19"/>
      <c r="L244" s="19"/>
      <c r="M244" s="23">
        <f>SUM(Tabla2[[#This Row],[01. Alcaldía]:[11. Salud pública y seguridad ciudadana]])</f>
        <v>1230.93</v>
      </c>
    </row>
    <row r="245" spans="1:13" x14ac:dyDescent="0.25">
      <c r="A245" s="21" t="s">
        <v>1309</v>
      </c>
      <c r="B245" s="19"/>
      <c r="C245" s="19"/>
      <c r="D245" s="19"/>
      <c r="E245" s="19"/>
      <c r="F245" s="19">
        <v>8772.5</v>
      </c>
      <c r="G245" s="19"/>
      <c r="H245" s="19"/>
      <c r="I245" s="19"/>
      <c r="J245" s="19"/>
      <c r="K245" s="19"/>
      <c r="L245" s="19"/>
      <c r="M245" s="23">
        <f>SUM(Tabla2[[#This Row],[01. Alcaldía]:[11. Salud pública y seguridad ciudadana]])</f>
        <v>8772.5</v>
      </c>
    </row>
    <row r="246" spans="1:13" x14ac:dyDescent="0.25">
      <c r="A246" s="21" t="s">
        <v>73</v>
      </c>
      <c r="B246" s="19"/>
      <c r="C246" s="19"/>
      <c r="D246" s="19"/>
      <c r="E246" s="19">
        <v>2055.2600000000002</v>
      </c>
      <c r="F246" s="19"/>
      <c r="G246" s="19"/>
      <c r="H246" s="19"/>
      <c r="I246" s="19"/>
      <c r="J246" s="19"/>
      <c r="K246" s="19"/>
      <c r="L246" s="19"/>
      <c r="M246" s="23">
        <f>SUM(Tabla2[[#This Row],[01. Alcaldía]:[11. Salud pública y seguridad ciudadana]])</f>
        <v>2055.2600000000002</v>
      </c>
    </row>
    <row r="247" spans="1:13" x14ac:dyDescent="0.25">
      <c r="A247" s="21" t="s">
        <v>1286</v>
      </c>
      <c r="B247" s="19"/>
      <c r="C247" s="19"/>
      <c r="D247" s="19">
        <v>484</v>
      </c>
      <c r="E247" s="19"/>
      <c r="F247" s="19"/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484</v>
      </c>
    </row>
    <row r="248" spans="1:13" x14ac:dyDescent="0.25">
      <c r="A248" s="21" t="s">
        <v>466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2000</v>
      </c>
      <c r="M248" s="23">
        <f>SUM(Tabla2[[#This Row],[01. Alcaldía]:[11. Salud pública y seguridad ciudadana]])</f>
        <v>2000</v>
      </c>
    </row>
    <row r="249" spans="1:13" x14ac:dyDescent="0.25">
      <c r="A249" s="21" t="s">
        <v>99</v>
      </c>
      <c r="B249" s="19"/>
      <c r="C249" s="19"/>
      <c r="D249" s="19"/>
      <c r="E249" s="19">
        <v>3604.67</v>
      </c>
      <c r="F249" s="19"/>
      <c r="G249" s="19"/>
      <c r="H249" s="19"/>
      <c r="I249" s="19"/>
      <c r="J249" s="19"/>
      <c r="K249" s="19"/>
      <c r="L249" s="19"/>
      <c r="M249" s="23">
        <f>SUM(Tabla2[[#This Row],[01. Alcaldía]:[11. Salud pública y seguridad ciudadana]])</f>
        <v>3604.67</v>
      </c>
    </row>
    <row r="250" spans="1:13" x14ac:dyDescent="0.25">
      <c r="A250" s="21" t="s">
        <v>773</v>
      </c>
      <c r="B250" s="19">
        <v>89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3">
        <f>SUM(Tabla2[[#This Row],[01. Alcaldía]:[11. Salud pública y seguridad ciudadana]])</f>
        <v>89</v>
      </c>
    </row>
    <row r="251" spans="1:13" x14ac:dyDescent="0.25">
      <c r="A251" s="21" t="s">
        <v>2860</v>
      </c>
      <c r="B251" s="19"/>
      <c r="C251" s="19">
        <v>8621.25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23">
        <f>SUM(Tabla2[[#This Row],[01. Alcaldía]:[11. Salud pública y seguridad ciudadana]])</f>
        <v>8621.25</v>
      </c>
    </row>
    <row r="252" spans="1:13" x14ac:dyDescent="0.25">
      <c r="A252" s="21" t="s">
        <v>803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>
        <v>2843.5</v>
      </c>
      <c r="M252" s="23">
        <f>SUM(Tabla2[[#This Row],[01. Alcaldía]:[11. Salud pública y seguridad ciudadana]])</f>
        <v>2843.5</v>
      </c>
    </row>
    <row r="253" spans="1:13" x14ac:dyDescent="0.25">
      <c r="A253" s="21" t="s">
        <v>2582</v>
      </c>
      <c r="B253" s="19"/>
      <c r="C253" s="19"/>
      <c r="D253" s="19"/>
      <c r="E253" s="19"/>
      <c r="F253" s="19"/>
      <c r="G253" s="19"/>
      <c r="H253" s="19"/>
      <c r="I253" s="19"/>
      <c r="J253" s="19">
        <v>5311.9</v>
      </c>
      <c r="K253" s="19"/>
      <c r="L253" s="19"/>
      <c r="M253" s="23">
        <f>SUM(Tabla2[[#This Row],[01. Alcaldía]:[11. Salud pública y seguridad ciudadana]])</f>
        <v>5311.9</v>
      </c>
    </row>
    <row r="254" spans="1:13" x14ac:dyDescent="0.25">
      <c r="A254" s="21" t="s">
        <v>206</v>
      </c>
      <c r="B254" s="19"/>
      <c r="C254" s="19"/>
      <c r="D254" s="19"/>
      <c r="E254" s="19"/>
      <c r="F254" s="19"/>
      <c r="G254" s="19"/>
      <c r="H254" s="19">
        <v>1000</v>
      </c>
      <c r="I254" s="19"/>
      <c r="J254" s="19"/>
      <c r="K254" s="19"/>
      <c r="L254" s="19">
        <v>500</v>
      </c>
      <c r="M254" s="23">
        <f>SUM(Tabla2[[#This Row],[01. Alcaldía]:[11. Salud pública y seguridad ciudadana]])</f>
        <v>1500</v>
      </c>
    </row>
    <row r="255" spans="1:13" x14ac:dyDescent="0.25">
      <c r="A255" s="21" t="s">
        <v>1012</v>
      </c>
      <c r="B255" s="19"/>
      <c r="C255" s="19"/>
      <c r="D255" s="19">
        <v>495</v>
      </c>
      <c r="E255" s="19"/>
      <c r="F255" s="19"/>
      <c r="G255" s="19"/>
      <c r="H255" s="19"/>
      <c r="I255" s="19"/>
      <c r="J255" s="19"/>
      <c r="K255" s="19"/>
      <c r="L255" s="19"/>
      <c r="M255" s="23">
        <f>SUM(Tabla2[[#This Row],[01. Alcaldía]:[11. Salud pública y seguridad ciudadana]])</f>
        <v>495</v>
      </c>
    </row>
    <row r="256" spans="1:13" x14ac:dyDescent="0.25">
      <c r="A256" s="21" t="s">
        <v>595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>
        <v>580.79999999999995</v>
      </c>
      <c r="M256" s="23">
        <f>SUM(Tabla2[[#This Row],[01. Alcaldía]:[11. Salud pública y seguridad ciudadana]])</f>
        <v>580.79999999999995</v>
      </c>
    </row>
    <row r="257" spans="1:13" x14ac:dyDescent="0.25">
      <c r="A257" s="21" t="s">
        <v>500</v>
      </c>
      <c r="B257" s="19"/>
      <c r="C257" s="19"/>
      <c r="D257" s="19"/>
      <c r="E257" s="19">
        <v>13939.2</v>
      </c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13939.2</v>
      </c>
    </row>
    <row r="258" spans="1:13" x14ac:dyDescent="0.25">
      <c r="A258" s="21" t="s">
        <v>2563</v>
      </c>
      <c r="B258" s="19"/>
      <c r="C258" s="19"/>
      <c r="D258" s="19"/>
      <c r="E258" s="19">
        <v>1185.5999999999999</v>
      </c>
      <c r="F258" s="19"/>
      <c r="G258" s="19"/>
      <c r="H258" s="19"/>
      <c r="I258" s="19"/>
      <c r="J258" s="19"/>
      <c r="K258" s="19"/>
      <c r="L258" s="19"/>
      <c r="M258" s="23">
        <f>SUM(Tabla2[[#This Row],[01. Alcaldía]:[11. Salud pública y seguridad ciudadana]])</f>
        <v>1185.5999999999999</v>
      </c>
    </row>
    <row r="259" spans="1:13" x14ac:dyDescent="0.25">
      <c r="A259" s="21" t="s">
        <v>821</v>
      </c>
      <c r="B259" s="19"/>
      <c r="C259" s="19"/>
      <c r="D259" s="19"/>
      <c r="E259" s="19">
        <v>1568</v>
      </c>
      <c r="F259" s="19"/>
      <c r="G259" s="19"/>
      <c r="H259" s="19">
        <v>532.4</v>
      </c>
      <c r="I259" s="19"/>
      <c r="J259" s="19"/>
      <c r="K259" s="19"/>
      <c r="L259" s="19"/>
      <c r="M259" s="23">
        <f>SUM(Tabla2[[#This Row],[01. Alcaldía]:[11. Salud pública y seguridad ciudadana]])</f>
        <v>2100.4</v>
      </c>
    </row>
    <row r="260" spans="1:13" x14ac:dyDescent="0.25">
      <c r="A260" s="21" t="s">
        <v>468</v>
      </c>
      <c r="B260" s="19"/>
      <c r="C260" s="19"/>
      <c r="D260" s="19"/>
      <c r="E260" s="19"/>
      <c r="F260" s="19">
        <v>818.4</v>
      </c>
      <c r="G260" s="19"/>
      <c r="H260" s="19"/>
      <c r="I260" s="19"/>
      <c r="J260" s="19"/>
      <c r="K260" s="19"/>
      <c r="L260" s="19"/>
      <c r="M260" s="23">
        <f>SUM(Tabla2[[#This Row],[01. Alcaldía]:[11. Salud pública y seguridad ciudadana]])</f>
        <v>818.4</v>
      </c>
    </row>
    <row r="261" spans="1:13" x14ac:dyDescent="0.25">
      <c r="A261" s="21" t="s">
        <v>885</v>
      </c>
      <c r="B261" s="19">
        <v>6479.55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3">
        <f>SUM(Tabla2[[#This Row],[01. Alcaldía]:[11. Salud pública y seguridad ciudadana]])</f>
        <v>6479.55</v>
      </c>
    </row>
    <row r="262" spans="1:13" x14ac:dyDescent="0.25">
      <c r="A262" s="21" t="s">
        <v>854</v>
      </c>
      <c r="B262" s="19"/>
      <c r="C262" s="19"/>
      <c r="D262" s="19"/>
      <c r="E262" s="19"/>
      <c r="F262" s="19"/>
      <c r="G262" s="19"/>
      <c r="H262" s="19">
        <v>1503.37</v>
      </c>
      <c r="I262" s="19"/>
      <c r="J262" s="19"/>
      <c r="K262" s="19"/>
      <c r="L262" s="19"/>
      <c r="M262" s="23">
        <f>SUM(Tabla2[[#This Row],[01. Alcaldía]:[11. Salud pública y seguridad ciudadana]])</f>
        <v>1503.37</v>
      </c>
    </row>
    <row r="263" spans="1:13" x14ac:dyDescent="0.25">
      <c r="A263" s="21" t="s">
        <v>881</v>
      </c>
      <c r="B263" s="19"/>
      <c r="C263" s="19"/>
      <c r="D263" s="19"/>
      <c r="E263" s="19"/>
      <c r="F263" s="19"/>
      <c r="G263" s="19"/>
      <c r="H263" s="19">
        <v>7199.5</v>
      </c>
      <c r="I263" s="19"/>
      <c r="J263" s="19"/>
      <c r="K263" s="19"/>
      <c r="L263" s="19"/>
      <c r="M263" s="23">
        <f>SUM(Tabla2[[#This Row],[01. Alcaldía]:[11. Salud pública y seguridad ciudadana]])</f>
        <v>7199.5</v>
      </c>
    </row>
    <row r="264" spans="1:13" x14ac:dyDescent="0.25">
      <c r="A264" s="21" t="s">
        <v>245</v>
      </c>
      <c r="B264" s="19"/>
      <c r="C264" s="19"/>
      <c r="D264" s="19"/>
      <c r="E264" s="19"/>
      <c r="F264" s="19"/>
      <c r="G264" s="19">
        <v>300</v>
      </c>
      <c r="H264" s="19"/>
      <c r="I264" s="19"/>
      <c r="J264" s="19"/>
      <c r="K264" s="19"/>
      <c r="L264" s="19"/>
      <c r="M264" s="23">
        <f>SUM(Tabla2[[#This Row],[01. Alcaldía]:[11. Salud pública y seguridad ciudadana]])</f>
        <v>300</v>
      </c>
    </row>
    <row r="265" spans="1:13" s="24" customFormat="1" x14ac:dyDescent="0.25">
      <c r="A265" s="25" t="s">
        <v>484</v>
      </c>
      <c r="B265" s="23">
        <f>SUBTOTAL(109,Tabla2[01. Alcaldía])</f>
        <v>77652.610000000015</v>
      </c>
      <c r="C265" s="23">
        <f>SUBTOTAL(109,Tabla2[02. Planeamiento urbanístico y vivienda])</f>
        <v>63777.649999999994</v>
      </c>
      <c r="D265" s="23">
        <f>SUBTOTAL(109,Tabla2[03. Participación ciudadana y deportes])</f>
        <v>91832.06</v>
      </c>
      <c r="E265" s="23">
        <f>SUBTOTAL(109,Tabla2[04. Planificación y recursos])</f>
        <v>72350.180000000008</v>
      </c>
      <c r="F265" s="23">
        <f>SUBTOTAL(109,Tabla2[05. Innovación, desarrollo económico, empleo y comercio])</f>
        <v>164584.06999999998</v>
      </c>
      <c r="G265" s="23">
        <f>SUBTOTAL(109,Tabla2[06. Educación, infancia, juventud e igualdad])</f>
        <v>172245.63</v>
      </c>
      <c r="H265" s="23">
        <f>SUBTOTAL(109,Tabla2[07. Medio ambiente y desarrollo sostenible])</f>
        <v>90110.27</v>
      </c>
      <c r="I265" s="23">
        <f>SUBTOTAL(109,Tabla2[08. Movilidad y espacio urbano])</f>
        <v>25669.63</v>
      </c>
      <c r="J265" s="23">
        <f>SUBTOTAL(109,Tabla2[09. Cultura y turismo])</f>
        <v>42971.890000000007</v>
      </c>
      <c r="K265" s="23">
        <f>SUBTOTAL(109,Tabla2[10. Servicios sociales y mediación comunitaria])</f>
        <v>105843.45</v>
      </c>
      <c r="L265" s="23">
        <f>SUBTOTAL(109,Tabla2[11. Salud pública y seguridad ciudadana])</f>
        <v>193244.14999999997</v>
      </c>
      <c r="M265" s="23">
        <f>SUBTOTAL(109,Tabla2[Total general])</f>
        <v>1100281.5900000008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TRIMESTRE 2022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9"/>
  <sheetViews>
    <sheetView view="pageLayout" zoomScale="95" zoomScaleNormal="100" zoomScalePageLayoutView="95" workbookViewId="0">
      <selection activeCell="A4" sqref="A4:XFD4"/>
    </sheetView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51" x14ac:dyDescent="0.25">
      <c r="A1" s="22" t="s">
        <v>3502</v>
      </c>
      <c r="B1" s="41" t="s">
        <v>267</v>
      </c>
      <c r="C1" s="41" t="s">
        <v>624</v>
      </c>
      <c r="D1" s="41" t="s">
        <v>625</v>
      </c>
      <c r="E1" s="41" t="s">
        <v>626</v>
      </c>
      <c r="F1" s="41" t="s">
        <v>604</v>
      </c>
      <c r="G1" s="41" t="s">
        <v>627</v>
      </c>
      <c r="H1" s="41" t="s">
        <v>628</v>
      </c>
      <c r="I1" s="41" t="s">
        <v>629</v>
      </c>
      <c r="J1" s="41" t="s">
        <v>275</v>
      </c>
      <c r="K1" s="41" t="s">
        <v>630</v>
      </c>
      <c r="L1" s="41" t="s">
        <v>602</v>
      </c>
      <c r="M1" s="22" t="s">
        <v>455</v>
      </c>
    </row>
    <row r="2" spans="1:13" s="16" customFormat="1" x14ac:dyDescent="0.25">
      <c r="A2" s="21" t="s">
        <v>493</v>
      </c>
      <c r="B2" s="19"/>
      <c r="C2" s="19"/>
      <c r="D2" s="19"/>
      <c r="E2" s="19"/>
      <c r="F2" s="19"/>
      <c r="G2" s="19"/>
      <c r="H2" s="19"/>
      <c r="I2" s="19">
        <v>422</v>
      </c>
      <c r="J2" s="19"/>
      <c r="K2" s="19"/>
      <c r="L2" s="19"/>
      <c r="M2" s="23">
        <f>SUM(Tabla24[[#This Row],[01. Alcaldía]:[11. Salud pública y seguridad ciudadana]])</f>
        <v>422</v>
      </c>
    </row>
    <row r="3" spans="1:13" s="16" customFormat="1" x14ac:dyDescent="0.25">
      <c r="A3" s="21" t="s">
        <v>1303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1427.8</v>
      </c>
      <c r="M3" s="23">
        <f>SUM(Tabla24[[#This Row],[01. Alcaldía]:[11. Salud pública y seguridad ciudadana]])</f>
        <v>1427.8</v>
      </c>
    </row>
    <row r="4" spans="1:13" s="16" customFormat="1" x14ac:dyDescent="0.25">
      <c r="A4" s="21" t="s">
        <v>639</v>
      </c>
      <c r="B4" s="19"/>
      <c r="C4" s="19"/>
      <c r="D4" s="19"/>
      <c r="E4" s="19"/>
      <c r="F4" s="19"/>
      <c r="G4" s="19"/>
      <c r="H4" s="19">
        <v>2000</v>
      </c>
      <c r="I4" s="19"/>
      <c r="J4" s="19"/>
      <c r="K4" s="19"/>
      <c r="L4" s="19"/>
      <c r="M4" s="23">
        <f>SUM(Tabla24[[#This Row],[01. Alcaldía]:[11. Salud pública y seguridad ciudadana]])</f>
        <v>2000</v>
      </c>
    </row>
    <row r="5" spans="1:13" s="16" customFormat="1" x14ac:dyDescent="0.25">
      <c r="A5" s="21" t="s">
        <v>641</v>
      </c>
      <c r="B5" s="19"/>
      <c r="C5" s="19"/>
      <c r="D5" s="19"/>
      <c r="E5" s="19"/>
      <c r="F5" s="19"/>
      <c r="G5" s="19"/>
      <c r="H5" s="19"/>
      <c r="I5" s="19"/>
      <c r="J5" s="19"/>
      <c r="K5" s="19">
        <v>262.89999999999998</v>
      </c>
      <c r="L5" s="19"/>
      <c r="M5" s="23">
        <f>SUM(Tabla24[[#This Row],[01. Alcaldía]:[11. Salud pública y seguridad ciudadana]])</f>
        <v>262.89999999999998</v>
      </c>
    </row>
    <row r="6" spans="1:13" s="16" customFormat="1" x14ac:dyDescent="0.25">
      <c r="A6" s="21" t="s">
        <v>478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1225</v>
      </c>
      <c r="M6" s="23">
        <f>SUM(Tabla24[[#This Row],[01. Alcaldía]:[11. Salud pública y seguridad ciudadana]])</f>
        <v>1225</v>
      </c>
    </row>
    <row r="7" spans="1:13" s="16" customFormat="1" x14ac:dyDescent="0.25">
      <c r="A7" s="21" t="s">
        <v>238</v>
      </c>
      <c r="B7" s="19"/>
      <c r="C7" s="19"/>
      <c r="D7" s="19">
        <v>70.48</v>
      </c>
      <c r="E7" s="19"/>
      <c r="F7" s="19"/>
      <c r="G7" s="19"/>
      <c r="H7" s="19"/>
      <c r="I7" s="19"/>
      <c r="J7" s="19"/>
      <c r="K7" s="19"/>
      <c r="L7" s="19"/>
      <c r="M7" s="23">
        <f>SUM(Tabla24[[#This Row],[01. Alcaldía]:[11. Salud pública y seguridad ciudadana]])</f>
        <v>70.48</v>
      </c>
    </row>
    <row r="8" spans="1:13" s="16" customFormat="1" x14ac:dyDescent="0.25">
      <c r="A8" s="21" t="s">
        <v>1159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545</v>
      </c>
      <c r="M8" s="23">
        <f>SUM(Tabla24[[#This Row],[01. Alcaldía]:[11. Salud pública y seguridad ciudadana]])</f>
        <v>545</v>
      </c>
    </row>
    <row r="9" spans="1:13" s="16" customFormat="1" x14ac:dyDescent="0.25">
      <c r="A9" s="21" t="s">
        <v>1050</v>
      </c>
      <c r="B9" s="19"/>
      <c r="C9" s="19">
        <v>854.51</v>
      </c>
      <c r="D9" s="19">
        <v>2940.3</v>
      </c>
      <c r="E9" s="19"/>
      <c r="F9" s="19"/>
      <c r="G9" s="19"/>
      <c r="H9" s="19"/>
      <c r="I9" s="19"/>
      <c r="J9" s="19"/>
      <c r="K9" s="19">
        <v>81.31</v>
      </c>
      <c r="L9" s="19"/>
      <c r="M9" s="23">
        <f>SUM(Tabla24[[#This Row],[01. Alcaldía]:[11. Salud pública y seguridad ciudadana]])</f>
        <v>3876.1200000000003</v>
      </c>
    </row>
    <row r="10" spans="1:13" s="16" customFormat="1" x14ac:dyDescent="0.25">
      <c r="A10" s="21" t="s">
        <v>254</v>
      </c>
      <c r="B10" s="19"/>
      <c r="C10" s="19"/>
      <c r="D10" s="19"/>
      <c r="E10" s="19"/>
      <c r="F10" s="19"/>
      <c r="G10" s="19"/>
      <c r="H10" s="19"/>
      <c r="I10" s="19">
        <v>1100</v>
      </c>
      <c r="J10" s="19"/>
      <c r="K10" s="19"/>
      <c r="L10" s="19"/>
      <c r="M10" s="23">
        <f>SUM(Tabla24[[#This Row],[01. Alcaldía]:[11. Salud pública y seguridad ciudadana]])</f>
        <v>1100</v>
      </c>
    </row>
    <row r="11" spans="1:13" s="16" customFormat="1" x14ac:dyDescent="0.25">
      <c r="A11" s="21" t="s">
        <v>574</v>
      </c>
      <c r="B11" s="19"/>
      <c r="C11" s="19"/>
      <c r="D11" s="19"/>
      <c r="E11" s="19"/>
      <c r="F11" s="19"/>
      <c r="G11" s="19">
        <v>196</v>
      </c>
      <c r="H11" s="19"/>
      <c r="I11" s="19"/>
      <c r="J11" s="19"/>
      <c r="K11" s="19"/>
      <c r="L11" s="19"/>
      <c r="M11" s="23">
        <f>SUM(Tabla24[[#This Row],[01. Alcaldía]:[11. Salud pública y seguridad ciudadana]])</f>
        <v>196</v>
      </c>
    </row>
    <row r="12" spans="1:13" s="16" customFormat="1" x14ac:dyDescent="0.25">
      <c r="A12" s="21" t="s">
        <v>215</v>
      </c>
      <c r="B12" s="19"/>
      <c r="C12" s="19"/>
      <c r="D12" s="19"/>
      <c r="E12" s="19"/>
      <c r="F12" s="19"/>
      <c r="G12" s="19"/>
      <c r="H12" s="19"/>
      <c r="I12" s="19">
        <v>2904</v>
      </c>
      <c r="J12" s="19"/>
      <c r="K12" s="19"/>
      <c r="L12" s="19"/>
      <c r="M12" s="23">
        <f>SUM(Tabla24[[#This Row],[01. Alcaldía]:[11. Salud pública y seguridad ciudadana]])</f>
        <v>2904</v>
      </c>
    </row>
    <row r="13" spans="1:13" s="16" customFormat="1" x14ac:dyDescent="0.25">
      <c r="A13" s="21" t="s">
        <v>1679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1233.04</v>
      </c>
      <c r="L13" s="19"/>
      <c r="M13" s="23">
        <f>SUM(Tabla24[[#This Row],[01. Alcaldía]:[11. Salud pública y seguridad ciudadana]])</f>
        <v>1233.04</v>
      </c>
    </row>
    <row r="14" spans="1:13" s="16" customFormat="1" x14ac:dyDescent="0.25">
      <c r="A14" s="21" t="s">
        <v>652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193.6</v>
      </c>
      <c r="M14" s="23">
        <f>SUM(Tabla24[[#This Row],[01. Alcaldía]:[11. Salud pública y seguridad ciudadana]])</f>
        <v>193.6</v>
      </c>
    </row>
    <row r="15" spans="1:13" s="16" customFormat="1" x14ac:dyDescent="0.25">
      <c r="A15" s="21" t="s">
        <v>239</v>
      </c>
      <c r="B15" s="19">
        <v>4840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SUM(Tabla24[[#This Row],[01. Alcaldía]:[11. Salud pública y seguridad ciudadana]])</f>
        <v>4840</v>
      </c>
    </row>
    <row r="16" spans="1:13" s="16" customFormat="1" x14ac:dyDescent="0.25">
      <c r="A16" s="21" t="s">
        <v>656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1370</v>
      </c>
      <c r="M16" s="23">
        <f>SUM(Tabla24[[#This Row],[01. Alcaldía]:[11. Salud pública y seguridad ciudadana]])</f>
        <v>1370</v>
      </c>
    </row>
    <row r="17" spans="1:13" s="16" customFormat="1" x14ac:dyDescent="0.25">
      <c r="A17" s="21" t="s">
        <v>1193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1681.9</v>
      </c>
      <c r="L17" s="19"/>
      <c r="M17" s="23">
        <f>SUM(Tabla24[[#This Row],[01. Alcaldía]:[11. Salud pública y seguridad ciudadana]])</f>
        <v>1681.9</v>
      </c>
    </row>
    <row r="18" spans="1:13" s="16" customFormat="1" x14ac:dyDescent="0.25">
      <c r="A18" s="21" t="s">
        <v>1715</v>
      </c>
      <c r="B18" s="19"/>
      <c r="C18" s="19"/>
      <c r="D18" s="19"/>
      <c r="E18" s="19"/>
      <c r="F18" s="19"/>
      <c r="G18" s="19">
        <v>1304.3800000000001</v>
      </c>
      <c r="H18" s="19"/>
      <c r="I18" s="19"/>
      <c r="J18" s="19"/>
      <c r="K18" s="19"/>
      <c r="L18" s="19">
        <v>779.24</v>
      </c>
      <c r="M18" s="23">
        <f>SUM(Tabla24[[#This Row],[01. Alcaldía]:[11. Salud pública y seguridad ciudadana]])</f>
        <v>2083.62</v>
      </c>
    </row>
    <row r="19" spans="1:13" s="16" customFormat="1" x14ac:dyDescent="0.25">
      <c r="A19" s="21" t="s">
        <v>66</v>
      </c>
      <c r="B19" s="19"/>
      <c r="C19" s="19"/>
      <c r="D19" s="19">
        <v>183.18</v>
      </c>
      <c r="E19" s="19"/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183.18</v>
      </c>
    </row>
    <row r="20" spans="1:13" s="16" customFormat="1" x14ac:dyDescent="0.25">
      <c r="A20" s="21" t="s">
        <v>246</v>
      </c>
      <c r="B20" s="19"/>
      <c r="C20" s="19"/>
      <c r="D20" s="19"/>
      <c r="E20" s="19"/>
      <c r="F20" s="19"/>
      <c r="G20" s="19">
        <v>135.97</v>
      </c>
      <c r="H20" s="19"/>
      <c r="I20" s="19"/>
      <c r="J20" s="19"/>
      <c r="K20" s="19"/>
      <c r="L20" s="19"/>
      <c r="M20" s="23">
        <f>SUM(Tabla24[[#This Row],[01. Alcaldía]:[11. Salud pública y seguridad ciudadana]])</f>
        <v>135.97</v>
      </c>
    </row>
    <row r="21" spans="1:13" s="16" customFormat="1" x14ac:dyDescent="0.25">
      <c r="A21" s="21" t="s">
        <v>668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5935.05</v>
      </c>
      <c r="M21" s="23">
        <f>SUM(Tabla24[[#This Row],[01. Alcaldía]:[11. Salud pública y seguridad ciudadana]])</f>
        <v>5935.05</v>
      </c>
    </row>
    <row r="22" spans="1:13" s="16" customFormat="1" x14ac:dyDescent="0.25">
      <c r="A22" s="21" t="s">
        <v>1200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723.58</v>
      </c>
      <c r="M22" s="23">
        <f>SUM(Tabla24[[#This Row],[01. Alcaldía]:[11. Salud pública y seguridad ciudadana]])</f>
        <v>723.58</v>
      </c>
    </row>
    <row r="23" spans="1:13" s="16" customFormat="1" x14ac:dyDescent="0.25">
      <c r="A23" s="21" t="s">
        <v>1121</v>
      </c>
      <c r="B23" s="19"/>
      <c r="C23" s="19"/>
      <c r="D23" s="19"/>
      <c r="E23" s="19"/>
      <c r="F23" s="19"/>
      <c r="G23" s="19">
        <v>391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391</v>
      </c>
    </row>
    <row r="24" spans="1:13" s="16" customFormat="1" x14ac:dyDescent="0.25">
      <c r="A24" s="21" t="s">
        <v>671</v>
      </c>
      <c r="B24" s="19"/>
      <c r="C24" s="19"/>
      <c r="D24" s="19"/>
      <c r="E24" s="19">
        <v>18000</v>
      </c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18000</v>
      </c>
    </row>
    <row r="25" spans="1:13" s="16" customFormat="1" x14ac:dyDescent="0.25">
      <c r="A25" s="21" t="s">
        <v>1833</v>
      </c>
      <c r="B25" s="19"/>
      <c r="C25" s="19"/>
      <c r="D25" s="19">
        <v>267.41000000000003</v>
      </c>
      <c r="E25" s="19"/>
      <c r="F25" s="19"/>
      <c r="G25" s="19"/>
      <c r="H25" s="19"/>
      <c r="I25" s="19"/>
      <c r="J25" s="19"/>
      <c r="K25" s="19"/>
      <c r="L25" s="19"/>
      <c r="M25" s="23">
        <f>SUM(Tabla24[[#This Row],[01. Alcaldía]:[11. Salud pública y seguridad ciudadana]])</f>
        <v>267.41000000000003</v>
      </c>
    </row>
    <row r="26" spans="1:13" s="16" customFormat="1" x14ac:dyDescent="0.25">
      <c r="A26" s="21" t="s">
        <v>251</v>
      </c>
      <c r="B26" s="19"/>
      <c r="C26" s="19"/>
      <c r="D26" s="19"/>
      <c r="E26" s="19"/>
      <c r="F26" s="19">
        <v>4819.67</v>
      </c>
      <c r="G26" s="19"/>
      <c r="H26" s="19"/>
      <c r="I26" s="19"/>
      <c r="J26" s="19"/>
      <c r="K26" s="19"/>
      <c r="L26" s="19"/>
      <c r="M26" s="23">
        <f>SUM(Tabla24[[#This Row],[01. Alcaldía]:[11. Salud pública y seguridad ciudadana]])</f>
        <v>4819.67</v>
      </c>
    </row>
    <row r="27" spans="1:13" s="16" customFormat="1" x14ac:dyDescent="0.25">
      <c r="A27" s="21" t="s">
        <v>1035</v>
      </c>
      <c r="B27" s="19"/>
      <c r="C27" s="19"/>
      <c r="D27" s="19">
        <v>399.35</v>
      </c>
      <c r="E27" s="19"/>
      <c r="F27" s="19"/>
      <c r="G27" s="19"/>
      <c r="H27" s="19"/>
      <c r="I27" s="19"/>
      <c r="J27" s="19"/>
      <c r="K27" s="19"/>
      <c r="L27" s="19"/>
      <c r="M27" s="23">
        <f>SUM(Tabla24[[#This Row],[01. Alcaldía]:[11. Salud pública y seguridad ciudadana]])</f>
        <v>399.35</v>
      </c>
    </row>
    <row r="28" spans="1:13" s="16" customFormat="1" x14ac:dyDescent="0.25">
      <c r="A28" s="21" t="s">
        <v>672</v>
      </c>
      <c r="B28" s="19"/>
      <c r="C28" s="19"/>
      <c r="D28" s="19"/>
      <c r="E28" s="19"/>
      <c r="F28" s="19"/>
      <c r="G28" s="19"/>
      <c r="H28" s="19"/>
      <c r="I28" s="19">
        <v>7260</v>
      </c>
      <c r="J28" s="19"/>
      <c r="K28" s="19"/>
      <c r="L28" s="19"/>
      <c r="M28" s="23">
        <f>SUM(Tabla24[[#This Row],[01. Alcaldía]:[11. Salud pública y seguridad ciudadana]])</f>
        <v>7260</v>
      </c>
    </row>
    <row r="29" spans="1:13" s="16" customFormat="1" x14ac:dyDescent="0.25">
      <c r="A29" s="21" t="s">
        <v>1311</v>
      </c>
      <c r="B29" s="19"/>
      <c r="C29" s="19"/>
      <c r="D29" s="19"/>
      <c r="E29" s="19"/>
      <c r="F29" s="19"/>
      <c r="G29" s="19"/>
      <c r="H29" s="19">
        <v>479</v>
      </c>
      <c r="I29" s="19"/>
      <c r="J29" s="19"/>
      <c r="K29" s="19"/>
      <c r="L29" s="19"/>
      <c r="M29" s="23">
        <f>SUM(Tabla24[[#This Row],[01. Alcaldía]:[11. Salud pública y seguridad ciudadana]])</f>
        <v>479</v>
      </c>
    </row>
    <row r="30" spans="1:13" s="16" customFormat="1" x14ac:dyDescent="0.25">
      <c r="A30" s="21" t="s">
        <v>675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332.75</v>
      </c>
      <c r="L30" s="19"/>
      <c r="M30" s="23">
        <f>SUM(Tabla24[[#This Row],[01. Alcaldía]:[11. Salud pública y seguridad ciudadana]])</f>
        <v>332.75</v>
      </c>
    </row>
    <row r="31" spans="1:13" s="16" customFormat="1" x14ac:dyDescent="0.25">
      <c r="A31" s="21" t="s">
        <v>231</v>
      </c>
      <c r="B31" s="19"/>
      <c r="C31" s="19"/>
      <c r="D31" s="19"/>
      <c r="E31" s="19"/>
      <c r="F31" s="19"/>
      <c r="G31" s="19"/>
      <c r="H31" s="19"/>
      <c r="I31" s="19">
        <v>943.8</v>
      </c>
      <c r="J31" s="19"/>
      <c r="K31" s="19"/>
      <c r="L31" s="19"/>
      <c r="M31" s="23">
        <f>SUM(Tabla24[[#This Row],[01. Alcaldía]:[11. Salud pública y seguridad ciudadana]])</f>
        <v>943.8</v>
      </c>
    </row>
    <row r="32" spans="1:13" s="16" customFormat="1" x14ac:dyDescent="0.25">
      <c r="A32" s="21" t="s">
        <v>85</v>
      </c>
      <c r="B32" s="19"/>
      <c r="C32" s="19">
        <v>546.46</v>
      </c>
      <c r="D32" s="19"/>
      <c r="E32" s="19"/>
      <c r="F32" s="19"/>
      <c r="G32" s="19"/>
      <c r="H32" s="19"/>
      <c r="I32" s="19"/>
      <c r="J32" s="19"/>
      <c r="K32" s="19"/>
      <c r="L32" s="19"/>
      <c r="M32" s="23">
        <f>SUM(Tabla24[[#This Row],[01. Alcaldía]:[11. Salud pública y seguridad ciudadana]])</f>
        <v>546.46</v>
      </c>
    </row>
    <row r="33" spans="1:13" s="16" customFormat="1" x14ac:dyDescent="0.25">
      <c r="A33" s="21" t="s">
        <v>922</v>
      </c>
      <c r="B33" s="19"/>
      <c r="C33" s="19"/>
      <c r="D33" s="19"/>
      <c r="E33" s="19"/>
      <c r="F33" s="19"/>
      <c r="G33" s="19"/>
      <c r="H33" s="19"/>
      <c r="I33" s="19">
        <v>658.24</v>
      </c>
      <c r="J33" s="19"/>
      <c r="K33" s="19"/>
      <c r="L33" s="19"/>
      <c r="M33" s="23">
        <f>SUM(Tabla24[[#This Row],[01. Alcaldía]:[11. Salud pública y seguridad ciudadana]])</f>
        <v>658.24</v>
      </c>
    </row>
    <row r="34" spans="1:13" s="16" customFormat="1" x14ac:dyDescent="0.25">
      <c r="A34" s="21" t="s">
        <v>39</v>
      </c>
      <c r="B34" s="19"/>
      <c r="C34" s="19"/>
      <c r="D34" s="19">
        <v>2707.01</v>
      </c>
      <c r="E34" s="19"/>
      <c r="F34" s="19"/>
      <c r="G34" s="19"/>
      <c r="H34" s="19"/>
      <c r="I34" s="19"/>
      <c r="J34" s="19"/>
      <c r="K34" s="19"/>
      <c r="L34" s="19"/>
      <c r="M34" s="23">
        <f>SUM(Tabla24[[#This Row],[01. Alcaldía]:[11. Salud pública y seguridad ciudadana]])</f>
        <v>2707.01</v>
      </c>
    </row>
    <row r="35" spans="1:13" s="16" customFormat="1" x14ac:dyDescent="0.25">
      <c r="A35" s="21" t="s">
        <v>223</v>
      </c>
      <c r="B35" s="19"/>
      <c r="C35" s="19"/>
      <c r="D35" s="19"/>
      <c r="E35" s="19"/>
      <c r="F35" s="19"/>
      <c r="G35" s="19">
        <v>3000</v>
      </c>
      <c r="H35" s="19"/>
      <c r="I35" s="19"/>
      <c r="J35" s="19"/>
      <c r="K35" s="19"/>
      <c r="L35" s="19"/>
      <c r="M35" s="23">
        <f>SUM(Tabla24[[#This Row],[01. Alcaldía]:[11. Salud pública y seguridad ciudadana]])</f>
        <v>3000</v>
      </c>
    </row>
    <row r="36" spans="1:13" s="16" customFormat="1" x14ac:dyDescent="0.25">
      <c r="A36" s="21" t="s">
        <v>179</v>
      </c>
      <c r="B36" s="19">
        <v>2422.42</v>
      </c>
      <c r="C36" s="19"/>
      <c r="D36" s="19">
        <v>424.02</v>
      </c>
      <c r="E36" s="19"/>
      <c r="F36" s="19"/>
      <c r="G36" s="19"/>
      <c r="H36" s="19"/>
      <c r="I36" s="19"/>
      <c r="J36" s="19"/>
      <c r="K36" s="19"/>
      <c r="L36" s="19">
        <v>1639.15</v>
      </c>
      <c r="M36" s="23">
        <f>SUM(Tabla24[[#This Row],[01. Alcaldía]:[11. Salud pública y seguridad ciudadana]])</f>
        <v>4485.59</v>
      </c>
    </row>
    <row r="37" spans="1:13" s="16" customFormat="1" x14ac:dyDescent="0.25">
      <c r="A37" s="21" t="s">
        <v>64</v>
      </c>
      <c r="B37" s="19"/>
      <c r="C37" s="19">
        <v>71.09</v>
      </c>
      <c r="D37" s="19"/>
      <c r="E37" s="19"/>
      <c r="F37" s="19"/>
      <c r="G37" s="19"/>
      <c r="H37" s="19"/>
      <c r="I37" s="19"/>
      <c r="J37" s="19"/>
      <c r="K37" s="19"/>
      <c r="L37" s="19"/>
      <c r="M37" s="23">
        <f>SUM(Tabla24[[#This Row],[01. Alcaldía]:[11. Salud pública y seguridad ciudadana]])</f>
        <v>71.09</v>
      </c>
    </row>
    <row r="38" spans="1:13" s="16" customFormat="1" x14ac:dyDescent="0.25">
      <c r="A38" s="21" t="s">
        <v>933</v>
      </c>
      <c r="B38" s="19"/>
      <c r="C38" s="19"/>
      <c r="D38" s="19">
        <v>3539.25</v>
      </c>
      <c r="E38" s="19"/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3539.25</v>
      </c>
    </row>
    <row r="39" spans="1:13" s="16" customFormat="1" x14ac:dyDescent="0.25">
      <c r="A39" s="21" t="s">
        <v>1095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1573</v>
      </c>
      <c r="M39" s="23">
        <f>SUM(Tabla24[[#This Row],[01. Alcaldía]:[11. Salud pública y seguridad ciudadana]])</f>
        <v>1573</v>
      </c>
    </row>
    <row r="40" spans="1:13" s="16" customFormat="1" x14ac:dyDescent="0.25">
      <c r="A40" s="21" t="s">
        <v>1020</v>
      </c>
      <c r="B40" s="19"/>
      <c r="C40" s="19"/>
      <c r="D40" s="19"/>
      <c r="E40" s="19"/>
      <c r="F40" s="19"/>
      <c r="G40" s="19">
        <v>395</v>
      </c>
      <c r="H40" s="19"/>
      <c r="I40" s="19"/>
      <c r="J40" s="19"/>
      <c r="K40" s="19"/>
      <c r="L40" s="19"/>
      <c r="M40" s="23">
        <f>SUM(Tabla24[[#This Row],[01. Alcaldía]:[11. Salud pública y seguridad ciudadana]])</f>
        <v>395</v>
      </c>
    </row>
    <row r="41" spans="1:13" s="16" customFormat="1" x14ac:dyDescent="0.25">
      <c r="A41" s="21" t="s">
        <v>687</v>
      </c>
      <c r="B41" s="19">
        <v>752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752</v>
      </c>
    </row>
    <row r="42" spans="1:13" s="16" customFormat="1" x14ac:dyDescent="0.25">
      <c r="A42" s="21" t="s">
        <v>70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3000</v>
      </c>
      <c r="M42" s="23">
        <f>SUM(Tabla24[[#This Row],[01. Alcaldía]:[11. Salud pública y seguridad ciudadana]])</f>
        <v>3000</v>
      </c>
    </row>
    <row r="43" spans="1:13" s="16" customFormat="1" x14ac:dyDescent="0.25">
      <c r="A43" s="21" t="s">
        <v>117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1862.1999999999998</v>
      </c>
      <c r="L43" s="19"/>
      <c r="M43" s="23">
        <f>SUM(Tabla24[[#This Row],[01. Alcaldía]:[11. Salud pública y seguridad ciudadana]])</f>
        <v>1862.1999999999998</v>
      </c>
    </row>
    <row r="44" spans="1:13" s="16" customFormat="1" x14ac:dyDescent="0.25">
      <c r="A44" s="21" t="s">
        <v>879</v>
      </c>
      <c r="B44" s="19">
        <v>744.88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3">
        <f>SUM(Tabla24[[#This Row],[01. Alcaldía]:[11. Salud pública y seguridad ciudadana]])</f>
        <v>744.88</v>
      </c>
    </row>
    <row r="45" spans="1:13" s="16" customFormat="1" x14ac:dyDescent="0.25">
      <c r="A45" s="21" t="s">
        <v>47</v>
      </c>
      <c r="B45" s="19">
        <v>725.32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SUM(Tabla24[[#This Row],[01. Alcaldía]:[11. Salud pública y seguridad ciudadana]])</f>
        <v>725.32</v>
      </c>
    </row>
    <row r="46" spans="1:13" s="16" customFormat="1" x14ac:dyDescent="0.25">
      <c r="A46" s="21" t="s">
        <v>169</v>
      </c>
      <c r="B46" s="19"/>
      <c r="C46" s="19"/>
      <c r="D46" s="19"/>
      <c r="E46" s="19">
        <v>14636.16</v>
      </c>
      <c r="F46" s="19"/>
      <c r="G46" s="19"/>
      <c r="H46" s="19"/>
      <c r="I46" s="19"/>
      <c r="J46" s="19"/>
      <c r="K46" s="19"/>
      <c r="L46" s="19"/>
      <c r="M46" s="23">
        <f>SUM(Tabla24[[#This Row],[01. Alcaldía]:[11. Salud pública y seguridad ciudadana]])</f>
        <v>14636.16</v>
      </c>
    </row>
    <row r="47" spans="1:13" s="16" customFormat="1" x14ac:dyDescent="0.25">
      <c r="A47" s="21" t="s">
        <v>253</v>
      </c>
      <c r="B47" s="19"/>
      <c r="C47" s="19"/>
      <c r="D47" s="19"/>
      <c r="E47" s="19"/>
      <c r="F47" s="19"/>
      <c r="G47" s="19">
        <v>1815</v>
      </c>
      <c r="H47" s="19"/>
      <c r="I47" s="19">
        <v>2057</v>
      </c>
      <c r="J47" s="19"/>
      <c r="K47" s="19"/>
      <c r="L47" s="19">
        <v>565.4</v>
      </c>
      <c r="M47" s="23">
        <f>SUM(Tabla24[[#This Row],[01. Alcaldía]:[11. Salud pública y seguridad ciudadana]])</f>
        <v>4437.3999999999996</v>
      </c>
    </row>
    <row r="48" spans="1:13" s="16" customFormat="1" x14ac:dyDescent="0.25">
      <c r="A48" s="21" t="s">
        <v>92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965</v>
      </c>
      <c r="M48" s="23">
        <f>SUM(Tabla24[[#This Row],[01. Alcaldía]:[11. Salud pública y seguridad ciudadana]])</f>
        <v>965</v>
      </c>
    </row>
    <row r="49" spans="1:13" s="16" customFormat="1" x14ac:dyDescent="0.25">
      <c r="A49" s="21" t="s">
        <v>981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1000</v>
      </c>
      <c r="M49" s="23">
        <f>SUM(Tabla24[[#This Row],[01. Alcaldía]:[11. Salud pública y seguridad ciudadana]])</f>
        <v>1000</v>
      </c>
    </row>
    <row r="50" spans="1:13" s="16" customFormat="1" x14ac:dyDescent="0.25">
      <c r="A50" s="21" t="s">
        <v>76</v>
      </c>
      <c r="B50" s="19"/>
      <c r="C50" s="19"/>
      <c r="D50" s="19"/>
      <c r="E50" s="19"/>
      <c r="F50" s="19"/>
      <c r="G50" s="19"/>
      <c r="H50" s="19"/>
      <c r="I50" s="19">
        <v>14520</v>
      </c>
      <c r="J50" s="19"/>
      <c r="K50" s="19"/>
      <c r="L50" s="19"/>
      <c r="M50" s="23">
        <f>SUM(Tabla24[[#This Row],[01. Alcaldía]:[11. Salud pública y seguridad ciudadana]])</f>
        <v>14520</v>
      </c>
    </row>
    <row r="51" spans="1:13" s="16" customFormat="1" x14ac:dyDescent="0.25">
      <c r="A51" s="21" t="s">
        <v>62</v>
      </c>
      <c r="B51" s="19"/>
      <c r="C51" s="19"/>
      <c r="D51" s="19">
        <v>1365.3600000000001</v>
      </c>
      <c r="E51" s="19"/>
      <c r="F51" s="19"/>
      <c r="G51" s="19">
        <v>10853.7</v>
      </c>
      <c r="H51" s="19"/>
      <c r="I51" s="19">
        <v>2985.68</v>
      </c>
      <c r="J51" s="19"/>
      <c r="K51" s="19"/>
      <c r="L51" s="19">
        <v>1113.2</v>
      </c>
      <c r="M51" s="23">
        <f>SUM(Tabla24[[#This Row],[01. Alcaldía]:[11. Salud pública y seguridad ciudadana]])</f>
        <v>16317.940000000002</v>
      </c>
    </row>
    <row r="52" spans="1:13" s="16" customFormat="1" x14ac:dyDescent="0.25">
      <c r="A52" s="21" t="s">
        <v>705</v>
      </c>
      <c r="B52" s="19">
        <v>7120.85</v>
      </c>
      <c r="C52" s="19"/>
      <c r="D52" s="19">
        <v>780.23</v>
      </c>
      <c r="E52" s="19"/>
      <c r="F52" s="19"/>
      <c r="G52" s="19">
        <v>1350</v>
      </c>
      <c r="H52" s="19"/>
      <c r="I52" s="19"/>
      <c r="J52" s="19"/>
      <c r="K52" s="19"/>
      <c r="L52" s="19"/>
      <c r="M52" s="23">
        <f>SUM(Tabla24[[#This Row],[01. Alcaldía]:[11. Salud pública y seguridad ciudadana]])</f>
        <v>9251.08</v>
      </c>
    </row>
    <row r="53" spans="1:13" s="16" customFormat="1" x14ac:dyDescent="0.25">
      <c r="A53" s="21" t="s">
        <v>1326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1413.28</v>
      </c>
      <c r="M53" s="23">
        <f>SUM(Tabla24[[#This Row],[01. Alcaldía]:[11. Salud pública y seguridad ciudadana]])</f>
        <v>1413.28</v>
      </c>
    </row>
    <row r="54" spans="1:13" s="16" customFormat="1" x14ac:dyDescent="0.25">
      <c r="A54" s="21" t="s">
        <v>582</v>
      </c>
      <c r="B54" s="19"/>
      <c r="C54" s="19"/>
      <c r="D54" s="19"/>
      <c r="E54" s="19"/>
      <c r="F54" s="19"/>
      <c r="G54" s="19"/>
      <c r="H54" s="19">
        <v>2180.54</v>
      </c>
      <c r="I54" s="19"/>
      <c r="J54" s="19"/>
      <c r="K54" s="19"/>
      <c r="L54" s="19"/>
      <c r="M54" s="23">
        <f>SUM(Tabla24[[#This Row],[01. Alcaldía]:[11. Salud pública y seguridad ciudadana]])</f>
        <v>2180.54</v>
      </c>
    </row>
    <row r="55" spans="1:13" s="16" customFormat="1" x14ac:dyDescent="0.25">
      <c r="A55" s="21" t="s">
        <v>709</v>
      </c>
      <c r="B55" s="19"/>
      <c r="C55" s="19"/>
      <c r="D55" s="19"/>
      <c r="E55" s="19"/>
      <c r="F55" s="19"/>
      <c r="G55" s="19">
        <v>500</v>
      </c>
      <c r="H55" s="19"/>
      <c r="I55" s="19"/>
      <c r="J55" s="19"/>
      <c r="K55" s="19"/>
      <c r="L55" s="19"/>
      <c r="M55" s="23">
        <f>SUM(Tabla24[[#This Row],[01. Alcaldía]:[11. Salud pública y seguridad ciudadana]])</f>
        <v>500</v>
      </c>
    </row>
    <row r="56" spans="1:13" s="16" customFormat="1" x14ac:dyDescent="0.25">
      <c r="A56" s="21" t="s">
        <v>244</v>
      </c>
      <c r="B56" s="19"/>
      <c r="C56" s="19"/>
      <c r="D56" s="19"/>
      <c r="E56" s="19"/>
      <c r="F56" s="19"/>
      <c r="G56" s="19">
        <v>96.01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96.01</v>
      </c>
    </row>
    <row r="57" spans="1:13" s="16" customFormat="1" x14ac:dyDescent="0.25">
      <c r="A57" s="21" t="s">
        <v>1163</v>
      </c>
      <c r="B57" s="19"/>
      <c r="C57" s="19"/>
      <c r="D57" s="19"/>
      <c r="E57" s="19"/>
      <c r="F57" s="19"/>
      <c r="G57" s="19">
        <v>441</v>
      </c>
      <c r="H57" s="19"/>
      <c r="I57" s="19"/>
      <c r="J57" s="19"/>
      <c r="K57" s="19"/>
      <c r="L57" s="19"/>
      <c r="M57" s="23">
        <f>SUM(Tabla24[[#This Row],[01. Alcaldía]:[11. Salud pública y seguridad ciudadana]])</f>
        <v>441</v>
      </c>
    </row>
    <row r="58" spans="1:13" s="16" customFormat="1" x14ac:dyDescent="0.25">
      <c r="A58" s="21" t="s">
        <v>202</v>
      </c>
      <c r="B58" s="19"/>
      <c r="C58" s="19"/>
      <c r="D58" s="19"/>
      <c r="E58" s="19"/>
      <c r="F58" s="19"/>
      <c r="G58" s="19">
        <v>300.02</v>
      </c>
      <c r="H58" s="19"/>
      <c r="I58" s="19"/>
      <c r="J58" s="19"/>
      <c r="K58" s="19"/>
      <c r="L58" s="19"/>
      <c r="M58" s="23">
        <f>SUM(Tabla24[[#This Row],[01. Alcaldía]:[11. Salud pública y seguridad ciudadana]])</f>
        <v>300.02</v>
      </c>
    </row>
    <row r="59" spans="1:13" s="16" customFormat="1" x14ac:dyDescent="0.25">
      <c r="A59" s="21" t="s">
        <v>104</v>
      </c>
      <c r="B59" s="19"/>
      <c r="C59" s="19"/>
      <c r="D59" s="19">
        <v>593.9</v>
      </c>
      <c r="E59" s="19"/>
      <c r="F59" s="19"/>
      <c r="G59" s="19"/>
      <c r="H59" s="19"/>
      <c r="I59" s="19"/>
      <c r="J59" s="19"/>
      <c r="K59" s="19"/>
      <c r="L59" s="19">
        <v>397.9</v>
      </c>
      <c r="M59" s="23">
        <f>SUM(Tabla24[[#This Row],[01. Alcaldía]:[11. Salud pública y seguridad ciudadana]])</f>
        <v>991.8</v>
      </c>
    </row>
    <row r="60" spans="1:13" s="16" customFormat="1" x14ac:dyDescent="0.25">
      <c r="A60" s="21" t="s">
        <v>216</v>
      </c>
      <c r="B60" s="19">
        <v>2152.84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3">
        <f>SUM(Tabla24[[#This Row],[01. Alcaldía]:[11. Salud pública y seguridad ciudadana]])</f>
        <v>2152.84</v>
      </c>
    </row>
    <row r="61" spans="1:13" s="16" customFormat="1" x14ac:dyDescent="0.25">
      <c r="A61" s="21" t="s">
        <v>55</v>
      </c>
      <c r="B61" s="19">
        <v>1456</v>
      </c>
      <c r="C61" s="19"/>
      <c r="D61" s="19"/>
      <c r="E61" s="19"/>
      <c r="F61" s="19"/>
      <c r="G61" s="19">
        <v>6566.5</v>
      </c>
      <c r="H61" s="19"/>
      <c r="I61" s="19"/>
      <c r="J61" s="19"/>
      <c r="K61" s="19">
        <v>276.18</v>
      </c>
      <c r="L61" s="19"/>
      <c r="M61" s="23">
        <f>SUM(Tabla24[[#This Row],[01. Alcaldía]:[11. Salud pública y seguridad ciudadana]])</f>
        <v>8298.68</v>
      </c>
    </row>
    <row r="62" spans="1:13" s="16" customFormat="1" x14ac:dyDescent="0.25">
      <c r="A62" s="21" t="s">
        <v>934</v>
      </c>
      <c r="B62" s="19"/>
      <c r="C62" s="19"/>
      <c r="D62" s="19">
        <v>886.03</v>
      </c>
      <c r="E62" s="19"/>
      <c r="F62" s="19"/>
      <c r="G62" s="19"/>
      <c r="H62" s="19"/>
      <c r="I62" s="19"/>
      <c r="J62" s="19"/>
      <c r="K62" s="19"/>
      <c r="L62" s="19"/>
      <c r="M62" s="23">
        <f>SUM(Tabla24[[#This Row],[01. Alcaldía]:[11. Salud pública y seguridad ciudadana]])</f>
        <v>886.03</v>
      </c>
    </row>
    <row r="63" spans="1:13" s="16" customFormat="1" x14ac:dyDescent="0.25">
      <c r="A63" s="21" t="s">
        <v>472</v>
      </c>
      <c r="B63" s="19"/>
      <c r="C63" s="19">
        <v>100.79</v>
      </c>
      <c r="D63" s="19"/>
      <c r="E63" s="19"/>
      <c r="F63" s="19"/>
      <c r="G63" s="19"/>
      <c r="H63" s="19"/>
      <c r="I63" s="19"/>
      <c r="J63" s="19"/>
      <c r="K63" s="19"/>
      <c r="L63" s="19"/>
      <c r="M63" s="23">
        <f>SUM(Tabla24[[#This Row],[01. Alcaldía]:[11. Salud pública y seguridad ciudadana]])</f>
        <v>100.79</v>
      </c>
    </row>
    <row r="64" spans="1:13" s="16" customFormat="1" x14ac:dyDescent="0.25">
      <c r="A64" s="21" t="s">
        <v>590</v>
      </c>
      <c r="B64" s="19"/>
      <c r="C64" s="19"/>
      <c r="D64" s="19"/>
      <c r="E64" s="19"/>
      <c r="F64" s="19"/>
      <c r="G64" s="19"/>
      <c r="H64" s="19">
        <v>3565.75</v>
      </c>
      <c r="I64" s="19"/>
      <c r="J64" s="19"/>
      <c r="K64" s="19"/>
      <c r="L64" s="19"/>
      <c r="M64" s="23">
        <f>SUM(Tabla24[[#This Row],[01. Alcaldía]:[11. Salud pública y seguridad ciudadana]])</f>
        <v>3565.75</v>
      </c>
    </row>
    <row r="65" spans="1:13" s="16" customFormat="1" x14ac:dyDescent="0.25">
      <c r="A65" s="21" t="s">
        <v>2328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296.60000000000002</v>
      </c>
      <c r="M65" s="23">
        <f>SUM(Tabla24[[#This Row],[01. Alcaldía]:[11. Salud pública y seguridad ciudadana]])</f>
        <v>296.60000000000002</v>
      </c>
    </row>
    <row r="66" spans="1:13" s="16" customFormat="1" x14ac:dyDescent="0.25">
      <c r="A66" s="21" t="s">
        <v>2395</v>
      </c>
      <c r="B66" s="19"/>
      <c r="C66" s="19"/>
      <c r="D66" s="19"/>
      <c r="E66" s="19"/>
      <c r="F66" s="19"/>
      <c r="G66" s="19"/>
      <c r="H66" s="19"/>
      <c r="I66" s="19">
        <v>2727.95</v>
      </c>
      <c r="J66" s="19"/>
      <c r="K66" s="19"/>
      <c r="L66" s="19"/>
      <c r="M66" s="23">
        <f>SUM(Tabla24[[#This Row],[01. Alcaldía]:[11. Salud pública y seguridad ciudadana]])</f>
        <v>2727.95</v>
      </c>
    </row>
    <row r="67" spans="1:13" s="16" customFormat="1" x14ac:dyDescent="0.25">
      <c r="A67" s="21" t="s">
        <v>993</v>
      </c>
      <c r="B67" s="19"/>
      <c r="C67" s="19"/>
      <c r="D67" s="19"/>
      <c r="E67" s="19"/>
      <c r="F67" s="19"/>
      <c r="G67" s="19"/>
      <c r="H67" s="19"/>
      <c r="I67" s="19"/>
      <c r="J67" s="19"/>
      <c r="K67" s="19">
        <v>1026</v>
      </c>
      <c r="L67" s="19"/>
      <c r="M67" s="23">
        <f>SUM(Tabla24[[#This Row],[01. Alcaldía]:[11. Salud pública y seguridad ciudadana]])</f>
        <v>1026</v>
      </c>
    </row>
    <row r="68" spans="1:13" s="16" customFormat="1" x14ac:dyDescent="0.25">
      <c r="A68" s="21" t="s">
        <v>2887</v>
      </c>
      <c r="B68" s="19"/>
      <c r="C68" s="19">
        <v>375.1</v>
      </c>
      <c r="D68" s="19"/>
      <c r="E68" s="19"/>
      <c r="F68" s="19"/>
      <c r="G68" s="19"/>
      <c r="H68" s="19"/>
      <c r="I68" s="19"/>
      <c r="J68" s="19"/>
      <c r="K68" s="19"/>
      <c r="L68" s="19"/>
      <c r="M68" s="23">
        <f>SUM(Tabla24[[#This Row],[01. Alcaldía]:[11. Salud pública y seguridad ciudadana]])</f>
        <v>375.1</v>
      </c>
    </row>
    <row r="69" spans="1:13" s="16" customFormat="1" x14ac:dyDescent="0.25">
      <c r="A69" s="21" t="s">
        <v>222</v>
      </c>
      <c r="B69" s="19"/>
      <c r="C69" s="19"/>
      <c r="D69" s="19"/>
      <c r="E69" s="19"/>
      <c r="F69" s="19"/>
      <c r="G69" s="19">
        <v>56.95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56.95</v>
      </c>
    </row>
    <row r="70" spans="1:13" s="16" customFormat="1" x14ac:dyDescent="0.25">
      <c r="A70" s="21" t="s">
        <v>210</v>
      </c>
      <c r="B70" s="19">
        <v>442.24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3">
        <f>SUM(Tabla24[[#This Row],[01. Alcaldía]:[11. Salud pública y seguridad ciudadana]])</f>
        <v>442.24</v>
      </c>
    </row>
    <row r="71" spans="1:13" s="16" customFormat="1" x14ac:dyDescent="0.25">
      <c r="A71" s="21" t="s">
        <v>739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629.79999999999995</v>
      </c>
      <c r="L71" s="19"/>
      <c r="M71" s="23">
        <f>SUM(Tabla24[[#This Row],[01. Alcaldía]:[11. Salud pública y seguridad ciudadana]])</f>
        <v>629.79999999999995</v>
      </c>
    </row>
    <row r="72" spans="1:13" s="16" customFormat="1" ht="25.5" x14ac:dyDescent="0.25">
      <c r="A72" s="21" t="s">
        <v>247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170.4</v>
      </c>
      <c r="L72" s="19"/>
      <c r="M72" s="23">
        <f>SUM(Tabla24[[#This Row],[01. Alcaldía]:[11. Salud pública y seguridad ciudadana]])</f>
        <v>170.4</v>
      </c>
    </row>
    <row r="73" spans="1:13" s="16" customFormat="1" x14ac:dyDescent="0.25">
      <c r="A73" s="21" t="s">
        <v>248</v>
      </c>
      <c r="B73" s="19"/>
      <c r="C73" s="19"/>
      <c r="D73" s="19"/>
      <c r="E73" s="19"/>
      <c r="F73" s="19"/>
      <c r="G73" s="19">
        <v>264.01</v>
      </c>
      <c r="H73" s="19"/>
      <c r="I73" s="19"/>
      <c r="J73" s="19"/>
      <c r="K73" s="19"/>
      <c r="L73" s="19"/>
      <c r="M73" s="23">
        <f>SUM(Tabla24[[#This Row],[01. Alcaldía]:[11. Salud pública y seguridad ciudadana]])</f>
        <v>264.01</v>
      </c>
    </row>
    <row r="74" spans="1:13" s="16" customFormat="1" x14ac:dyDescent="0.25">
      <c r="A74" s="21" t="s">
        <v>94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4000</v>
      </c>
      <c r="M74" s="23">
        <f>SUM(Tabla24[[#This Row],[01. Alcaldía]:[11. Salud pública y seguridad ciudadana]])</f>
        <v>4000</v>
      </c>
    </row>
    <row r="75" spans="1:13" s="16" customFormat="1" x14ac:dyDescent="0.25">
      <c r="A75" s="21" t="s">
        <v>470</v>
      </c>
      <c r="B75" s="19"/>
      <c r="C75" s="19"/>
      <c r="D75" s="19"/>
      <c r="E75" s="19">
        <v>4500</v>
      </c>
      <c r="F75" s="19"/>
      <c r="G75" s="19"/>
      <c r="H75" s="19"/>
      <c r="I75" s="19"/>
      <c r="J75" s="19"/>
      <c r="K75" s="19"/>
      <c r="L75" s="19"/>
      <c r="M75" s="23">
        <f>SUM(Tabla24[[#This Row],[01. Alcaldía]:[11. Salud pública y seguridad ciudadana]])</f>
        <v>4500</v>
      </c>
    </row>
    <row r="76" spans="1:13" s="16" customFormat="1" x14ac:dyDescent="0.25">
      <c r="A76" s="21" t="s">
        <v>240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4973.58</v>
      </c>
      <c r="M76" s="23">
        <f>SUM(Tabla24[[#This Row],[01. Alcaldía]:[11. Salud pública y seguridad ciudadana]])</f>
        <v>4973.58</v>
      </c>
    </row>
    <row r="77" spans="1:13" s="16" customFormat="1" x14ac:dyDescent="0.25">
      <c r="A77" s="21" t="s">
        <v>999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361.84</v>
      </c>
      <c r="L77" s="19"/>
      <c r="M77" s="23">
        <f>SUM(Tabla24[[#This Row],[01. Alcaldía]:[11. Salud pública y seguridad ciudadana]])</f>
        <v>361.84</v>
      </c>
    </row>
    <row r="78" spans="1:13" s="16" customFormat="1" x14ac:dyDescent="0.25">
      <c r="A78" s="21" t="s">
        <v>1334</v>
      </c>
      <c r="B78" s="19"/>
      <c r="C78" s="19"/>
      <c r="D78" s="19">
        <v>51.47</v>
      </c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51.47</v>
      </c>
    </row>
    <row r="79" spans="1:13" s="16" customFormat="1" x14ac:dyDescent="0.25">
      <c r="A79" s="21" t="s">
        <v>84</v>
      </c>
      <c r="B79" s="19"/>
      <c r="C79" s="19"/>
      <c r="D79" s="19"/>
      <c r="E79" s="19"/>
      <c r="F79" s="19"/>
      <c r="G79" s="19">
        <v>838.68</v>
      </c>
      <c r="H79" s="19"/>
      <c r="I79" s="19"/>
      <c r="J79" s="19"/>
      <c r="K79" s="19"/>
      <c r="L79" s="19"/>
      <c r="M79" s="23">
        <f>SUM(Tabla24[[#This Row],[01. Alcaldía]:[11. Salud pública y seguridad ciudadana]])</f>
        <v>838.68</v>
      </c>
    </row>
    <row r="80" spans="1:13" s="16" customFormat="1" x14ac:dyDescent="0.25">
      <c r="A80" s="21" t="s">
        <v>176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6000</v>
      </c>
      <c r="L80" s="19"/>
      <c r="M80" s="23">
        <f>SUM(Tabla24[[#This Row],[01. Alcaldía]:[11. Salud pública y seguridad ciudadana]])</f>
        <v>6000</v>
      </c>
    </row>
    <row r="81" spans="1:13" s="16" customFormat="1" x14ac:dyDescent="0.25">
      <c r="A81" s="21" t="s">
        <v>977</v>
      </c>
      <c r="B81" s="19"/>
      <c r="C81" s="19"/>
      <c r="D81" s="19"/>
      <c r="E81" s="19">
        <v>18146.849999999999</v>
      </c>
      <c r="F81" s="19"/>
      <c r="G81" s="19"/>
      <c r="H81" s="19"/>
      <c r="I81" s="19"/>
      <c r="J81" s="19"/>
      <c r="K81" s="19"/>
      <c r="L81" s="19"/>
      <c r="M81" s="23">
        <f>SUM(Tabla24[[#This Row],[01. Alcaldía]:[11. Salud pública y seguridad ciudadana]])</f>
        <v>18146.849999999999</v>
      </c>
    </row>
    <row r="82" spans="1:13" s="16" customFormat="1" x14ac:dyDescent="0.25">
      <c r="A82" s="21" t="s">
        <v>476</v>
      </c>
      <c r="B82" s="19"/>
      <c r="C82" s="19"/>
      <c r="D82" s="19"/>
      <c r="E82" s="19"/>
      <c r="F82" s="19"/>
      <c r="G82" s="19">
        <v>282</v>
      </c>
      <c r="H82" s="19"/>
      <c r="I82" s="19"/>
      <c r="J82" s="19"/>
      <c r="K82" s="19"/>
      <c r="L82" s="19"/>
      <c r="M82" s="23">
        <f>SUM(Tabla24[[#This Row],[01. Alcaldía]:[11. Salud pública y seguridad ciudadana]])</f>
        <v>282</v>
      </c>
    </row>
    <row r="83" spans="1:13" s="16" customFormat="1" x14ac:dyDescent="0.25">
      <c r="A83" s="21" t="s">
        <v>968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930.49</v>
      </c>
      <c r="L83" s="19"/>
      <c r="M83" s="23">
        <f>SUM(Tabla24[[#This Row],[01. Alcaldía]:[11. Salud pública y seguridad ciudadana]])</f>
        <v>930.49</v>
      </c>
    </row>
    <row r="84" spans="1:13" s="16" customFormat="1" x14ac:dyDescent="0.25">
      <c r="A84" s="21" t="s">
        <v>995</v>
      </c>
      <c r="B84" s="19"/>
      <c r="C84" s="19"/>
      <c r="D84" s="19"/>
      <c r="E84" s="19"/>
      <c r="F84" s="19"/>
      <c r="G84" s="19">
        <v>500</v>
      </c>
      <c r="H84" s="19"/>
      <c r="I84" s="19"/>
      <c r="J84" s="19"/>
      <c r="K84" s="19"/>
      <c r="L84" s="19"/>
      <c r="M84" s="23">
        <f>SUM(Tabla24[[#This Row],[01. Alcaldía]:[11. Salud pública y seguridad ciudadana]])</f>
        <v>500</v>
      </c>
    </row>
    <row r="85" spans="1:13" s="16" customFormat="1" x14ac:dyDescent="0.25">
      <c r="A85" s="21" t="s">
        <v>241</v>
      </c>
      <c r="B85" s="19"/>
      <c r="C85" s="19"/>
      <c r="D85" s="19"/>
      <c r="E85" s="19"/>
      <c r="F85" s="19"/>
      <c r="G85" s="19">
        <v>66.55</v>
      </c>
      <c r="H85" s="19"/>
      <c r="I85" s="19"/>
      <c r="J85" s="19"/>
      <c r="K85" s="19"/>
      <c r="L85" s="19"/>
      <c r="M85" s="23">
        <f>SUM(Tabla24[[#This Row],[01. Alcaldía]:[11. Salud pública y seguridad ciudadana]])</f>
        <v>66.55</v>
      </c>
    </row>
    <row r="86" spans="1:13" s="16" customFormat="1" x14ac:dyDescent="0.25">
      <c r="A86" s="21" t="s">
        <v>2933</v>
      </c>
      <c r="B86" s="19"/>
      <c r="C86" s="19"/>
      <c r="D86" s="19"/>
      <c r="E86" s="19">
        <v>5348</v>
      </c>
      <c r="F86" s="19"/>
      <c r="G86" s="19"/>
      <c r="H86" s="19"/>
      <c r="I86" s="19"/>
      <c r="J86" s="19"/>
      <c r="K86" s="19"/>
      <c r="L86" s="19"/>
      <c r="M86" s="23">
        <f>SUM(Tabla24[[#This Row],[01. Alcaldía]:[11. Salud pública y seguridad ciudadana]])</f>
        <v>5348</v>
      </c>
    </row>
    <row r="87" spans="1:13" s="16" customFormat="1" x14ac:dyDescent="0.25">
      <c r="A87" s="21" t="s">
        <v>2979</v>
      </c>
      <c r="B87" s="19"/>
      <c r="C87" s="19"/>
      <c r="D87" s="19"/>
      <c r="E87" s="19">
        <v>4114</v>
      </c>
      <c r="F87" s="19"/>
      <c r="G87" s="19"/>
      <c r="H87" s="19"/>
      <c r="I87" s="19"/>
      <c r="J87" s="19"/>
      <c r="K87" s="19"/>
      <c r="L87" s="19"/>
      <c r="M87" s="23">
        <f>SUM(Tabla24[[#This Row],[01. Alcaldía]:[11. Salud pública y seguridad ciudadana]])</f>
        <v>4114</v>
      </c>
    </row>
    <row r="88" spans="1:13" s="16" customFormat="1" x14ac:dyDescent="0.25">
      <c r="A88" s="21" t="s">
        <v>44</v>
      </c>
      <c r="B88" s="19"/>
      <c r="C88" s="19">
        <v>47.57</v>
      </c>
      <c r="D88" s="19">
        <v>29.23</v>
      </c>
      <c r="E88" s="19"/>
      <c r="F88" s="19"/>
      <c r="G88" s="19"/>
      <c r="H88" s="19"/>
      <c r="I88" s="19"/>
      <c r="J88" s="19">
        <v>47.57</v>
      </c>
      <c r="K88" s="19"/>
      <c r="L88" s="19">
        <v>29.23</v>
      </c>
      <c r="M88" s="23">
        <f>SUM(Tabla24[[#This Row],[01. Alcaldía]:[11. Salud pública y seguridad ciudadana]])</f>
        <v>153.6</v>
      </c>
    </row>
    <row r="89" spans="1:13" s="16" customFormat="1" x14ac:dyDescent="0.25">
      <c r="A89" s="21" t="s">
        <v>807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>
        <v>605</v>
      </c>
      <c r="M89" s="23">
        <f>SUM(Tabla24[[#This Row],[01. Alcaldía]:[11. Salud pública y seguridad ciudadana]])</f>
        <v>605</v>
      </c>
    </row>
    <row r="90" spans="1:13" s="16" customFormat="1" x14ac:dyDescent="0.25">
      <c r="A90" s="21" t="s">
        <v>461</v>
      </c>
      <c r="B90" s="19"/>
      <c r="C90" s="19"/>
      <c r="D90" s="19"/>
      <c r="E90" s="19"/>
      <c r="F90" s="19"/>
      <c r="G90" s="19"/>
      <c r="H90" s="19">
        <v>3000</v>
      </c>
      <c r="I90" s="19"/>
      <c r="J90" s="19"/>
      <c r="K90" s="19"/>
      <c r="L90" s="19"/>
      <c r="M90" s="23">
        <f>SUM(Tabla24[[#This Row],[01. Alcaldía]:[11. Salud pública y seguridad ciudadana]])</f>
        <v>3000</v>
      </c>
    </row>
    <row r="91" spans="1:13" s="16" customFormat="1" x14ac:dyDescent="0.25">
      <c r="A91" s="21" t="s">
        <v>1242</v>
      </c>
      <c r="B91" s="19"/>
      <c r="C91" s="19"/>
      <c r="D91" s="19"/>
      <c r="E91" s="19"/>
      <c r="F91" s="19"/>
      <c r="G91" s="19"/>
      <c r="H91" s="19"/>
      <c r="I91" s="19"/>
      <c r="J91" s="19"/>
      <c r="K91" s="19">
        <v>550.54999999999995</v>
      </c>
      <c r="L91" s="19"/>
      <c r="M91" s="23">
        <f>SUM(Tabla24[[#This Row],[01. Alcaldía]:[11. Salud pública y seguridad ciudadana]])</f>
        <v>550.54999999999995</v>
      </c>
    </row>
    <row r="92" spans="1:13" s="16" customFormat="1" x14ac:dyDescent="0.25">
      <c r="A92" s="21" t="s">
        <v>1343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48.76</v>
      </c>
      <c r="L92" s="19"/>
      <c r="M92" s="23">
        <f>SUM(Tabla24[[#This Row],[01. Alcaldía]:[11. Salud pública y seguridad ciudadana]])</f>
        <v>48.76</v>
      </c>
    </row>
    <row r="93" spans="1:13" s="16" customFormat="1" x14ac:dyDescent="0.25">
      <c r="A93" s="21" t="s">
        <v>3425</v>
      </c>
      <c r="B93" s="19"/>
      <c r="C93" s="19"/>
      <c r="D93" s="19"/>
      <c r="E93" s="19"/>
      <c r="F93" s="19"/>
      <c r="G93" s="19"/>
      <c r="H93" s="19"/>
      <c r="I93" s="19"/>
      <c r="J93" s="19"/>
      <c r="K93" s="19">
        <v>200</v>
      </c>
      <c r="L93" s="19"/>
      <c r="M93" s="23">
        <f>SUM(Tabla24[[#This Row],[01. Alcaldía]:[11. Salud pública y seguridad ciudadana]])</f>
        <v>200</v>
      </c>
    </row>
    <row r="94" spans="1:13" s="16" customFormat="1" x14ac:dyDescent="0.25">
      <c r="A94" s="21" t="s">
        <v>3046</v>
      </c>
      <c r="B94" s="19"/>
      <c r="C94" s="19"/>
      <c r="D94" s="19"/>
      <c r="E94" s="19"/>
      <c r="F94" s="19"/>
      <c r="G94" s="19">
        <v>1780</v>
      </c>
      <c r="H94" s="19"/>
      <c r="I94" s="19"/>
      <c r="J94" s="19"/>
      <c r="K94" s="19"/>
      <c r="L94" s="19"/>
      <c r="M94" s="23">
        <f>SUM(Tabla24[[#This Row],[01. Alcaldía]:[11. Salud pública y seguridad ciudadana]])</f>
        <v>1780</v>
      </c>
    </row>
    <row r="95" spans="1:13" s="16" customFormat="1" x14ac:dyDescent="0.25">
      <c r="A95" s="21" t="s">
        <v>503</v>
      </c>
      <c r="B95" s="19"/>
      <c r="C95" s="19">
        <v>239.99</v>
      </c>
      <c r="D95" s="19"/>
      <c r="E95" s="19"/>
      <c r="F95" s="19"/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239.99</v>
      </c>
    </row>
    <row r="96" spans="1:13" s="16" customFormat="1" x14ac:dyDescent="0.25">
      <c r="A96" s="21" t="s">
        <v>1133</v>
      </c>
      <c r="B96" s="19"/>
      <c r="C96" s="19"/>
      <c r="D96" s="19"/>
      <c r="E96" s="19"/>
      <c r="F96" s="19"/>
      <c r="G96" s="19">
        <v>90</v>
      </c>
      <c r="H96" s="19"/>
      <c r="I96" s="19"/>
      <c r="J96" s="19"/>
      <c r="K96" s="19"/>
      <c r="L96" s="19"/>
      <c r="M96" s="23">
        <f>SUM(Tabla24[[#This Row],[01. Alcaldía]:[11. Salud pública y seguridad ciudadana]])</f>
        <v>90</v>
      </c>
    </row>
    <row r="97" spans="1:13" s="16" customFormat="1" x14ac:dyDescent="0.25">
      <c r="A97" s="21" t="s">
        <v>757</v>
      </c>
      <c r="B97" s="19"/>
      <c r="C97" s="19"/>
      <c r="D97" s="19"/>
      <c r="E97" s="19"/>
      <c r="F97" s="19"/>
      <c r="G97" s="19"/>
      <c r="H97" s="19"/>
      <c r="I97" s="19"/>
      <c r="J97" s="19"/>
      <c r="K97" s="19">
        <v>428.34</v>
      </c>
      <c r="L97" s="19"/>
      <c r="M97" s="23">
        <f>SUM(Tabla24[[#This Row],[01. Alcaldía]:[11. Salud pública y seguridad ciudadana]])</f>
        <v>428.34</v>
      </c>
    </row>
    <row r="98" spans="1:13" s="16" customFormat="1" x14ac:dyDescent="0.25">
      <c r="A98" s="21" t="s">
        <v>3170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>
        <v>716.56</v>
      </c>
      <c r="M98" s="23">
        <f>SUM(Tabla24[[#This Row],[01. Alcaldía]:[11. Salud pública y seguridad ciudadana]])</f>
        <v>716.56</v>
      </c>
    </row>
    <row r="99" spans="1:13" s="16" customFormat="1" x14ac:dyDescent="0.25">
      <c r="A99" s="21" t="s">
        <v>1247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7260</v>
      </c>
      <c r="M99" s="23">
        <f>SUM(Tabla24[[#This Row],[01. Alcaldía]:[11. Salud pública y seguridad ciudadana]])</f>
        <v>7260</v>
      </c>
    </row>
    <row r="100" spans="1:13" s="16" customFormat="1" x14ac:dyDescent="0.25">
      <c r="A100" s="21" t="s">
        <v>3259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319.44</v>
      </c>
      <c r="M100" s="23">
        <f>SUM(Tabla24[[#This Row],[01. Alcaldía]:[11. Salud pública y seguridad ciudadana]])</f>
        <v>319.44</v>
      </c>
    </row>
    <row r="101" spans="1:13" s="16" customFormat="1" x14ac:dyDescent="0.25">
      <c r="A101" s="21" t="s">
        <v>252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>
        <v>600</v>
      </c>
      <c r="M101" s="23">
        <f>SUM(Tabla24[[#This Row],[01. Alcaldía]:[11. Salud pública y seguridad ciudadana]])</f>
        <v>600</v>
      </c>
    </row>
    <row r="102" spans="1:13" s="16" customFormat="1" x14ac:dyDescent="0.25">
      <c r="A102" s="21" t="s">
        <v>3020</v>
      </c>
      <c r="B102" s="19"/>
      <c r="C102" s="19"/>
      <c r="D102" s="19"/>
      <c r="E102" s="19"/>
      <c r="F102" s="19"/>
      <c r="G102" s="19"/>
      <c r="H102" s="19">
        <v>901.45</v>
      </c>
      <c r="I102" s="19"/>
      <c r="J102" s="19"/>
      <c r="K102" s="19"/>
      <c r="L102" s="19"/>
      <c r="M102" s="23">
        <f>SUM(Tabla24[[#This Row],[01. Alcaldía]:[11. Salud pública y seguridad ciudadana]])</f>
        <v>901.45</v>
      </c>
    </row>
    <row r="103" spans="1:13" s="16" customFormat="1" x14ac:dyDescent="0.25">
      <c r="A103" s="21" t="s">
        <v>211</v>
      </c>
      <c r="B103" s="19"/>
      <c r="C103" s="19"/>
      <c r="D103" s="19"/>
      <c r="E103" s="19"/>
      <c r="F103" s="19"/>
      <c r="G103" s="19"/>
      <c r="H103" s="19">
        <v>1500</v>
      </c>
      <c r="I103" s="19"/>
      <c r="J103" s="19"/>
      <c r="K103" s="19">
        <v>1061.31</v>
      </c>
      <c r="L103" s="19"/>
      <c r="M103" s="23">
        <f>SUM(Tabla24[[#This Row],[01. Alcaldía]:[11. Salud pública y seguridad ciudadana]])</f>
        <v>2561.31</v>
      </c>
    </row>
    <row r="104" spans="1:13" s="16" customFormat="1" x14ac:dyDescent="0.25">
      <c r="A104" s="21" t="s">
        <v>97</v>
      </c>
      <c r="B104" s="19"/>
      <c r="C104" s="19"/>
      <c r="D104" s="19"/>
      <c r="E104" s="19"/>
      <c r="F104" s="19"/>
      <c r="G104" s="19"/>
      <c r="H104" s="19">
        <v>1411</v>
      </c>
      <c r="I104" s="19"/>
      <c r="J104" s="19"/>
      <c r="K104" s="19"/>
      <c r="L104" s="19"/>
      <c r="M104" s="23">
        <f>SUM(Tabla24[[#This Row],[01. Alcaldía]:[11. Salud pública y seguridad ciudadana]])</f>
        <v>1411</v>
      </c>
    </row>
    <row r="105" spans="1:13" s="16" customFormat="1" ht="25.5" x14ac:dyDescent="0.25">
      <c r="A105" s="21" t="s">
        <v>1135</v>
      </c>
      <c r="B105" s="19"/>
      <c r="C105" s="19"/>
      <c r="D105" s="19">
        <v>81.23</v>
      </c>
      <c r="E105" s="19"/>
      <c r="F105" s="19"/>
      <c r="G105" s="19"/>
      <c r="H105" s="19"/>
      <c r="I105" s="19"/>
      <c r="J105" s="19"/>
      <c r="K105" s="19"/>
      <c r="L105" s="19"/>
      <c r="M105" s="23">
        <f>SUM(Tabla24[[#This Row],[01. Alcaldía]:[11. Salud pública y seguridad ciudadana]])</f>
        <v>81.23</v>
      </c>
    </row>
    <row r="106" spans="1:13" s="16" customFormat="1" x14ac:dyDescent="0.25">
      <c r="A106" s="21" t="s">
        <v>250</v>
      </c>
      <c r="B106" s="19"/>
      <c r="C106" s="19"/>
      <c r="D106" s="19"/>
      <c r="E106" s="19"/>
      <c r="F106" s="19"/>
      <c r="G106" s="19">
        <v>1028.5</v>
      </c>
      <c r="H106" s="19"/>
      <c r="I106" s="19"/>
      <c r="J106" s="19"/>
      <c r="K106" s="19"/>
      <c r="L106" s="19"/>
      <c r="M106" s="23">
        <f>SUM(Tabla24[[#This Row],[01. Alcaldía]:[11. Salud pública y seguridad ciudadana]])</f>
        <v>1028.5</v>
      </c>
    </row>
    <row r="107" spans="1:13" s="16" customFormat="1" x14ac:dyDescent="0.25">
      <c r="A107" s="21" t="s">
        <v>3213</v>
      </c>
      <c r="B107" s="19"/>
      <c r="C107" s="19"/>
      <c r="D107" s="19"/>
      <c r="E107" s="19"/>
      <c r="F107" s="19"/>
      <c r="G107" s="19">
        <v>314.54000000000002</v>
      </c>
      <c r="H107" s="19"/>
      <c r="I107" s="19"/>
      <c r="J107" s="19"/>
      <c r="K107" s="19">
        <v>723.56999999999994</v>
      </c>
      <c r="L107" s="19"/>
      <c r="M107" s="23">
        <f>SUM(Tabla24[[#This Row],[01. Alcaldía]:[11. Salud pública y seguridad ciudadana]])</f>
        <v>1038.1099999999999</v>
      </c>
    </row>
    <row r="108" spans="1:13" s="16" customFormat="1" x14ac:dyDescent="0.25">
      <c r="A108" s="21" t="s">
        <v>1256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>
        <v>458</v>
      </c>
      <c r="L108" s="19"/>
      <c r="M108" s="23">
        <f>SUM(Tabla24[[#This Row],[01. Alcaldía]:[11. Salud pública y seguridad ciudadana]])</f>
        <v>458</v>
      </c>
    </row>
    <row r="109" spans="1:13" s="16" customFormat="1" x14ac:dyDescent="0.25">
      <c r="A109" s="21" t="s">
        <v>3405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948</v>
      </c>
      <c r="L109" s="19"/>
      <c r="M109" s="23">
        <f>SUM(Tabla24[[#This Row],[01. Alcaldía]:[11. Salud pública y seguridad ciudadana]])</f>
        <v>948</v>
      </c>
    </row>
    <row r="110" spans="1:13" s="16" customFormat="1" x14ac:dyDescent="0.25">
      <c r="A110" s="21" t="s">
        <v>184</v>
      </c>
      <c r="B110" s="19"/>
      <c r="C110" s="19"/>
      <c r="D110" s="19"/>
      <c r="E110" s="19">
        <v>16000</v>
      </c>
      <c r="F110" s="19"/>
      <c r="G110" s="19"/>
      <c r="H110" s="19"/>
      <c r="I110" s="19"/>
      <c r="J110" s="19"/>
      <c r="K110" s="19"/>
      <c r="L110" s="19">
        <v>1500</v>
      </c>
      <c r="M110" s="23">
        <f>SUM(Tabla24[[#This Row],[01. Alcaldía]:[11. Salud pública y seguridad ciudadana]])</f>
        <v>17500</v>
      </c>
    </row>
    <row r="111" spans="1:13" s="16" customFormat="1" x14ac:dyDescent="0.25">
      <c r="A111" s="21" t="s">
        <v>209</v>
      </c>
      <c r="B111" s="19">
        <v>5566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SUM(Tabla24[[#This Row],[01. Alcaldía]:[11. Salud pública y seguridad ciudadana]])</f>
        <v>5566</v>
      </c>
    </row>
    <row r="112" spans="1:13" s="16" customFormat="1" x14ac:dyDescent="0.25">
      <c r="A112" s="21" t="s">
        <v>139</v>
      </c>
      <c r="B112" s="19"/>
      <c r="C112" s="19"/>
      <c r="D112" s="19">
        <v>21073.87</v>
      </c>
      <c r="E112" s="19"/>
      <c r="F112" s="19"/>
      <c r="G112" s="19"/>
      <c r="H112" s="19"/>
      <c r="I112" s="19"/>
      <c r="J112" s="19"/>
      <c r="K112" s="19"/>
      <c r="L112" s="19"/>
      <c r="M112" s="23">
        <f>SUM(Tabla24[[#This Row],[01. Alcaldía]:[11. Salud pública y seguridad ciudadana]])</f>
        <v>21073.87</v>
      </c>
    </row>
    <row r="113" spans="1:13" s="16" customFormat="1" x14ac:dyDescent="0.25">
      <c r="A113" s="21" t="s">
        <v>142</v>
      </c>
      <c r="B113" s="19"/>
      <c r="C113" s="19"/>
      <c r="D113" s="19">
        <v>350.9</v>
      </c>
      <c r="E113" s="19"/>
      <c r="F113" s="19"/>
      <c r="G113" s="19"/>
      <c r="H113" s="19"/>
      <c r="I113" s="19"/>
      <c r="J113" s="19"/>
      <c r="K113" s="19"/>
      <c r="L113" s="19"/>
      <c r="M113" s="23">
        <f>SUM(Tabla24[[#This Row],[01. Alcaldía]:[11. Salud pública y seguridad ciudadana]])</f>
        <v>350.9</v>
      </c>
    </row>
    <row r="114" spans="1:13" s="16" customFormat="1" x14ac:dyDescent="0.25">
      <c r="A114" s="21" t="s">
        <v>1260</v>
      </c>
      <c r="B114" s="19"/>
      <c r="C114" s="19"/>
      <c r="D114" s="19"/>
      <c r="E114" s="19"/>
      <c r="F114" s="19"/>
      <c r="G114" s="19">
        <v>431.55</v>
      </c>
      <c r="H114" s="19"/>
      <c r="I114" s="19"/>
      <c r="J114" s="19"/>
      <c r="K114" s="19"/>
      <c r="L114" s="19"/>
      <c r="M114" s="23">
        <f>SUM(Tabla24[[#This Row],[01. Alcaldía]:[11. Salud pública y seguridad ciudadana]])</f>
        <v>431.55</v>
      </c>
    </row>
    <row r="115" spans="1:13" s="16" customFormat="1" x14ac:dyDescent="0.25">
      <c r="A115" s="21" t="s">
        <v>98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1500</v>
      </c>
      <c r="M115" s="23">
        <f>SUM(Tabla24[[#This Row],[01. Alcaldía]:[11. Salud pública y seguridad ciudadana]])</f>
        <v>1500</v>
      </c>
    </row>
    <row r="116" spans="1:13" s="16" customFormat="1" x14ac:dyDescent="0.25">
      <c r="A116" s="21" t="s">
        <v>1140</v>
      </c>
      <c r="B116" s="19"/>
      <c r="C116" s="19"/>
      <c r="D116" s="19"/>
      <c r="E116" s="19"/>
      <c r="F116" s="19"/>
      <c r="G116" s="19"/>
      <c r="H116" s="19">
        <v>7199.5</v>
      </c>
      <c r="I116" s="19"/>
      <c r="J116" s="19"/>
      <c r="K116" s="19"/>
      <c r="L116" s="19"/>
      <c r="M116" s="23">
        <f>SUM(Tabla24[[#This Row],[01. Alcaldía]:[11. Salud pública y seguridad ciudadana]])</f>
        <v>7199.5</v>
      </c>
    </row>
    <row r="117" spans="1:13" s="16" customFormat="1" x14ac:dyDescent="0.25">
      <c r="A117" s="21" t="s">
        <v>1267</v>
      </c>
      <c r="B117" s="19"/>
      <c r="C117" s="19"/>
      <c r="D117" s="19"/>
      <c r="E117" s="19"/>
      <c r="F117" s="19"/>
      <c r="G117" s="19"/>
      <c r="H117" s="19"/>
      <c r="I117" s="19">
        <v>4114</v>
      </c>
      <c r="J117" s="19"/>
      <c r="K117" s="19"/>
      <c r="L117" s="19"/>
      <c r="M117" s="23">
        <f>SUM(Tabla24[[#This Row],[01. Alcaldía]:[11. Salud pública y seguridad ciudadana]])</f>
        <v>4114</v>
      </c>
    </row>
    <row r="118" spans="1:13" s="16" customFormat="1" x14ac:dyDescent="0.25">
      <c r="A118" s="21" t="s">
        <v>797</v>
      </c>
      <c r="B118" s="19"/>
      <c r="C118" s="19"/>
      <c r="D118" s="19">
        <v>53.36</v>
      </c>
      <c r="E118" s="19"/>
      <c r="F118" s="19"/>
      <c r="G118" s="19"/>
      <c r="H118" s="19"/>
      <c r="I118" s="19"/>
      <c r="J118" s="19"/>
      <c r="K118" s="19">
        <v>112.51</v>
      </c>
      <c r="L118" s="19"/>
      <c r="M118" s="23">
        <f>SUM(Tabla24[[#This Row],[01. Alcaldía]:[11. Salud pública y seguridad ciudadana]])</f>
        <v>165.87</v>
      </c>
    </row>
    <row r="119" spans="1:13" s="16" customFormat="1" x14ac:dyDescent="0.25">
      <c r="A119" s="21" t="s">
        <v>598</v>
      </c>
      <c r="B119" s="19"/>
      <c r="C119" s="19"/>
      <c r="D119" s="19"/>
      <c r="E119" s="19"/>
      <c r="F119" s="19"/>
      <c r="G119" s="19">
        <v>1525.56</v>
      </c>
      <c r="H119" s="19"/>
      <c r="I119" s="19"/>
      <c r="J119" s="19"/>
      <c r="K119" s="19"/>
      <c r="L119" s="19"/>
      <c r="M119" s="23">
        <f>SUM(Tabla24[[#This Row],[01. Alcaldía]:[11. Salud pública y seguridad ciudadana]])</f>
        <v>1525.56</v>
      </c>
    </row>
    <row r="120" spans="1:13" s="16" customFormat="1" x14ac:dyDescent="0.25">
      <c r="A120" s="21" t="s">
        <v>1167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435.55</v>
      </c>
      <c r="M120" s="23">
        <f>SUM(Tabla24[[#This Row],[01. Alcaldía]:[11. Salud pública y seguridad ciudadana]])</f>
        <v>435.55</v>
      </c>
    </row>
    <row r="121" spans="1:13" s="16" customFormat="1" x14ac:dyDescent="0.25">
      <c r="A121" s="21" t="s">
        <v>1268</v>
      </c>
      <c r="B121" s="19"/>
      <c r="C121" s="19">
        <v>260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23">
        <f>SUM(Tabla24[[#This Row],[01. Alcaldía]:[11. Salud pública y seguridad ciudadana]])</f>
        <v>260</v>
      </c>
    </row>
    <row r="122" spans="1:13" s="16" customFormat="1" x14ac:dyDescent="0.25">
      <c r="A122" s="21" t="s">
        <v>88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>
        <v>4000</v>
      </c>
      <c r="M122" s="23">
        <f>SUM(Tabla24[[#This Row],[01. Alcaldía]:[11. Salud pública y seguridad ciudadana]])</f>
        <v>4000</v>
      </c>
    </row>
    <row r="123" spans="1:13" s="16" customFormat="1" x14ac:dyDescent="0.25">
      <c r="A123" s="21" t="s">
        <v>1271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10.82</v>
      </c>
      <c r="M123" s="23">
        <f>SUM(Tabla24[[#This Row],[01. Alcaldía]:[11. Salud pública y seguridad ciudadana]])</f>
        <v>10.82</v>
      </c>
    </row>
    <row r="124" spans="1:13" s="16" customFormat="1" x14ac:dyDescent="0.25">
      <c r="A124" s="21" t="s">
        <v>1025</v>
      </c>
      <c r="B124" s="19"/>
      <c r="C124" s="19">
        <v>84.64</v>
      </c>
      <c r="D124" s="19"/>
      <c r="E124" s="19"/>
      <c r="F124" s="19"/>
      <c r="G124" s="19"/>
      <c r="H124" s="19"/>
      <c r="I124" s="19"/>
      <c r="J124" s="19"/>
      <c r="K124" s="19">
        <v>334.5</v>
      </c>
      <c r="L124" s="19"/>
      <c r="M124" s="23">
        <f>SUM(Tabla24[[#This Row],[01. Alcaldía]:[11. Salud pública y seguridad ciudadana]])</f>
        <v>419.14</v>
      </c>
    </row>
    <row r="125" spans="1:13" s="16" customFormat="1" x14ac:dyDescent="0.25">
      <c r="A125" s="21" t="s">
        <v>1275</v>
      </c>
      <c r="B125" s="19"/>
      <c r="C125" s="19"/>
      <c r="D125" s="19">
        <v>992.2</v>
      </c>
      <c r="E125" s="19"/>
      <c r="F125" s="19"/>
      <c r="G125" s="19"/>
      <c r="H125" s="19"/>
      <c r="I125" s="19"/>
      <c r="J125" s="19"/>
      <c r="K125" s="19"/>
      <c r="L125" s="19"/>
      <c r="M125" s="23">
        <f>SUM(Tabla24[[#This Row],[01. Alcaldía]:[11. Salud pública y seguridad ciudadana]])</f>
        <v>992.2</v>
      </c>
    </row>
    <row r="126" spans="1:13" s="16" customFormat="1" x14ac:dyDescent="0.25">
      <c r="A126" s="21" t="s">
        <v>1278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>
        <v>169.4</v>
      </c>
      <c r="L126" s="19"/>
      <c r="M126" s="23">
        <f>SUM(Tabla24[[#This Row],[01. Alcaldía]:[11. Salud pública y seguridad ciudadana]])</f>
        <v>169.4</v>
      </c>
    </row>
    <row r="127" spans="1:13" s="16" customFormat="1" x14ac:dyDescent="0.25">
      <c r="A127" s="21" t="s">
        <v>1279</v>
      </c>
      <c r="B127" s="19"/>
      <c r="C127" s="19">
        <v>1417.03</v>
      </c>
      <c r="D127" s="19">
        <v>198.26</v>
      </c>
      <c r="E127" s="19"/>
      <c r="F127" s="19"/>
      <c r="G127" s="19"/>
      <c r="H127" s="19"/>
      <c r="I127" s="19"/>
      <c r="J127" s="19"/>
      <c r="K127" s="19"/>
      <c r="L127" s="19"/>
      <c r="M127" s="23">
        <f>SUM(Tabla24[[#This Row],[01. Alcaldía]:[11. Salud pública y seguridad ciudadana]])</f>
        <v>1615.29</v>
      </c>
    </row>
    <row r="128" spans="1:13" s="16" customFormat="1" x14ac:dyDescent="0.25">
      <c r="A128" s="21" t="s">
        <v>982</v>
      </c>
      <c r="B128" s="19"/>
      <c r="C128" s="19"/>
      <c r="D128" s="19"/>
      <c r="E128" s="19">
        <v>2500</v>
      </c>
      <c r="F128" s="19"/>
      <c r="G128" s="19"/>
      <c r="H128" s="19"/>
      <c r="I128" s="19"/>
      <c r="J128" s="19"/>
      <c r="K128" s="19"/>
      <c r="L128" s="19"/>
      <c r="M128" s="23">
        <f>SUM(Tabla24[[#This Row],[01. Alcaldía]:[11. Salud pública y seguridad ciudadana]])</f>
        <v>2500</v>
      </c>
    </row>
    <row r="129" spans="1:13" s="16" customFormat="1" x14ac:dyDescent="0.25">
      <c r="A129" s="21" t="s">
        <v>224</v>
      </c>
      <c r="B129" s="19"/>
      <c r="C129" s="19"/>
      <c r="D129" s="19">
        <v>980.7</v>
      </c>
      <c r="E129" s="19"/>
      <c r="F129" s="19"/>
      <c r="G129" s="19"/>
      <c r="H129" s="19"/>
      <c r="I129" s="19"/>
      <c r="J129" s="19"/>
      <c r="K129" s="19">
        <v>2000</v>
      </c>
      <c r="L129" s="19"/>
      <c r="M129" s="23">
        <f>SUM(Tabla24[[#This Row],[01. Alcaldía]:[11. Salud pública y seguridad ciudadana]])</f>
        <v>2980.7</v>
      </c>
    </row>
    <row r="130" spans="1:13" s="16" customFormat="1" x14ac:dyDescent="0.25">
      <c r="A130" s="21" t="s">
        <v>959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>
        <v>152.07</v>
      </c>
      <c r="M130" s="23">
        <f>SUM(Tabla24[[#This Row],[01. Alcaldía]:[11. Salud pública y seguridad ciudadana]])</f>
        <v>152.07</v>
      </c>
    </row>
    <row r="131" spans="1:13" s="16" customFormat="1" x14ac:dyDescent="0.25">
      <c r="A131" s="21" t="s">
        <v>174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>
        <v>179.3</v>
      </c>
      <c r="L131" s="19"/>
      <c r="M131" s="23">
        <f>SUM(Tabla24[[#This Row],[01. Alcaldía]:[11. Salud pública y seguridad ciudadana]])</f>
        <v>179.3</v>
      </c>
    </row>
    <row r="132" spans="1:13" s="16" customFormat="1" x14ac:dyDescent="0.25">
      <c r="A132" s="21" t="s">
        <v>795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>
        <v>252.1</v>
      </c>
      <c r="L132" s="19"/>
      <c r="M132" s="23">
        <f>SUM(Tabla24[[#This Row],[01. Alcaldía]:[11. Salud pública y seguridad ciudadana]])</f>
        <v>252.1</v>
      </c>
    </row>
    <row r="133" spans="1:13" s="16" customFormat="1" x14ac:dyDescent="0.25">
      <c r="A133" s="21" t="s">
        <v>962</v>
      </c>
      <c r="B133" s="19"/>
      <c r="C133" s="19"/>
      <c r="D133" s="19"/>
      <c r="E133" s="19"/>
      <c r="F133" s="19">
        <v>2904</v>
      </c>
      <c r="G133" s="19"/>
      <c r="H133" s="19"/>
      <c r="I133" s="19"/>
      <c r="J133" s="19"/>
      <c r="K133" s="19"/>
      <c r="L133" s="19"/>
      <c r="M133" s="23">
        <f>SUM(Tabla24[[#This Row],[01. Alcaldía]:[11. Salud pública y seguridad ciudadana]])</f>
        <v>2904</v>
      </c>
    </row>
    <row r="134" spans="1:13" s="16" customFormat="1" x14ac:dyDescent="0.25">
      <c r="A134" s="21" t="s">
        <v>965</v>
      </c>
      <c r="B134" s="19"/>
      <c r="C134" s="19"/>
      <c r="D134" s="19"/>
      <c r="E134" s="19"/>
      <c r="F134" s="19"/>
      <c r="G134" s="19">
        <v>5631.25</v>
      </c>
      <c r="H134" s="19"/>
      <c r="I134" s="19"/>
      <c r="J134" s="19"/>
      <c r="K134" s="19"/>
      <c r="L134" s="19"/>
      <c r="M134" s="23">
        <f>SUM(Tabla24[[#This Row],[01. Alcaldía]:[11. Salud pública y seguridad ciudadana]])</f>
        <v>5631.25</v>
      </c>
    </row>
    <row r="135" spans="1:13" s="16" customFormat="1" x14ac:dyDescent="0.25">
      <c r="A135" s="21" t="s">
        <v>504</v>
      </c>
      <c r="B135" s="19"/>
      <c r="C135" s="19"/>
      <c r="D135" s="19"/>
      <c r="E135" s="19"/>
      <c r="F135" s="19"/>
      <c r="G135" s="19"/>
      <c r="H135" s="19"/>
      <c r="I135" s="19">
        <v>4950</v>
      </c>
      <c r="J135" s="19"/>
      <c r="K135" s="19"/>
      <c r="L135" s="19"/>
      <c r="M135" s="23">
        <f>SUM(Tabla24[[#This Row],[01. Alcaldía]:[11. Salud pública y seguridad ciudadana]])</f>
        <v>4950</v>
      </c>
    </row>
    <row r="136" spans="1:13" s="16" customFormat="1" x14ac:dyDescent="0.25">
      <c r="A136" s="21" t="s">
        <v>832</v>
      </c>
      <c r="B136" s="19">
        <v>304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3">
        <f>SUM(Tabla24[[#This Row],[01. Alcaldía]:[11. Salud pública y seguridad ciudadana]])</f>
        <v>304</v>
      </c>
    </row>
    <row r="137" spans="1:13" s="16" customFormat="1" x14ac:dyDescent="0.25">
      <c r="A137" s="21" t="s">
        <v>83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428.04</v>
      </c>
      <c r="M137" s="23">
        <f>SUM(Tabla24[[#This Row],[01. Alcaldía]:[11. Salud pública y seguridad ciudadana]])</f>
        <v>428.04</v>
      </c>
    </row>
    <row r="138" spans="1:13" s="16" customFormat="1" x14ac:dyDescent="0.25">
      <c r="A138" s="21" t="s">
        <v>814</v>
      </c>
      <c r="B138" s="19">
        <v>300.56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3">
        <f>SUM(Tabla24[[#This Row],[01. Alcaldía]:[11. Salud pública y seguridad ciudadana]])</f>
        <v>300.56</v>
      </c>
    </row>
    <row r="139" spans="1:13" s="16" customFormat="1" x14ac:dyDescent="0.25">
      <c r="A139" s="21" t="s">
        <v>1032</v>
      </c>
      <c r="B139" s="19"/>
      <c r="C139" s="19"/>
      <c r="D139" s="19"/>
      <c r="E139" s="19"/>
      <c r="F139" s="19"/>
      <c r="G139" s="19">
        <v>209.98</v>
      </c>
      <c r="H139" s="19"/>
      <c r="I139" s="19"/>
      <c r="J139" s="19"/>
      <c r="K139" s="19"/>
      <c r="L139" s="19"/>
      <c r="M139" s="23">
        <f>SUM(Tabla24[[#This Row],[01. Alcaldía]:[11. Salud pública y seguridad ciudadana]])</f>
        <v>209.98</v>
      </c>
    </row>
    <row r="140" spans="1:13" s="16" customFormat="1" x14ac:dyDescent="0.25">
      <c r="A140" s="21" t="s">
        <v>96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7000</v>
      </c>
      <c r="M140" s="23">
        <f>SUM(Tabla24[[#This Row],[01. Alcaldía]:[11. Salud pública y seguridad ciudadana]])</f>
        <v>7000</v>
      </c>
    </row>
    <row r="141" spans="1:13" s="16" customFormat="1" x14ac:dyDescent="0.25">
      <c r="A141" s="21" t="s">
        <v>61</v>
      </c>
      <c r="B141" s="19">
        <v>1818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3">
        <f>SUM(Tabla24[[#This Row],[01. Alcaldía]:[11. Salud pública y seguridad ciudadana]])</f>
        <v>1818</v>
      </c>
    </row>
    <row r="142" spans="1:13" s="16" customFormat="1" x14ac:dyDescent="0.25">
      <c r="A142" s="21" t="s">
        <v>68</v>
      </c>
      <c r="B142" s="19">
        <v>6981.7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3">
        <f>SUM(Tabla24[[#This Row],[01. Alcaldía]:[11. Salud pública y seguridad ciudadana]])</f>
        <v>6981.7</v>
      </c>
    </row>
    <row r="143" spans="1:13" s="16" customFormat="1" x14ac:dyDescent="0.25">
      <c r="A143" s="21" t="s">
        <v>2730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5899</v>
      </c>
      <c r="M143" s="23">
        <f>SUM(Tabla24[[#This Row],[01. Alcaldía]:[11. Salud pública y seguridad ciudadana]])</f>
        <v>5899</v>
      </c>
    </row>
    <row r="144" spans="1:13" s="16" customFormat="1" x14ac:dyDescent="0.25">
      <c r="A144" s="21" t="s">
        <v>870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606.21</v>
      </c>
      <c r="M144" s="23">
        <f>SUM(Tabla24[[#This Row],[01. Alcaldía]:[11. Salud pública y seguridad ciudadana]])</f>
        <v>606.21</v>
      </c>
    </row>
    <row r="145" spans="1:13" s="16" customFormat="1" x14ac:dyDescent="0.25">
      <c r="A145" s="21" t="s">
        <v>585</v>
      </c>
      <c r="B145" s="19"/>
      <c r="C145" s="19"/>
      <c r="D145" s="19"/>
      <c r="E145" s="19"/>
      <c r="F145" s="19"/>
      <c r="G145" s="19"/>
      <c r="H145" s="19">
        <v>5000</v>
      </c>
      <c r="I145" s="19"/>
      <c r="J145" s="19"/>
      <c r="K145" s="19"/>
      <c r="L145" s="19"/>
      <c r="M145" s="23">
        <f>SUM(Tabla24[[#This Row],[01. Alcaldía]:[11. Salud pública y seguridad ciudadana]])</f>
        <v>5000</v>
      </c>
    </row>
    <row r="146" spans="1:13" s="16" customFormat="1" x14ac:dyDescent="0.25">
      <c r="A146" s="21" t="s">
        <v>207</v>
      </c>
      <c r="B146" s="19"/>
      <c r="C146" s="19"/>
      <c r="D146" s="19"/>
      <c r="E146" s="19"/>
      <c r="F146" s="19"/>
      <c r="G146" s="19"/>
      <c r="H146" s="19"/>
      <c r="I146" s="19">
        <v>1210</v>
      </c>
      <c r="J146" s="19"/>
      <c r="K146" s="19"/>
      <c r="L146" s="19">
        <v>835.17</v>
      </c>
      <c r="M146" s="23">
        <f>SUM(Tabla24[[#This Row],[01. Alcaldía]:[11. Salud pública y seguridad ciudadana]])</f>
        <v>2045.17</v>
      </c>
    </row>
    <row r="147" spans="1:13" s="16" customFormat="1" x14ac:dyDescent="0.25">
      <c r="A147" s="21" t="s">
        <v>74</v>
      </c>
      <c r="B147" s="19"/>
      <c r="C147" s="19">
        <v>1000</v>
      </c>
      <c r="D147" s="19">
        <v>331.1</v>
      </c>
      <c r="E147" s="19"/>
      <c r="F147" s="19"/>
      <c r="G147" s="19">
        <v>2068.5</v>
      </c>
      <c r="H147" s="19"/>
      <c r="I147" s="19"/>
      <c r="J147" s="19"/>
      <c r="K147" s="19">
        <v>12150.560000000001</v>
      </c>
      <c r="L147" s="19">
        <v>3144.58</v>
      </c>
      <c r="M147" s="23">
        <f>SUM(Tabla24[[#This Row],[01. Alcaldía]:[11. Salud pública y seguridad ciudadana]])</f>
        <v>18694.740000000002</v>
      </c>
    </row>
    <row r="148" spans="1:13" s="16" customFormat="1" x14ac:dyDescent="0.25">
      <c r="A148" s="21" t="s">
        <v>570</v>
      </c>
      <c r="B148" s="19">
        <v>108.16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3">
        <f>SUM(Tabla24[[#This Row],[01. Alcaldía]:[11. Salud pública y seguridad ciudadana]])</f>
        <v>108.16</v>
      </c>
    </row>
    <row r="149" spans="1:13" s="16" customFormat="1" x14ac:dyDescent="0.25">
      <c r="A149" s="21" t="s">
        <v>2678</v>
      </c>
      <c r="B149" s="19"/>
      <c r="C149" s="19"/>
      <c r="D149" s="19"/>
      <c r="E149" s="19"/>
      <c r="F149" s="19"/>
      <c r="G149" s="19"/>
      <c r="H149" s="19"/>
      <c r="I149" s="19">
        <v>383.57</v>
      </c>
      <c r="J149" s="19"/>
      <c r="K149" s="19"/>
      <c r="L149" s="19"/>
      <c r="M149" s="23">
        <f>SUM(Tabla24[[#This Row],[01. Alcaldía]:[11. Salud pública y seguridad ciudadana]])</f>
        <v>383.57</v>
      </c>
    </row>
    <row r="150" spans="1:13" s="16" customFormat="1" x14ac:dyDescent="0.25">
      <c r="A150" s="21" t="s">
        <v>1283</v>
      </c>
      <c r="B150" s="19"/>
      <c r="C150" s="19">
        <v>1990.45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23">
        <f>SUM(Tabla24[[#This Row],[01. Alcaldía]:[11. Salud pública y seguridad ciudadana]])</f>
        <v>1990.45</v>
      </c>
    </row>
    <row r="151" spans="1:13" s="16" customFormat="1" x14ac:dyDescent="0.25">
      <c r="A151" s="21" t="s">
        <v>89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7000</v>
      </c>
      <c r="M151" s="23">
        <f>SUM(Tabla24[[#This Row],[01. Alcaldía]:[11. Salud pública y seguridad ciudadana]])</f>
        <v>7000</v>
      </c>
    </row>
    <row r="152" spans="1:13" s="16" customFormat="1" x14ac:dyDescent="0.25">
      <c r="A152" s="21" t="s">
        <v>30</v>
      </c>
      <c r="B152" s="19"/>
      <c r="C152" s="19"/>
      <c r="D152" s="19"/>
      <c r="E152" s="19"/>
      <c r="F152" s="19"/>
      <c r="G152" s="19"/>
      <c r="H152" s="19"/>
      <c r="I152" s="19">
        <v>3000</v>
      </c>
      <c r="J152" s="19"/>
      <c r="K152" s="19"/>
      <c r="L152" s="19">
        <v>200</v>
      </c>
      <c r="M152" s="23">
        <f>SUM(Tabla24[[#This Row],[01. Alcaldía]:[11. Salud pública y seguridad ciudadana]])</f>
        <v>3200</v>
      </c>
    </row>
    <row r="153" spans="1:13" s="16" customFormat="1" x14ac:dyDescent="0.25">
      <c r="A153" s="21" t="s">
        <v>998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1627.52</v>
      </c>
      <c r="M153" s="23">
        <f>SUM(Tabla24[[#This Row],[01. Alcaldía]:[11. Salud pública y seguridad ciudadana]])</f>
        <v>1627.52</v>
      </c>
    </row>
    <row r="154" spans="1:13" s="16" customFormat="1" x14ac:dyDescent="0.25">
      <c r="A154" s="21" t="s">
        <v>469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2090.88</v>
      </c>
      <c r="M154" s="23">
        <f>SUM(Tabla24[[#This Row],[01. Alcaldía]:[11. Salud pública y seguridad ciudadana]])</f>
        <v>2090.88</v>
      </c>
    </row>
    <row r="155" spans="1:13" s="16" customFormat="1" x14ac:dyDescent="0.25">
      <c r="A155" s="21" t="s">
        <v>477</v>
      </c>
      <c r="B155" s="19">
        <v>6322.25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6322.25</v>
      </c>
    </row>
    <row r="156" spans="1:13" s="16" customFormat="1" x14ac:dyDescent="0.25">
      <c r="A156" s="21" t="s">
        <v>2619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1790.31</v>
      </c>
      <c r="M156" s="23">
        <f>SUM(Tabla24[[#This Row],[01. Alcaldía]:[11. Salud pública y seguridad ciudadana]])</f>
        <v>1790.31</v>
      </c>
    </row>
    <row r="157" spans="1:13" s="16" customFormat="1" x14ac:dyDescent="0.25">
      <c r="A157" s="21" t="s">
        <v>228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7935.79</v>
      </c>
      <c r="M157" s="23">
        <f>SUM(Tabla24[[#This Row],[01. Alcaldía]:[11. Salud pública y seguridad ciudadana]])</f>
        <v>7935.79</v>
      </c>
    </row>
    <row r="158" spans="1:13" s="16" customFormat="1" x14ac:dyDescent="0.25">
      <c r="A158" s="21" t="s">
        <v>235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7000</v>
      </c>
      <c r="M158" s="23">
        <f>SUM(Tabla24[[#This Row],[01. Alcaldía]:[11. Salud pública y seguridad ciudadana]])</f>
        <v>7000</v>
      </c>
    </row>
    <row r="159" spans="1:13" s="16" customFormat="1" x14ac:dyDescent="0.25">
      <c r="A159" s="21" t="s">
        <v>483</v>
      </c>
      <c r="B159" s="19"/>
      <c r="C159" s="19"/>
      <c r="D159" s="19"/>
      <c r="E159" s="19"/>
      <c r="F159" s="19"/>
      <c r="G159" s="19">
        <v>1533.44</v>
      </c>
      <c r="H159" s="19"/>
      <c r="I159" s="19"/>
      <c r="J159" s="19"/>
      <c r="K159" s="19"/>
      <c r="L159" s="19"/>
      <c r="M159" s="23">
        <f>SUM(Tabla24[[#This Row],[01. Alcaldía]:[11. Salud pública y seguridad ciudadana]])</f>
        <v>1533.44</v>
      </c>
    </row>
    <row r="160" spans="1:13" s="16" customFormat="1" x14ac:dyDescent="0.25">
      <c r="A160" s="21" t="s">
        <v>1284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964.45</v>
      </c>
      <c r="M160" s="23">
        <f>SUM(Tabla24[[#This Row],[01. Alcaldía]:[11. Salud pública y seguridad ciudadana]])</f>
        <v>964.45</v>
      </c>
    </row>
    <row r="161" spans="1:13" s="16" customFormat="1" x14ac:dyDescent="0.25">
      <c r="A161" s="21" t="s">
        <v>1336</v>
      </c>
      <c r="B161" s="19"/>
      <c r="C161" s="19"/>
      <c r="D161" s="19"/>
      <c r="E161" s="19"/>
      <c r="F161" s="19"/>
      <c r="G161" s="19">
        <v>2000</v>
      </c>
      <c r="H161" s="19"/>
      <c r="I161" s="19"/>
      <c r="J161" s="19"/>
      <c r="K161" s="19"/>
      <c r="L161" s="19"/>
      <c r="M161" s="23">
        <f>SUM(Tabla24[[#This Row],[01. Alcaldía]:[11. Salud pública y seguridad ciudadana]])</f>
        <v>2000</v>
      </c>
    </row>
    <row r="162" spans="1:13" s="16" customFormat="1" x14ac:dyDescent="0.25">
      <c r="A162" s="21" t="s">
        <v>49</v>
      </c>
      <c r="B162" s="19"/>
      <c r="C162" s="19"/>
      <c r="D162" s="19">
        <v>15028.2</v>
      </c>
      <c r="E162" s="19"/>
      <c r="F162" s="19"/>
      <c r="G162" s="19"/>
      <c r="H162" s="19"/>
      <c r="I162" s="19"/>
      <c r="J162" s="19"/>
      <c r="K162" s="19">
        <v>2157.4299999999998</v>
      </c>
      <c r="L162" s="19"/>
      <c r="M162" s="23">
        <f>SUM(Tabla24[[#This Row],[01. Alcaldía]:[11. Salud pública y seguridad ciudadana]])</f>
        <v>17185.63</v>
      </c>
    </row>
    <row r="163" spans="1:13" s="16" customFormat="1" x14ac:dyDescent="0.25">
      <c r="A163" s="21" t="s">
        <v>859</v>
      </c>
      <c r="B163" s="19"/>
      <c r="C163" s="19"/>
      <c r="D163" s="19"/>
      <c r="E163" s="19"/>
      <c r="F163" s="19"/>
      <c r="G163" s="19"/>
      <c r="H163" s="19">
        <v>902</v>
      </c>
      <c r="I163" s="19"/>
      <c r="J163" s="19"/>
      <c r="K163" s="19"/>
      <c r="L163" s="19"/>
      <c r="M163" s="23">
        <f>SUM(Tabla24[[#This Row],[01. Alcaldía]:[11. Salud pública y seguridad ciudadana]])</f>
        <v>902</v>
      </c>
    </row>
    <row r="164" spans="1:13" s="16" customFormat="1" x14ac:dyDescent="0.25">
      <c r="A164" s="21" t="s">
        <v>973</v>
      </c>
      <c r="B164" s="19"/>
      <c r="C164" s="19"/>
      <c r="D164" s="19"/>
      <c r="E164" s="19">
        <v>1732.72</v>
      </c>
      <c r="F164" s="19"/>
      <c r="G164" s="19"/>
      <c r="H164" s="19"/>
      <c r="I164" s="19"/>
      <c r="J164" s="19"/>
      <c r="K164" s="19"/>
      <c r="L164" s="19"/>
      <c r="M164" s="23">
        <f>SUM(Tabla24[[#This Row],[01. Alcaldía]:[11. Salud pública y seguridad ciudadana]])</f>
        <v>1732.72</v>
      </c>
    </row>
    <row r="165" spans="1:13" s="16" customFormat="1" x14ac:dyDescent="0.25">
      <c r="A165" s="21" t="s">
        <v>95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2500</v>
      </c>
      <c r="M165" s="23">
        <f>SUM(Tabla24[[#This Row],[01. Alcaldía]:[11. Salud pública y seguridad ciudadana]])</f>
        <v>2500</v>
      </c>
    </row>
    <row r="166" spans="1:13" s="16" customFormat="1" x14ac:dyDescent="0.25">
      <c r="A166" s="21" t="s">
        <v>119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3000</v>
      </c>
      <c r="M166" s="23">
        <f>SUM(Tabla24[[#This Row],[01. Alcaldía]:[11. Salud pública y seguridad ciudadana]])</f>
        <v>3000</v>
      </c>
    </row>
    <row r="167" spans="1:13" s="16" customFormat="1" x14ac:dyDescent="0.25">
      <c r="A167" s="21" t="s">
        <v>481</v>
      </c>
      <c r="B167" s="19"/>
      <c r="C167" s="19"/>
      <c r="D167" s="19"/>
      <c r="E167" s="19"/>
      <c r="F167" s="19"/>
      <c r="G167" s="19">
        <v>340.38</v>
      </c>
      <c r="H167" s="19"/>
      <c r="I167" s="19"/>
      <c r="J167" s="19"/>
      <c r="K167" s="19"/>
      <c r="L167" s="19"/>
      <c r="M167" s="23">
        <f>SUM(Tabla24[[#This Row],[01. Alcaldía]:[11. Salud pública y seguridad ciudadana]])</f>
        <v>340.38</v>
      </c>
    </row>
    <row r="168" spans="1:13" s="16" customFormat="1" x14ac:dyDescent="0.25">
      <c r="A168" s="21" t="s">
        <v>2554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>
        <v>248.05</v>
      </c>
      <c r="M168" s="23">
        <f>SUM(Tabla24[[#This Row],[01. Alcaldía]:[11. Salud pública y seguridad ciudadana]])</f>
        <v>248.05</v>
      </c>
    </row>
    <row r="169" spans="1:13" s="16" customFormat="1" x14ac:dyDescent="0.25">
      <c r="A169" s="21" t="s">
        <v>1006</v>
      </c>
      <c r="B169" s="19"/>
      <c r="C169" s="19"/>
      <c r="D169" s="19"/>
      <c r="E169" s="19"/>
      <c r="F169" s="19"/>
      <c r="G169" s="19">
        <v>1324.95</v>
      </c>
      <c r="H169" s="19"/>
      <c r="I169" s="19"/>
      <c r="J169" s="19"/>
      <c r="K169" s="19"/>
      <c r="L169" s="19"/>
      <c r="M169" s="23">
        <f>SUM(Tabla24[[#This Row],[01. Alcaldía]:[11. Salud pública y seguridad ciudadana]])</f>
        <v>1324.95</v>
      </c>
    </row>
    <row r="170" spans="1:13" s="16" customFormat="1" x14ac:dyDescent="0.25">
      <c r="A170" s="21" t="s">
        <v>844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0.01</v>
      </c>
      <c r="M170" s="23">
        <f>SUM(Tabla24[[#This Row],[01. Alcaldía]:[11. Salud pública y seguridad ciudadana]])</f>
        <v>0.01</v>
      </c>
    </row>
    <row r="171" spans="1:13" s="16" customFormat="1" x14ac:dyDescent="0.25">
      <c r="A171" s="21" t="s">
        <v>2543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3623.95</v>
      </c>
      <c r="M171" s="23">
        <f>SUM(Tabla24[[#This Row],[01. Alcaldía]:[11. Salud pública y seguridad ciudadana]])</f>
        <v>3623.95</v>
      </c>
    </row>
    <row r="172" spans="1:13" s="16" customFormat="1" x14ac:dyDescent="0.25">
      <c r="A172" s="21" t="s">
        <v>849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>
        <v>349</v>
      </c>
      <c r="L172" s="19"/>
      <c r="M172" s="23">
        <f>SUM(Tabla24[[#This Row],[01. Alcaldía]:[11. Salud pública y seguridad ciudadana]])</f>
        <v>349</v>
      </c>
    </row>
    <row r="173" spans="1:13" s="16" customFormat="1" x14ac:dyDescent="0.25">
      <c r="A173" s="21" t="s">
        <v>217</v>
      </c>
      <c r="B173" s="19">
        <v>4844.84</v>
      </c>
      <c r="C173" s="19"/>
      <c r="D173" s="19"/>
      <c r="E173" s="19"/>
      <c r="F173" s="19"/>
      <c r="G173" s="19">
        <v>200</v>
      </c>
      <c r="H173" s="19"/>
      <c r="I173" s="19"/>
      <c r="J173" s="19"/>
      <c r="K173" s="19">
        <v>505.78</v>
      </c>
      <c r="L173" s="19">
        <v>2801.4700000000003</v>
      </c>
      <c r="M173" s="23">
        <f>SUM(Tabla24[[#This Row],[01. Alcaldía]:[11. Salud pública y seguridad ciudadana]])</f>
        <v>8352.09</v>
      </c>
    </row>
    <row r="174" spans="1:13" s="16" customFormat="1" x14ac:dyDescent="0.25">
      <c r="A174" s="21" t="s">
        <v>584</v>
      </c>
      <c r="B174" s="19"/>
      <c r="C174" s="19"/>
      <c r="D174" s="19"/>
      <c r="E174" s="19"/>
      <c r="F174" s="19"/>
      <c r="G174" s="19"/>
      <c r="H174" s="19">
        <v>7260</v>
      </c>
      <c r="I174" s="19"/>
      <c r="J174" s="19"/>
      <c r="K174" s="19"/>
      <c r="L174" s="19"/>
      <c r="M174" s="23">
        <f>SUM(Tabla24[[#This Row],[01. Alcaldía]:[11. Salud pública y seguridad ciudadana]])</f>
        <v>7260</v>
      </c>
    </row>
    <row r="175" spans="1:13" s="16" customFormat="1" x14ac:dyDescent="0.25">
      <c r="A175" s="21" t="s">
        <v>1152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1197.9000000000001</v>
      </c>
      <c r="L175" s="19"/>
      <c r="M175" s="23">
        <f>SUM(Tabla24[[#This Row],[01. Alcaldía]:[11. Salud pública y seguridad ciudadana]])</f>
        <v>1197.9000000000001</v>
      </c>
    </row>
    <row r="176" spans="1:13" s="16" customFormat="1" x14ac:dyDescent="0.25">
      <c r="A176" s="21" t="s">
        <v>475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3000</v>
      </c>
      <c r="M176" s="23">
        <f>SUM(Tabla24[[#This Row],[01. Alcaldía]:[11. Salud pública y seguridad ciudadana]])</f>
        <v>3000</v>
      </c>
    </row>
    <row r="177" spans="1:13" s="16" customFormat="1" x14ac:dyDescent="0.25">
      <c r="A177" s="21" t="s">
        <v>2295</v>
      </c>
      <c r="B177" s="19"/>
      <c r="C177" s="19">
        <v>191.99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23">
        <f>SUM(Tabla24[[#This Row],[01. Alcaldía]:[11. Salud pública y seguridad ciudadana]])</f>
        <v>191.99</v>
      </c>
    </row>
    <row r="178" spans="1:13" s="16" customFormat="1" x14ac:dyDescent="0.25">
      <c r="A178" s="21" t="s">
        <v>201</v>
      </c>
      <c r="B178" s="19"/>
      <c r="C178" s="19"/>
      <c r="D178" s="19"/>
      <c r="E178" s="19"/>
      <c r="F178" s="19"/>
      <c r="G178" s="19">
        <v>758.72</v>
      </c>
      <c r="H178" s="19"/>
      <c r="I178" s="19"/>
      <c r="J178" s="19"/>
      <c r="K178" s="19"/>
      <c r="L178" s="19"/>
      <c r="M178" s="23">
        <f>SUM(Tabla24[[#This Row],[01. Alcaldía]:[11. Salud pública y seguridad ciudadana]])</f>
        <v>758.72</v>
      </c>
    </row>
    <row r="179" spans="1:13" s="24" customFormat="1" x14ac:dyDescent="0.25">
      <c r="A179" s="25" t="s">
        <v>510</v>
      </c>
      <c r="B179" s="23">
        <f>SUBTOTAL(109,Tabla24[01. Alcaldía])</f>
        <v>46902.060000000012</v>
      </c>
      <c r="C179" s="23">
        <f>SUBTOTAL(109,Tabla24[02. Planeamiento urbanístico y vivienda])</f>
        <v>7179.619999999999</v>
      </c>
      <c r="D179" s="23">
        <f>SUBTOTAL(109,Tabla24[03. Participación ciudadana y deportes])</f>
        <v>53327.039999999994</v>
      </c>
      <c r="E179" s="23">
        <f>SUBTOTAL(109,Tabla24[04. Planificación y recursos])</f>
        <v>84977.73000000001</v>
      </c>
      <c r="F179" s="23">
        <f>SUBTOTAL(109,Tabla24[05. Innovación, desarrollo económico, empleo y comercio])</f>
        <v>7723.67</v>
      </c>
      <c r="G179" s="23">
        <f>SUBTOTAL(109,Tabla24[06. Educación, infancia, juventud e igualdad])</f>
        <v>48590.14</v>
      </c>
      <c r="H179" s="23">
        <f>SUBTOTAL(109,Tabla24[07. Medio ambiente y desarrollo sostenible])</f>
        <v>35399.240000000005</v>
      </c>
      <c r="I179" s="23">
        <f>SUBTOTAL(109,Tabla24[08. Movilidad y espacio urbano])</f>
        <v>49236.24</v>
      </c>
      <c r="J179" s="23">
        <f>SUBTOTAL(109,Tabla24[09. Cultura y turismo])</f>
        <v>47.57</v>
      </c>
      <c r="K179" s="23">
        <f>SUBTOTAL(109,Tabla24[10. Servicios sociales y mediación comunitaria])</f>
        <v>38675.82</v>
      </c>
      <c r="L179" s="23">
        <f>SUBTOTAL(109,Tabla24[11. Salud pública y seguridad ciudadana])</f>
        <v>111960.48</v>
      </c>
      <c r="M179" s="23">
        <f>SUBTOTAL(109,Tabla24[Total general])</f>
        <v>484019.60999999993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TRIMESTRE 2022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Layout" zoomScaleNormal="100" workbookViewId="0">
      <selection activeCell="A2" sqref="A2"/>
    </sheetView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3503</v>
      </c>
      <c r="B1" s="41" t="s">
        <v>267</v>
      </c>
      <c r="C1" s="41" t="s">
        <v>624</v>
      </c>
      <c r="D1" s="41" t="s">
        <v>625</v>
      </c>
      <c r="E1" s="41" t="s">
        <v>626</v>
      </c>
      <c r="F1" s="41" t="s">
        <v>604</v>
      </c>
      <c r="G1" s="41" t="s">
        <v>627</v>
      </c>
      <c r="H1" s="41" t="s">
        <v>628</v>
      </c>
      <c r="I1" s="41" t="s">
        <v>629</v>
      </c>
      <c r="J1" s="41" t="s">
        <v>275</v>
      </c>
      <c r="K1" s="41" t="s">
        <v>630</v>
      </c>
      <c r="L1" s="41" t="s">
        <v>602</v>
      </c>
      <c r="M1" s="41" t="s">
        <v>455</v>
      </c>
    </row>
    <row r="2" spans="1:13" x14ac:dyDescent="0.25">
      <c r="A2" s="21" t="s">
        <v>186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20685.599999999999</v>
      </c>
      <c r="M2" s="23">
        <f>SUM(Tabla245[[#This Row],[01. Alcaldía]:[11. Salud pública y seguridad ciudadana]])</f>
        <v>20685.599999999999</v>
      </c>
    </row>
    <row r="3" spans="1:13" s="16" customFormat="1" x14ac:dyDescent="0.25">
      <c r="A3" s="21" t="s">
        <v>930</v>
      </c>
      <c r="B3" s="19"/>
      <c r="C3" s="19">
        <v>35335.15</v>
      </c>
      <c r="D3" s="19"/>
      <c r="E3" s="19"/>
      <c r="F3" s="19"/>
      <c r="G3" s="19"/>
      <c r="H3" s="19"/>
      <c r="I3" s="19"/>
      <c r="J3" s="19"/>
      <c r="K3" s="19"/>
      <c r="L3" s="19"/>
      <c r="M3" s="23">
        <f>SUM(Tabla245[[#This Row],[01. Alcaldía]:[11. Salud pública y seguridad ciudadana]])</f>
        <v>35335.15</v>
      </c>
    </row>
    <row r="4" spans="1:13" x14ac:dyDescent="0.25">
      <c r="A4" s="21" t="s">
        <v>498</v>
      </c>
      <c r="B4" s="19"/>
      <c r="C4" s="19"/>
      <c r="D4" s="19">
        <v>13530</v>
      </c>
      <c r="E4" s="19"/>
      <c r="F4" s="19"/>
      <c r="G4" s="19">
        <v>29469.09</v>
      </c>
      <c r="H4" s="19"/>
      <c r="I4" s="19"/>
      <c r="J4" s="19"/>
      <c r="K4" s="19">
        <v>712.75</v>
      </c>
      <c r="L4" s="19"/>
      <c r="M4" s="23">
        <f>SUM(Tabla245[[#This Row],[01. Alcaldía]:[11. Salud pública y seguridad ciudadana]])</f>
        <v>43711.839999999997</v>
      </c>
    </row>
    <row r="5" spans="1:13" x14ac:dyDescent="0.25">
      <c r="A5" s="21" t="s">
        <v>934</v>
      </c>
      <c r="B5" s="19"/>
      <c r="C5" s="19">
        <v>1016.41</v>
      </c>
      <c r="D5" s="19"/>
      <c r="E5" s="19"/>
      <c r="F5" s="19"/>
      <c r="G5" s="19"/>
      <c r="H5" s="19"/>
      <c r="I5" s="19"/>
      <c r="J5" s="19"/>
      <c r="K5" s="19"/>
      <c r="L5" s="19"/>
      <c r="M5" s="23">
        <f>SUM(Tabla245[[#This Row],[01. Alcaldía]:[11. Salud pública y seguridad ciudadana]])</f>
        <v>1016.41</v>
      </c>
    </row>
    <row r="6" spans="1:13" x14ac:dyDescent="0.25">
      <c r="A6" s="21" t="s">
        <v>1232</v>
      </c>
      <c r="B6" s="19"/>
      <c r="C6" s="19"/>
      <c r="D6" s="19">
        <v>8232.84</v>
      </c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8232.84</v>
      </c>
    </row>
    <row r="7" spans="1:13" x14ac:dyDescent="0.25">
      <c r="A7" s="21" t="s">
        <v>903</v>
      </c>
      <c r="B7" s="19"/>
      <c r="C7" s="19"/>
      <c r="D7" s="19"/>
      <c r="E7" s="19"/>
      <c r="F7" s="19"/>
      <c r="G7" s="19">
        <v>44199.23</v>
      </c>
      <c r="H7" s="19"/>
      <c r="I7" s="19"/>
      <c r="J7" s="19"/>
      <c r="K7" s="19"/>
      <c r="L7" s="19"/>
      <c r="M7" s="23">
        <f>SUM(Tabla245[[#This Row],[01. Alcaldía]:[11. Salud pública y seguridad ciudadana]])</f>
        <v>44199.23</v>
      </c>
    </row>
    <row r="8" spans="1:13" x14ac:dyDescent="0.25">
      <c r="A8" s="21" t="s">
        <v>2791</v>
      </c>
      <c r="B8" s="19"/>
      <c r="C8" s="19"/>
      <c r="D8" s="19"/>
      <c r="E8" s="19"/>
      <c r="F8" s="19">
        <v>28746.59</v>
      </c>
      <c r="G8" s="19"/>
      <c r="H8" s="19"/>
      <c r="I8" s="19"/>
      <c r="J8" s="19"/>
      <c r="K8" s="19"/>
      <c r="L8" s="19"/>
      <c r="M8" s="23">
        <f>SUM(Tabla245[[#This Row],[01. Alcaldía]:[11. Salud pública y seguridad ciudadana]])</f>
        <v>28746.59</v>
      </c>
    </row>
    <row r="9" spans="1:13" x14ac:dyDescent="0.25">
      <c r="A9" s="21" t="s">
        <v>241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516.07000000000005</v>
      </c>
      <c r="M9" s="23">
        <f>SUM(Tabla245[[#This Row],[01. Alcaldía]:[11. Salud pública y seguridad ciudadana]])</f>
        <v>516.07000000000005</v>
      </c>
    </row>
    <row r="10" spans="1:13" x14ac:dyDescent="0.25">
      <c r="A10" s="21" t="s">
        <v>3161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4126.1000000000004</v>
      </c>
      <c r="L10" s="19"/>
      <c r="M10" s="23">
        <f>SUM(Tabla245[[#This Row],[01. Alcaldía]:[11. Salud pública y seguridad ciudadana]])</f>
        <v>4126.1000000000004</v>
      </c>
    </row>
    <row r="11" spans="1:13" x14ac:dyDescent="0.25">
      <c r="A11" s="21" t="s">
        <v>86</v>
      </c>
      <c r="B11" s="19"/>
      <c r="C11" s="19"/>
      <c r="D11" s="19"/>
      <c r="E11" s="19"/>
      <c r="F11" s="19"/>
      <c r="G11" s="19">
        <v>7255.16</v>
      </c>
      <c r="H11" s="19"/>
      <c r="I11" s="19"/>
      <c r="J11" s="19"/>
      <c r="K11" s="19"/>
      <c r="L11" s="19"/>
      <c r="M11" s="23">
        <f>SUM(Tabla245[[#This Row],[01. Alcaldía]:[11. Salud pública y seguridad ciudadana]])</f>
        <v>7255.16</v>
      </c>
    </row>
    <row r="12" spans="1:13" x14ac:dyDescent="0.25">
      <c r="A12" s="21" t="s">
        <v>932</v>
      </c>
      <c r="B12" s="19"/>
      <c r="C12" s="19"/>
      <c r="D12" s="19"/>
      <c r="E12" s="19"/>
      <c r="F12" s="19">
        <v>3794.83</v>
      </c>
      <c r="G12" s="19"/>
      <c r="H12" s="19"/>
      <c r="I12" s="19"/>
      <c r="J12" s="19"/>
      <c r="K12" s="19"/>
      <c r="L12" s="19"/>
      <c r="M12" s="23">
        <f>SUM(Tabla245[[#This Row],[01. Alcaldía]:[11. Salud pública y seguridad ciudadana]])</f>
        <v>3794.83</v>
      </c>
    </row>
    <row r="13" spans="1:13" x14ac:dyDescent="0.25">
      <c r="A13" s="21" t="s">
        <v>980</v>
      </c>
      <c r="B13" s="19"/>
      <c r="C13" s="19"/>
      <c r="D13" s="19">
        <v>4463.75</v>
      </c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4463.75</v>
      </c>
    </row>
    <row r="14" spans="1:13" x14ac:dyDescent="0.25">
      <c r="A14" s="21" t="s">
        <v>2796</v>
      </c>
      <c r="B14" s="19"/>
      <c r="C14" s="19"/>
      <c r="D14" s="19"/>
      <c r="E14" s="19"/>
      <c r="F14" s="19"/>
      <c r="G14" s="19"/>
      <c r="H14" s="19"/>
      <c r="I14" s="19">
        <v>25240.52</v>
      </c>
      <c r="J14" s="19"/>
      <c r="K14" s="19"/>
      <c r="L14" s="19"/>
      <c r="M14" s="23">
        <f>SUM(Tabla245[[#This Row],[01. Alcaldía]:[11. Salud pública y seguridad ciudadana]])</f>
        <v>25240.52</v>
      </c>
    </row>
    <row r="15" spans="1:13" x14ac:dyDescent="0.25">
      <c r="A15" s="21" t="s">
        <v>955</v>
      </c>
      <c r="B15" s="19"/>
      <c r="C15" s="19">
        <v>37684.49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SUM(Tabla245[[#This Row],[01. Alcaldía]:[11. Salud pública y seguridad ciudadana]])</f>
        <v>37684.49</v>
      </c>
    </row>
    <row r="16" spans="1:13" x14ac:dyDescent="0.25">
      <c r="A16" s="21" t="s">
        <v>794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5255.45</v>
      </c>
      <c r="M16" s="23">
        <f>SUM(Tabla245[[#This Row],[01. Alcaldía]:[11. Salud pública y seguridad ciudadana]])</f>
        <v>5255.45</v>
      </c>
    </row>
    <row r="17" spans="1:13" ht="25.5" x14ac:dyDescent="0.25">
      <c r="A17" s="21" t="s">
        <v>1143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25185.67</v>
      </c>
      <c r="L17" s="19"/>
      <c r="M17" s="23">
        <f>SUM(Tabla245[[#This Row],[01. Alcaldía]:[11. Salud pública y seguridad ciudadana]])</f>
        <v>25185.67</v>
      </c>
    </row>
    <row r="18" spans="1:13" x14ac:dyDescent="0.25">
      <c r="A18" s="21" t="s">
        <v>863</v>
      </c>
      <c r="B18" s="19"/>
      <c r="C18" s="19">
        <v>847</v>
      </c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847</v>
      </c>
    </row>
    <row r="19" spans="1:13" x14ac:dyDescent="0.25">
      <c r="A19" s="21" t="s">
        <v>881</v>
      </c>
      <c r="B19" s="19"/>
      <c r="C19" s="19"/>
      <c r="D19" s="19"/>
      <c r="E19" s="19"/>
      <c r="F19" s="19">
        <v>5419.84</v>
      </c>
      <c r="G19" s="19"/>
      <c r="H19" s="19"/>
      <c r="I19" s="19"/>
      <c r="J19" s="19"/>
      <c r="K19" s="19"/>
      <c r="L19" s="19"/>
      <c r="M19" s="23">
        <f>SUM(Tabla245[[#This Row],[01. Alcaldía]:[11. Salud pública y seguridad ciudadana]])</f>
        <v>5419.84</v>
      </c>
    </row>
    <row r="20" spans="1:13" s="24" customFormat="1" x14ac:dyDescent="0.25">
      <c r="A20" s="25" t="s">
        <v>485</v>
      </c>
      <c r="B20" s="23">
        <f>SUBTOTAL(109,Tabla245[01. Alcaldía])</f>
        <v>0</v>
      </c>
      <c r="C20" s="23">
        <f>SUBTOTAL(109,Tabla245[02. Planeamiento urbanístico y vivienda])</f>
        <v>74883.05</v>
      </c>
      <c r="D20" s="23">
        <f>SUBTOTAL(109,Tabla245[03. Participación ciudadana y deportes])</f>
        <v>26226.59</v>
      </c>
      <c r="E20" s="23">
        <f>SUBTOTAL(109,Tabla245[04. Planificación y recursos])</f>
        <v>0</v>
      </c>
      <c r="F20" s="23">
        <f>SUBTOTAL(109,Tabla245[05. Innovación, desarrollo económico, empleo y comercio])</f>
        <v>37961.259999999995</v>
      </c>
      <c r="G20" s="23">
        <f>SUBTOTAL(109,Tabla245[06. Educación, infancia, juventud e igualdad])</f>
        <v>80923.48000000001</v>
      </c>
      <c r="H20" s="23">
        <f>SUBTOTAL(109,Tabla245[07. Medio ambiente y desarrollo sostenible])</f>
        <v>0</v>
      </c>
      <c r="I20" s="23">
        <f>SUBTOTAL(109,Tabla245[08. Movilidad y espacio urbano])</f>
        <v>25240.52</v>
      </c>
      <c r="J20" s="23">
        <f>SUBTOTAL(109,Tabla245[09. Cultura y turismo])</f>
        <v>0</v>
      </c>
      <c r="K20" s="23">
        <f>SUBTOTAL(109,Tabla245[10. Servicios sociales y mediación comunitaria])</f>
        <v>30024.519999999997</v>
      </c>
      <c r="L20" s="23">
        <f>SUBTOTAL(109,Tabla245[11. Salud pública y seguridad ciudadana])</f>
        <v>26457.119999999999</v>
      </c>
      <c r="M20" s="23">
        <f>SUBTOTAL(109,Tabla245[Total general])</f>
        <v>301716.54000000004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TRIMESTE 2022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view="pageLayout" zoomScale="94" zoomScaleNormal="100" zoomScalePageLayoutView="94" workbookViewId="0">
      <selection activeCell="A2" sqref="A2"/>
    </sheetView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3504</v>
      </c>
      <c r="B1" s="41" t="s">
        <v>267</v>
      </c>
      <c r="C1" s="41" t="s">
        <v>624</v>
      </c>
      <c r="D1" s="41" t="s">
        <v>625</v>
      </c>
      <c r="E1" s="41" t="s">
        <v>626</v>
      </c>
      <c r="F1" s="41" t="s">
        <v>604</v>
      </c>
      <c r="G1" s="41" t="s">
        <v>627</v>
      </c>
      <c r="H1" s="41" t="s">
        <v>628</v>
      </c>
      <c r="I1" s="41" t="s">
        <v>629</v>
      </c>
      <c r="J1" s="41" t="s">
        <v>275</v>
      </c>
      <c r="K1" s="41" t="s">
        <v>630</v>
      </c>
      <c r="L1" s="41" t="s">
        <v>602</v>
      </c>
      <c r="M1" s="41" t="s">
        <v>455</v>
      </c>
    </row>
    <row r="2" spans="1:13" x14ac:dyDescent="0.25">
      <c r="A2" s="59" t="s">
        <v>493</v>
      </c>
      <c r="B2" s="19">
        <v>600</v>
      </c>
      <c r="C2" s="19"/>
      <c r="D2" s="19"/>
      <c r="E2" s="19"/>
      <c r="F2" s="19"/>
      <c r="G2" s="42"/>
      <c r="H2" s="19"/>
      <c r="I2" s="19"/>
      <c r="J2" s="19"/>
      <c r="K2" s="19"/>
      <c r="L2" s="42"/>
      <c r="M2" s="23">
        <f>SUM(Tabla27[[#This Row],[01. Alcaldía]:[11. Salud pública y seguridad ciudadana]])</f>
        <v>600</v>
      </c>
    </row>
    <row r="3" spans="1:13" s="24" customFormat="1" x14ac:dyDescent="0.25">
      <c r="A3" s="25" t="s">
        <v>484</v>
      </c>
      <c r="B3" s="23">
        <f>SUBTOTAL(109,Tabla27[01. Alcaldía])</f>
        <v>600</v>
      </c>
      <c r="C3" s="23">
        <f>SUBTOTAL(109,Tabla27[02. Planeamiento urbanístico y vivienda])</f>
        <v>0</v>
      </c>
      <c r="D3" s="23">
        <f>SUBTOTAL(109,Tabla27[03. Participación ciudadana y deportes])</f>
        <v>0</v>
      </c>
      <c r="E3" s="23">
        <f>SUBTOTAL(109,Tabla27[04. Planificación y recursos])</f>
        <v>0</v>
      </c>
      <c r="F3" s="23">
        <f>SUBTOTAL(109,Tabla27[05. Innovación, desarrollo económico, empleo y comercio])</f>
        <v>0</v>
      </c>
      <c r="G3" s="23">
        <f>SUBTOTAL(109,Tabla27[06. Educación, infancia, juventud e igualdad])</f>
        <v>0</v>
      </c>
      <c r="H3" s="23">
        <f>SUBTOTAL(109,Tabla27[07. Medio ambiente y desarrollo sostenible])</f>
        <v>0</v>
      </c>
      <c r="I3" s="23">
        <f>SUBTOTAL(109,Tabla27[08. Movilidad y espacio urbano])</f>
        <v>0</v>
      </c>
      <c r="J3" s="23">
        <f>SUBTOTAL(109,Tabla27[09. Cultura y turismo])</f>
        <v>0</v>
      </c>
      <c r="K3" s="23">
        <f>SUBTOTAL(109,Tabla27[10. Servicios sociales y mediación comunitaria])</f>
        <v>0</v>
      </c>
      <c r="L3" s="23">
        <f>SUBTOTAL(109,Tabla27[11. Salud pública y seguridad ciudadana])</f>
        <v>0</v>
      </c>
      <c r="M3" s="23">
        <f>SUBTOTAL(109,Tabla27[Total general])</f>
        <v>600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TRIMESTRE 2022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Layout" zoomScaleNormal="100" workbookViewId="0">
      <selection activeCell="A2" sqref="A2"/>
    </sheetView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3505</v>
      </c>
      <c r="B1" s="41" t="s">
        <v>267</v>
      </c>
      <c r="C1" s="41" t="s">
        <v>624</v>
      </c>
      <c r="D1" s="41" t="s">
        <v>625</v>
      </c>
      <c r="E1" s="41" t="s">
        <v>626</v>
      </c>
      <c r="F1" s="41" t="s">
        <v>604</v>
      </c>
      <c r="G1" s="41" t="s">
        <v>627</v>
      </c>
      <c r="H1" s="41" t="s">
        <v>628</v>
      </c>
      <c r="I1" s="41" t="s">
        <v>629</v>
      </c>
      <c r="J1" s="41" t="s">
        <v>275</v>
      </c>
      <c r="K1" s="41" t="s">
        <v>630</v>
      </c>
      <c r="L1" s="41" t="s">
        <v>602</v>
      </c>
      <c r="M1" s="22" t="s">
        <v>455</v>
      </c>
    </row>
    <row r="2" spans="1:13" x14ac:dyDescent="0.25">
      <c r="A2" s="21" t="s">
        <v>1468</v>
      </c>
      <c r="B2" s="42"/>
      <c r="C2" s="19"/>
      <c r="D2" s="19"/>
      <c r="E2" s="19"/>
      <c r="F2" s="19"/>
      <c r="G2" s="19"/>
      <c r="H2" s="42"/>
      <c r="I2" s="42"/>
      <c r="J2" s="19">
        <v>1700</v>
      </c>
      <c r="K2" s="19"/>
      <c r="L2" s="19"/>
      <c r="M2" s="23">
        <f>SUM(Tabla2456[[#This Row],[01. Alcaldía]:[11. Salud pública y seguridad ciudadana]])</f>
        <v>1700</v>
      </c>
    </row>
    <row r="3" spans="1:13" x14ac:dyDescent="0.25">
      <c r="A3" s="21" t="s">
        <v>975</v>
      </c>
      <c r="B3" s="19"/>
      <c r="C3" s="19"/>
      <c r="D3" s="19"/>
      <c r="E3" s="19"/>
      <c r="F3" s="19">
        <v>8417.85</v>
      </c>
      <c r="G3" s="19"/>
      <c r="H3" s="19"/>
      <c r="I3" s="19"/>
      <c r="J3" s="19"/>
      <c r="K3" s="19"/>
      <c r="L3" s="19"/>
      <c r="M3" s="23">
        <f>SUM(Tabla2456[[#This Row],[01. Alcaldía]:[11. Salud pública y seguridad ciudadana]])</f>
        <v>8417.85</v>
      </c>
    </row>
    <row r="4" spans="1:13" x14ac:dyDescent="0.25">
      <c r="A4" s="21" t="s">
        <v>231</v>
      </c>
      <c r="B4" s="19"/>
      <c r="C4" s="19"/>
      <c r="D4" s="19">
        <v>3630</v>
      </c>
      <c r="E4" s="19"/>
      <c r="F4" s="19"/>
      <c r="G4" s="19"/>
      <c r="H4" s="19"/>
      <c r="I4" s="19"/>
      <c r="J4" s="19"/>
      <c r="K4" s="19"/>
      <c r="L4" s="19"/>
      <c r="M4" s="23">
        <f>SUM(Tabla2456[[#This Row],[01. Alcaldía]:[11. Salud pública y seguridad ciudadana]])</f>
        <v>3630</v>
      </c>
    </row>
    <row r="5" spans="1:13" x14ac:dyDescent="0.25">
      <c r="A5" s="21" t="s">
        <v>886</v>
      </c>
      <c r="B5" s="19"/>
      <c r="C5" s="19"/>
      <c r="D5" s="19"/>
      <c r="E5" s="19">
        <v>1950</v>
      </c>
      <c r="F5" s="19"/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1950</v>
      </c>
    </row>
    <row r="6" spans="1:13" x14ac:dyDescent="0.25">
      <c r="A6" s="21" t="s">
        <v>242</v>
      </c>
      <c r="B6" s="19"/>
      <c r="C6" s="19"/>
      <c r="D6" s="19"/>
      <c r="E6" s="19">
        <v>821.25</v>
      </c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821.25</v>
      </c>
    </row>
    <row r="7" spans="1:13" x14ac:dyDescent="0.25">
      <c r="A7" s="21" t="s">
        <v>117</v>
      </c>
      <c r="B7" s="19"/>
      <c r="C7" s="19"/>
      <c r="D7" s="19"/>
      <c r="E7" s="19">
        <v>2032.8</v>
      </c>
      <c r="F7" s="19"/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2032.8</v>
      </c>
    </row>
    <row r="8" spans="1:13" x14ac:dyDescent="0.25">
      <c r="A8" s="21" t="s">
        <v>153</v>
      </c>
      <c r="B8" s="19"/>
      <c r="C8" s="19"/>
      <c r="D8" s="19"/>
      <c r="E8" s="19"/>
      <c r="F8" s="19"/>
      <c r="G8" s="19"/>
      <c r="H8" s="19"/>
      <c r="I8" s="19"/>
      <c r="J8" s="19">
        <v>4299.8100000000004</v>
      </c>
      <c r="K8" s="19"/>
      <c r="L8" s="19"/>
      <c r="M8" s="23">
        <f>SUM(Tabla2456[[#This Row],[01. Alcaldía]:[11. Salud pública y seguridad ciudadana]])</f>
        <v>4299.8100000000004</v>
      </c>
    </row>
    <row r="9" spans="1:13" x14ac:dyDescent="0.25">
      <c r="A9" s="21" t="s">
        <v>55</v>
      </c>
      <c r="B9" s="19"/>
      <c r="C9" s="19"/>
      <c r="D9" s="19"/>
      <c r="E9" s="19"/>
      <c r="F9" s="19"/>
      <c r="G9" s="19"/>
      <c r="H9" s="19"/>
      <c r="I9" s="19"/>
      <c r="J9" s="19"/>
      <c r="K9" s="19">
        <v>4840</v>
      </c>
      <c r="L9" s="19"/>
      <c r="M9" s="23">
        <f>SUM(Tabla2456[[#This Row],[01. Alcaldía]:[11. Salud pública y seguridad ciudadana]])</f>
        <v>4840</v>
      </c>
    </row>
    <row r="10" spans="1:13" x14ac:dyDescent="0.25">
      <c r="A10" s="21" t="s">
        <v>988</v>
      </c>
      <c r="B10" s="19"/>
      <c r="C10" s="19"/>
      <c r="D10" s="19"/>
      <c r="E10" s="19">
        <v>1149.5</v>
      </c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1149.5</v>
      </c>
    </row>
    <row r="11" spans="1:13" x14ac:dyDescent="0.25">
      <c r="A11" s="21" t="s">
        <v>56</v>
      </c>
      <c r="B11" s="19"/>
      <c r="C11" s="54"/>
      <c r="D11" s="54">
        <v>3993</v>
      </c>
      <c r="E11" s="54"/>
      <c r="F11" s="54"/>
      <c r="G11" s="19"/>
      <c r="H11" s="19"/>
      <c r="I11" s="19"/>
      <c r="J11" s="54"/>
      <c r="K11" s="54"/>
      <c r="L11" s="54"/>
      <c r="M11" s="23">
        <f>SUM(Tabla2456[[#This Row],[01. Alcaldía]:[11. Salud pública y seguridad ciudadana]])</f>
        <v>3993</v>
      </c>
    </row>
    <row r="12" spans="1:13" x14ac:dyDescent="0.25">
      <c r="A12" s="21" t="s">
        <v>3451</v>
      </c>
      <c r="B12" s="19"/>
      <c r="C12" s="19"/>
      <c r="D12" s="19"/>
      <c r="E12" s="19"/>
      <c r="F12" s="19"/>
      <c r="G12" s="19"/>
      <c r="H12" s="19"/>
      <c r="I12" s="19"/>
      <c r="J12" s="19">
        <v>62.92</v>
      </c>
      <c r="K12" s="19"/>
      <c r="L12" s="19"/>
      <c r="M12" s="23">
        <f>SUM(Tabla2456[[#This Row],[01. Alcaldía]:[11. Salud pública y seguridad ciudadana]])</f>
        <v>62.92</v>
      </c>
    </row>
    <row r="13" spans="1:13" x14ac:dyDescent="0.25">
      <c r="A13" s="21" t="s">
        <v>1167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2140.5</v>
      </c>
      <c r="M13" s="23">
        <f>SUM(Tabla2456[[#This Row],[01. Alcaldía]:[11. Salud pública y seguridad ciudadana]])</f>
        <v>2140.5</v>
      </c>
    </row>
    <row r="14" spans="1:13" x14ac:dyDescent="0.25">
      <c r="A14" s="21" t="s">
        <v>794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7161.6</v>
      </c>
      <c r="M14" s="23">
        <f>SUM(Tabla2456[[#This Row],[01. Alcaldía]:[11. Salud pública y seguridad ciudadana]])</f>
        <v>7161.6</v>
      </c>
    </row>
    <row r="15" spans="1:13" x14ac:dyDescent="0.25">
      <c r="A15" s="21" t="s">
        <v>3217</v>
      </c>
      <c r="B15" s="19"/>
      <c r="C15" s="56">
        <v>500</v>
      </c>
      <c r="D15" s="56"/>
      <c r="E15" s="56"/>
      <c r="F15" s="56"/>
      <c r="G15" s="19"/>
      <c r="H15" s="19"/>
      <c r="I15" s="19"/>
      <c r="J15" s="56"/>
      <c r="K15" s="56"/>
      <c r="L15" s="56"/>
      <c r="M15" s="23">
        <f>SUM(Tabla2456[[#This Row],[01. Alcaldía]:[11. Salud pública y seguridad ciudadana]])</f>
        <v>500</v>
      </c>
    </row>
    <row r="16" spans="1:13" s="24" customFormat="1" x14ac:dyDescent="0.25">
      <c r="A16" s="25" t="s">
        <v>511</v>
      </c>
      <c r="B16" s="23">
        <f>SUBTOTAL(109,Tabla2456[01. Alcaldía])</f>
        <v>0</v>
      </c>
      <c r="C16" s="23">
        <f>SUBTOTAL(109,Tabla2456[02. Planeamiento urbanístico y vivienda])</f>
        <v>500</v>
      </c>
      <c r="D16" s="23">
        <f>SUBTOTAL(109,Tabla2456[03. Participación ciudadana y deportes])</f>
        <v>7623</v>
      </c>
      <c r="E16" s="23">
        <f>SUBTOTAL(109,Tabla2456[04. Planificación y recursos])</f>
        <v>5953.55</v>
      </c>
      <c r="F16" s="23">
        <f>SUBTOTAL(109,Tabla2456[05. Innovación, desarrollo económico, empleo y comercio])</f>
        <v>8417.85</v>
      </c>
      <c r="G16" s="23">
        <f>SUBTOTAL(109,Tabla2456[06. Educación, infancia, juventud e igualdad])</f>
        <v>0</v>
      </c>
      <c r="H16" s="23">
        <f>SUBTOTAL(109,Tabla2456[07. Medio ambiente y desarrollo sostenible])</f>
        <v>0</v>
      </c>
      <c r="I16" s="23">
        <f>SUBTOTAL(109,Tabla2456[08. Movilidad y espacio urbano])</f>
        <v>0</v>
      </c>
      <c r="J16" s="23">
        <f>SUBTOTAL(109,Tabla2456[09. Cultura y turismo])</f>
        <v>6062.7300000000005</v>
      </c>
      <c r="K16" s="23">
        <f>SUBTOTAL(109,Tabla2456[10. Servicios sociales y mediación comunitaria])</f>
        <v>4840</v>
      </c>
      <c r="L16" s="23">
        <f>SUBTOTAL(109,Tabla2456[11. Salud pública y seguridad ciudadana])</f>
        <v>9302.1</v>
      </c>
      <c r="M16" s="23">
        <f>SUBTOTAL(109,Tabla2456[Total general])</f>
        <v>42699.229999999996</v>
      </c>
    </row>
    <row r="22" spans="7:9" x14ac:dyDescent="0.25">
      <c r="I22" s="43"/>
    </row>
    <row r="23" spans="7:9" x14ac:dyDescent="0.25">
      <c r="G23" s="43"/>
      <c r="I23" s="43"/>
    </row>
    <row r="24" spans="7:9" x14ac:dyDescent="0.25">
      <c r="I24" s="43"/>
    </row>
    <row r="25" spans="7:9" x14ac:dyDescent="0.25">
      <c r="I25" s="43"/>
    </row>
    <row r="26" spans="7:9" x14ac:dyDescent="0.25">
      <c r="I26" s="43"/>
    </row>
    <row r="27" spans="7:9" x14ac:dyDescent="0.25">
      <c r="I27" s="43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2" fitToHeight="0" orientation="landscape" r:id="rId1"/>
  <headerFooter>
    <oddHeader>&amp;C&amp;"Arial Narrow,Negrita"&amp;14&amp;UOTRA CONTRATACION MENOR POR PROVEEDORES Y AREAS AYUNTAMIENTO DE VALLADOLID -  PRIMER TRIMESTRE 2022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2022-07-11T07:47:47Z</dcterms:modified>
</cp:coreProperties>
</file>